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tables/table4.xml" ContentType="application/vnd.openxmlformats-officedocument.spreadsheetml.table+xml"/>
  <Override PartName="/xl/drawings/drawing2.xml" ContentType="application/vnd.openxmlformats-officedocument.drawing+xml"/>
  <Override PartName="/xl/tables/table5.xml" ContentType="application/vnd.openxmlformats-officedocument.spreadsheetml.table+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tables/table6.xml" ContentType="application/vnd.openxmlformats-officedocument.spreadsheetml.table+xml"/>
  <Override PartName="/xl/slicers/slicer2.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Q:\Electric\EERS\Working Groups\Benefit Cost\Energy Optimization\final report\"/>
    </mc:Choice>
  </mc:AlternateContent>
  <bookViews>
    <workbookView xWindow="0" yWindow="0" windowWidth="19200" windowHeight="10470" firstSheet="1" activeTab="4"/>
  </bookViews>
  <sheets>
    <sheet name="Introduction" sheetId="37" r:id="rId1"/>
    <sheet name="Inputs" sheetId="5" r:id="rId2"/>
    <sheet name="Equipment Definitions" sheetId="8" r:id="rId3"/>
    <sheet name="Baseline Calculations" sheetId="16" r:id="rId4"/>
    <sheet name="Measure List" sheetId="52" r:id="rId5"/>
    <sheet name="Full-Early Replacement" sheetId="60" r:id="rId6"/>
    <sheet name="Partial Displacement" sheetId="56" r:id="rId7"/>
    <sheet name="Replace on Failure" sheetId="61" r:id="rId8"/>
    <sheet name="BCR Outputs" sheetId="66" r:id="rId9"/>
    <sheet name="Heat Pump Analysis" sheetId="43" r:id="rId10"/>
    <sheet name="MEAS01" sheetId="44" r:id="rId11"/>
    <sheet name="MEAS02" sheetId="45" r:id="rId12"/>
    <sheet name="MEAS03" sheetId="46" state="hidden" r:id="rId13"/>
    <sheet name="MEAS04" sheetId="47" state="hidden" r:id="rId14"/>
    <sheet name="MEAS05" sheetId="17" r:id="rId15"/>
    <sheet name="MEAS06" sheetId="18" r:id="rId16"/>
    <sheet name="MEAS07" sheetId="15" state="hidden" r:id="rId17"/>
    <sheet name="MEAS08" sheetId="19" state="hidden" r:id="rId18"/>
    <sheet name="MEAS09" sheetId="48" r:id="rId19"/>
    <sheet name="MEAS10" sheetId="49" r:id="rId20"/>
    <sheet name="MEAS11" sheetId="50" r:id="rId21"/>
    <sheet name="MEAS12" sheetId="41" r:id="rId22"/>
    <sheet name="MEAS13" sheetId="38" r:id="rId23"/>
    <sheet name="MEAS14" sheetId="21" r:id="rId24"/>
    <sheet name="MEAS15" sheetId="22" r:id="rId25"/>
    <sheet name="MEAS16" sheetId="23" r:id="rId26"/>
    <sheet name="MEAS17" sheetId="24" r:id="rId27"/>
    <sheet name="MEAS18" sheetId="25" r:id="rId28"/>
    <sheet name="MEAS19" sheetId="26" r:id="rId29"/>
    <sheet name="MEAS20" sheetId="27" r:id="rId30"/>
    <sheet name="MEAS21" sheetId="28" r:id="rId31"/>
    <sheet name="MEAS22" sheetId="29" r:id="rId32"/>
    <sheet name="MEAS23" sheetId="30" r:id="rId33"/>
    <sheet name="MEAS24" sheetId="31" r:id="rId34"/>
    <sheet name="MEAS25" sheetId="32" r:id="rId35"/>
    <sheet name="MEAS26" sheetId="33" r:id="rId36"/>
    <sheet name="MEAS27" sheetId="34" r:id="rId37"/>
    <sheet name="MEAS28" sheetId="35" r:id="rId38"/>
    <sheet name="MEAS29" sheetId="54" r:id="rId39"/>
    <sheet name="MEAS30" sheetId="55" r:id="rId40"/>
    <sheet name="MEAS31" sheetId="62" r:id="rId41"/>
    <sheet name="MEAS32" sheetId="63" r:id="rId42"/>
    <sheet name="MEAS33" sheetId="64" r:id="rId43"/>
  </sheets>
  <definedNames>
    <definedName name="ACBASE_CAC_BASE_KW_DEMAND">Inputs!$E$118</definedName>
    <definedName name="ACBASE_CAC_BASE_KWH">Inputs!$E$114</definedName>
    <definedName name="ACBASE_CAC_BASE_OP_COST">Inputs!$E$116</definedName>
    <definedName name="ACBASE_CAC_CODE_KW_DEMAND">Inputs!$E$119</definedName>
    <definedName name="ACBASE_CAC_CODE_KWH">Inputs!$E$115</definedName>
    <definedName name="ACBASE_CAC_CODE_OP_COST">Inputs!$E$117</definedName>
    <definedName name="ACBASE_CAC_INSTALL_COST">Inputs!$E$111</definedName>
    <definedName name="ACBASE2_BASE_KW_DEMAND">Inputs!$E$140</definedName>
    <definedName name="ACBASE2_BASE_KWH">Inputs!$E$136</definedName>
    <definedName name="ACBASE2_BASE_OP_COST">Inputs!$E$138</definedName>
    <definedName name="ACBASE2_CODE_KW_DEMAND">Inputs!$E$141</definedName>
    <definedName name="ACBASE2_CODE_KWH">Inputs!$E$137</definedName>
    <definedName name="ACBASE2_CODE_OP_COST">Inputs!$E$139</definedName>
    <definedName name="ACBASE2_EQUIPMENT_LIFE">Inputs!$E$134</definedName>
    <definedName name="ACBASE2_INSTALL_COST">Inputs!$E$133</definedName>
    <definedName name="ACBASE2_RUL">Inputs!$E$135</definedName>
    <definedName name="ACBASE3_BASE_KW_DEMAND">Inputs!$F$140</definedName>
    <definedName name="ACBASE3_BASE_KWH">Inputs!$F$136</definedName>
    <definedName name="ACBASE3_BASE_OP_COST">Inputs!$F$138</definedName>
    <definedName name="ACBASE3_CODE_KW_DEMAND">Inputs!$F$141</definedName>
    <definedName name="ACBASE3_CODE_KWH">Inputs!$F$137</definedName>
    <definedName name="ACBASE3_CODE_OP_COST">Inputs!$F$139</definedName>
    <definedName name="ACBASE3_EQUIPMENT_LIFE">Inputs!$F$134</definedName>
    <definedName name="ACBASE3_INSTALL_COST">Inputs!$F$133</definedName>
    <definedName name="ACBASE3_RUL">Inputs!$F$135</definedName>
    <definedName name="BASEBOARD_THRESHOLD">'Heat Pump Analysis'!$M$34</definedName>
    <definedName name="BOILER_TOTAL_HEATING_LOAD">Inputs!$D$22</definedName>
    <definedName name="Btu_per_kWh">Inputs!$E$43</definedName>
    <definedName name="Btu_per_MMBtu">Inputs!$E$41</definedName>
    <definedName name="COAL_BTU_PER_LB">Inputs!$E$227</definedName>
    <definedName name="COAL_BTU_PER_LB_CES">Inputs!$E$253</definedName>
    <definedName name="COAL_BTU_PER_SITE_KWH">Inputs!$E$231</definedName>
    <definedName name="COAL_BTU_PER_SITE_KWH_CES">Inputs!$E$257</definedName>
    <definedName name="COAL_LBS_PER_SITE_KWH">Inputs!$E$235</definedName>
    <definedName name="COAL_LBS_PER_SITE_KWH_CES">Inputs!$E$261</definedName>
    <definedName name="COMBO_BOILER_HEATING_LOAD">Inputs!$D$23</definedName>
    <definedName name="COST_AC_NEW_INSTALL">Inputs!$E$197</definedName>
    <definedName name="COST_AC_REPLACEMENT">Inputs!$D$197</definedName>
    <definedName name="COST_HP_16SEER_NEW">Inputs!$E$198</definedName>
    <definedName name="COST_HP_16SEER_REPLACE">Inputs!$D$198</definedName>
    <definedName name="COST_HP_18SEER_NEW">Inputs!$E$199</definedName>
    <definedName name="COST_HP_18SEER_REPLACE">Inputs!$D$199</definedName>
    <definedName name="DEFINED_EQUIPMENT">Tbl_EquipmentDefinitions[Equipment ID]</definedName>
    <definedName name="DEFINED_MEASURES" localSheetId="4">Tbl_MeasureList[Measure ID]</definedName>
    <definedName name="DiscountRate">Inputs!$D$187</definedName>
    <definedName name="ELECTRIC_WATER_HEATING_LOAD">Inputs!$D$26</definedName>
    <definedName name="FURNACE_TOTAL_HEATING_LOAD">Inputs!$D$21</definedName>
    <definedName name="GAS_BTU_PER_CUFT">Inputs!$E$228</definedName>
    <definedName name="GAS_BTU_PER_CUFT_CES">Inputs!$E$254</definedName>
    <definedName name="GAS_BTU_PER_SITE_KWH">Inputs!$E$232</definedName>
    <definedName name="GAS_BTU_PER_SITE_KWH_CES">Inputs!$E$258</definedName>
    <definedName name="GAS_CUFT_PER_SITE_KWH">Inputs!$E$236</definedName>
    <definedName name="GAS_CUFT_PER_SITE_KWH_CES">Inputs!$E$262</definedName>
    <definedName name="GAS_OIL_WATER_HEATING_LOAD">Inputs!$D$24</definedName>
    <definedName name="GAS_THRESHOLD">'Heat Pump Analysis'!$M$31</definedName>
    <definedName name="HPBASEBOARDCALC_CHP_BASEBOARDCONSUMPTION">'Heat Pump Analysis'!$E$65</definedName>
    <definedName name="HPBASEBOARDCALC_CHP_CHPRESISTANCECONSUMPTION">'Heat Pump Analysis'!$E$63</definedName>
    <definedName name="HPBASEBOARDCALC_CHP_HPCONSUMPTION">'Heat Pump Analysis'!$E$64</definedName>
    <definedName name="HPBASEBOARDCALC_DMSHP_BASEBOARDCONSUMPTION">'Heat Pump Analysis'!$M$65</definedName>
    <definedName name="HPBASEBOARDCALC_DMSHP_DMSHPRESISTANCECONSUMPTION">'Heat Pump Analysis'!$M$63</definedName>
    <definedName name="HPBASEBOARDCALC_DMSHP_HPCONSUMPTION">'Heat Pump Analysis'!$M$64</definedName>
    <definedName name="HPFUELCALC_REF_AFUE">'Heat Pump Analysis'!$D$37</definedName>
    <definedName name="HPFUELCALC_REF_CHP_HSPF">'Heat Pump Analysis'!$D$29</definedName>
    <definedName name="HPFUELCALC_REF_DMSHP_HSPF">'Heat Pump Analysis'!$I$29</definedName>
    <definedName name="HPFUELCALC_REF_DMSHPFAN">'Heat Pump Analysis'!$S$36</definedName>
    <definedName name="HPFUELCALC_REF_DMSHPFAN_CF">'Heat Pump Analysis'!$S$37</definedName>
    <definedName name="HPFUELCALC_REF_FUELEQUIPKWH">'Heat Pump Analysis'!$S$33</definedName>
    <definedName name="HPFUELCALC_REF_FUELPOWER_CF">'Heat Pump Analysis'!$S$34</definedName>
    <definedName name="HPFUELCALC_REF_FUELPOWER_KW">'Heat Pump Analysis'!$S$33</definedName>
    <definedName name="HPFUELCALC_REF_HEATINGLOAD">'Heat Pump Analysis'!$S$30</definedName>
    <definedName name="HPGASCALC_CHP_CHPRESISTANCECONSUMPTION">'Heat Pump Analysis'!$E$43</definedName>
    <definedName name="HPGASCALC_CHP_FURNACEFANCONSUMPTION">'Heat Pump Analysis'!$E$42</definedName>
    <definedName name="HPGASCALC_CHP_FURNACEGASCONSUMPTION">'Heat Pump Analysis'!$E$45</definedName>
    <definedName name="HPGASCALC_CHP_HPCONSUMPTION">'Heat Pump Analysis'!$E$44</definedName>
    <definedName name="HPGASCALC_DMSHP_DMSHPRESISTANCECONSUMPTION">'Heat Pump Analysis'!$M$43</definedName>
    <definedName name="HPGASCALC_DMSHP_FURNACEFANCONSUMPTION">'Heat Pump Analysis'!$M$42</definedName>
    <definedName name="HPGASCALC_DMSHP_FURNACEGASCONSUMPTION">'Heat Pump Analysis'!$M$45</definedName>
    <definedName name="HPGASCALC_DMSHP_HPCONSUMPTION">'Heat Pump Analysis'!$M$44</definedName>
    <definedName name="HPOILCALC_CHP_CHPRESISTANCECONSUMPTION">'Heat Pump Analysis'!$E$50</definedName>
    <definedName name="HPOILCALC_CHP_FURNACEFANCONSUMPTION">'Heat Pump Analysis'!$E$49</definedName>
    <definedName name="HPOILCALC_CHP_FURNACEOILCONSUMPTION">'Heat Pump Analysis'!$E$52</definedName>
    <definedName name="HPOILCALC_CHP_HPCONSUMPTION">'Heat Pump Analysis'!$E$51</definedName>
    <definedName name="HPOILCALC_DMSHP_DMSHPRESISTANCECONSUMPTION">'Heat Pump Analysis'!$M$50</definedName>
    <definedName name="HPOILCALC_DMSHP_FURNACEFANCONSUMPTION">'Heat Pump Analysis'!$M$49</definedName>
    <definedName name="HPOILCALC_DMSHP_FURNACEOILCONSUMPTION">'Heat Pump Analysis'!$M$52</definedName>
    <definedName name="HPOILCALC_DMSHP_HPCONSUMPTION">'Heat Pump Analysis'!$M$51</definedName>
    <definedName name="HPONLYCALC_CHP_CHPRESISTANCECONSUMPTION">'Heat Pump Analysis'!$E$69</definedName>
    <definedName name="HPONLYCALC_CHP_HPCONSUMPTION">'Heat Pump Analysis'!$E$70</definedName>
    <definedName name="HPONLYCALC_DMSHP_DMSHPRESISTANCECONSUMPTION">'Heat Pump Analysis'!$M$69</definedName>
    <definedName name="HPONLYCALC_DMSHP_HPCONSUMPTION">'Heat Pump Analysis'!$M$70</definedName>
    <definedName name="HPPROPANECALC_CHP_CHPRESISTANCECONSUMPTION">'Heat Pump Analysis'!$E$57</definedName>
    <definedName name="HPPROPANECALC_CHP_FURNACEFANCONSUMPTION">'Heat Pump Analysis'!$E$56</definedName>
    <definedName name="HPPROPANECALC_CHP_FURNACEPROPANECONSUMPTION">'Heat Pump Analysis'!$E$59</definedName>
    <definedName name="HPPROPANECALC_CHP_HPCONSUMPTION">'Heat Pump Analysis'!$E$58</definedName>
    <definedName name="HPPROPANECALC_DMSHP_DMSHPRESISTANCECONSUMPTION">'Heat Pump Analysis'!$M$57</definedName>
    <definedName name="HPPROPANECALC_DMSHP_FURNACEFANCONSUMPTION">'Heat Pump Analysis'!$M$56</definedName>
    <definedName name="HPPROPANECALC_DMSHP_FURNACEPROPANECONSUMPTION">'Heat Pump Analysis'!$M$59</definedName>
    <definedName name="HPPROPANECALC_DMSHP_HPCONSUMPTION">'Heat Pump Analysis'!$M$58</definedName>
    <definedName name="INPUT_BASEBOARDHEATSWITCHOVER">Inputs!$E$176</definedName>
    <definedName name="INPUT_CAC_SATURATION">Inputs!$E$83</definedName>
    <definedName name="INPUT_CAC_SIZE_TONS">Inputs!$E$58</definedName>
    <definedName name="INPUT_CHP_COOLCAP_NOOTHERHEAT">Inputs!$E$63</definedName>
    <definedName name="INPUT_CHP_COOLCAP_SUPPLEMENTED">Inputs!$E$60</definedName>
    <definedName name="INPUT_CHP_HEATCAP_NOOTHERHEAT">Inputs!$E$64</definedName>
    <definedName name="INPUT_CHP_HEATCAP_SUPPLEMENTED">Inputs!$E$61</definedName>
    <definedName name="INPUT_CORRECTIONFACTOR_CHP">Inputs!$E$178</definedName>
    <definedName name="INPUT_CORRECTIONFACTOR_DMSHP">Inputs!$E$179</definedName>
    <definedName name="INPUT_DMSHP_COOLCAP_NOOTHERHEAT">Inputs!$E$69</definedName>
    <definedName name="INPUT_DMSHP_COOLCAP_SUPPLEMENTED">Inputs!$E$66</definedName>
    <definedName name="INPUT_DMSHP_HEATCAP_NOOTHERHEAT">Inputs!$E$70</definedName>
    <definedName name="INPUT_DMSHP_HEATCAP_SUPPLEMENTED">Inputs!$E$67</definedName>
    <definedName name="INPUT_ELECTRICALSYSTEMUPGRADECOST">Inputs!$E$289</definedName>
    <definedName name="INPUT_EQUIPMENTDISPOSALCOST">Inputs!$E$295</definedName>
    <definedName name="INPUT_GASHEATSWITCHOVER">Inputs!$E$173</definedName>
    <definedName name="INPUT_GASLINECOST">Inputs!$E$284</definedName>
    <definedName name="INPUT_HEATPUMP_EFFICIENCY_FACTOR">Inputs!$E$182</definedName>
    <definedName name="INPUT_INCLUDEGASLINE">Inputs!$E$275</definedName>
    <definedName name="INPUT_NO_AC_SATURATION">Inputs!$E$84</definedName>
    <definedName name="INPUT_OILHEATSWITCHOVER">Inputs!$E$174</definedName>
    <definedName name="INPUT_PROPANEHEATSWITCHOVER">Inputs!$E$175</definedName>
    <definedName name="INPUT_RAC_COSTPERUNIT">Inputs!$E$90</definedName>
    <definedName name="INPUT_RAC_EFLH">Inputs!$E$88</definedName>
    <definedName name="INPUT_RAC_LIFE">Inputs!#REF!</definedName>
    <definedName name="INPUT_RAC_NUMBER">Inputs!$E$89</definedName>
    <definedName name="INPUT_RAC_SIZE">Inputs!$E$87</definedName>
    <definedName name="INPUT_RESISTANCEHEAT_SWITCHOVER">Inputs!$E$177</definedName>
    <definedName name="INPUT_ROOM_AC_SATURATION">Inputs!$E$82</definedName>
    <definedName name="INPUT_SYSTEMINTEGRATIONCOST">Inputs!$E$183</definedName>
    <definedName name="KWH_PER_BTU">'Heat Pump Analysis'!$S$31</definedName>
    <definedName name="kWh_per_MWh">Inputs!$E$45</definedName>
    <definedName name="lbCO2_per_MMBtu_Oil">Inputs!$E$206</definedName>
    <definedName name="lbCO2_per_MMBtu_Prop">Inputs!$E$210</definedName>
    <definedName name="lbCO2_per_MWh_Elec">Inputs!$E$208</definedName>
    <definedName name="lbCO2_per_Therm_Gas">Inputs!$E$209</definedName>
    <definedName name="Lbs_per_ShortTon">Inputs!$E$44</definedName>
    <definedName name="List_BaselineID">Tbl_BaselineSummary[Baseline ID]</definedName>
    <definedName name="List_EquipmentID">Tbl_EquipmentDefinitions[Equipment ID]</definedName>
    <definedName name="OIL_BTU_PER_GAL">Inputs!$E$229</definedName>
    <definedName name="OIL_BTU_PER_GAL_CES">Inputs!$E$255</definedName>
    <definedName name="OIL_BTU_PER_SITE_KWH">Inputs!$E$233</definedName>
    <definedName name="OIL_BTU_PER_SITE_KWH_CES">Inputs!$E$259</definedName>
    <definedName name="OIL_GAL_PER_SITE_KWH">Inputs!$E$237</definedName>
    <definedName name="OIL_GAL_PER_SITE_KWH_CES">Inputs!$E$263</definedName>
    <definedName name="OIL_THRESHOLD">'Heat Pump Analysis'!$M$32</definedName>
    <definedName name="PRICE_PER_KWH_2018_ELECTRICITY">Inputs!$E$33</definedName>
    <definedName name="PRICE_PER_MMBTU_2018_OIL">Inputs!$G$32</definedName>
    <definedName name="PRICE_PER_MMBTU_2018_PROPANE">Inputs!$G$35</definedName>
    <definedName name="PRICE_PER_THERM_2018_NATURALGAS">Inputs!$E$34</definedName>
    <definedName name="PROPANE_THRESHOLD">'Heat Pump Analysis'!$M$33</definedName>
    <definedName name="PROPANE_WATER_HEATING_LOAD">Inputs!$D$25</definedName>
    <definedName name="RESISTANCE_HEAT_THRESHOLD">'Heat Pump Analysis'!$M$30</definedName>
    <definedName name="Slicer_Baseline_Fuel">#N/A</definedName>
    <definedName name="Slicer_Baseline_Fuel1">#N/A</definedName>
    <definedName name="Slicer_Baseline_Function">#N/A</definedName>
    <definedName name="Slicer_Baseline_Function1">#N/A</definedName>
    <definedName name="Slicer_Replacement_Fuel">#N/A</definedName>
    <definedName name="Slicer_Replacement_Fuel1">#N/A</definedName>
    <definedName name="Therm_per_MMBtu">Inputs!$E$42</definedName>
    <definedName name="TOTAL_COOLING_LOAD">Inputs!$D$20</definedName>
  </definedNames>
  <calcPr calcId="162913" calcOnSave="0" concurrentCalc="0"/>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4"/>
        <x14:slicerCache r:id="rId45"/>
        <x14:slicerCache r:id="rId46"/>
        <x14:slicerCache r:id="rId47"/>
        <x14:slicerCache r:id="rId48"/>
        <x14:slicerCache r:id="rId49"/>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0" i="41" l="1"/>
  <c r="I20" i="16"/>
  <c r="D20" i="41"/>
  <c r="E71" i="41"/>
  <c r="E81" i="41"/>
  <c r="E82" i="5"/>
  <c r="E83" i="5"/>
  <c r="T4" i="66"/>
  <c r="I48" i="8"/>
  <c r="D149" i="45"/>
  <c r="D148" i="45"/>
  <c r="M161" i="63"/>
  <c r="L161" i="63"/>
  <c r="K161" i="63"/>
  <c r="M160" i="63"/>
  <c r="L160" i="63"/>
  <c r="K160" i="63"/>
  <c r="M159" i="63"/>
  <c r="L159" i="63"/>
  <c r="K159" i="63"/>
  <c r="M158" i="63"/>
  <c r="L158" i="63"/>
  <c r="K158" i="63"/>
  <c r="M157" i="63"/>
  <c r="L157" i="63"/>
  <c r="K157" i="63"/>
  <c r="M156" i="63"/>
  <c r="L156" i="63"/>
  <c r="K156" i="63"/>
  <c r="M155" i="63"/>
  <c r="L155" i="63"/>
  <c r="K155" i="63"/>
  <c r="M154" i="63"/>
  <c r="L154" i="63"/>
  <c r="K154" i="63"/>
  <c r="M160" i="62"/>
  <c r="L160" i="62"/>
  <c r="K160" i="62"/>
  <c r="M159" i="62"/>
  <c r="L159" i="62"/>
  <c r="K159" i="62"/>
  <c r="M158" i="62"/>
  <c r="L158" i="62"/>
  <c r="K158" i="62"/>
  <c r="M157" i="62"/>
  <c r="L157" i="62"/>
  <c r="K157" i="62"/>
  <c r="M156" i="62"/>
  <c r="L156" i="62"/>
  <c r="K156" i="62"/>
  <c r="M155" i="62"/>
  <c r="L155" i="62"/>
  <c r="K155" i="62"/>
  <c r="M154" i="62"/>
  <c r="L154" i="62"/>
  <c r="K154" i="62"/>
  <c r="M153" i="62"/>
  <c r="L153" i="62"/>
  <c r="K153" i="62"/>
  <c r="M177" i="50"/>
  <c r="L177" i="50"/>
  <c r="K177" i="50"/>
  <c r="M176" i="50"/>
  <c r="L176" i="50"/>
  <c r="K176" i="50"/>
  <c r="M175" i="50"/>
  <c r="L175" i="50"/>
  <c r="K175" i="50"/>
  <c r="M174" i="50"/>
  <c r="L174" i="50"/>
  <c r="K174" i="50"/>
  <c r="M173" i="50"/>
  <c r="L173" i="50"/>
  <c r="K173" i="50"/>
  <c r="M172" i="50"/>
  <c r="L172" i="50"/>
  <c r="K172" i="50"/>
  <c r="M171" i="50"/>
  <c r="L171" i="50"/>
  <c r="K171" i="50"/>
  <c r="M170" i="50"/>
  <c r="L170" i="50"/>
  <c r="K170" i="50"/>
  <c r="M167" i="49"/>
  <c r="L167" i="49"/>
  <c r="K167" i="49"/>
  <c r="M166" i="49"/>
  <c r="L166" i="49"/>
  <c r="K166" i="49"/>
  <c r="M165" i="49"/>
  <c r="L165" i="49"/>
  <c r="K165" i="49"/>
  <c r="M164" i="49"/>
  <c r="L164" i="49"/>
  <c r="K164" i="49"/>
  <c r="M163" i="49"/>
  <c r="L163" i="49"/>
  <c r="K163" i="49"/>
  <c r="M162" i="49"/>
  <c r="L162" i="49"/>
  <c r="K162" i="49"/>
  <c r="M161" i="49"/>
  <c r="L161" i="49"/>
  <c r="K161" i="49"/>
  <c r="M160" i="49"/>
  <c r="L160" i="49"/>
  <c r="K160" i="49"/>
  <c r="K160" i="48"/>
  <c r="K161" i="48"/>
  <c r="K162" i="48"/>
  <c r="K163" i="48"/>
  <c r="L163" i="48"/>
  <c r="L162" i="48"/>
  <c r="L161" i="48"/>
  <c r="L160" i="48"/>
  <c r="M160" i="48"/>
  <c r="M161" i="48"/>
  <c r="M163" i="48"/>
  <c r="M162" i="48"/>
  <c r="D105" i="63"/>
  <c r="D107" i="63"/>
  <c r="D104" i="63"/>
  <c r="D106" i="63"/>
  <c r="D105" i="62"/>
  <c r="D107" i="62"/>
  <c r="D104" i="62"/>
  <c r="D106" i="62"/>
  <c r="D114" i="55"/>
  <c r="D116" i="55"/>
  <c r="D113" i="55"/>
  <c r="D115" i="55"/>
  <c r="D113" i="54"/>
  <c r="D115" i="54"/>
  <c r="D112" i="54"/>
  <c r="D114" i="54"/>
  <c r="D114" i="45"/>
  <c r="D116" i="45"/>
  <c r="D113" i="45"/>
  <c r="D115" i="45"/>
  <c r="D114" i="44"/>
  <c r="D116" i="44"/>
  <c r="D113" i="44"/>
  <c r="D115" i="44"/>
  <c r="D114" i="50"/>
  <c r="D116" i="50"/>
  <c r="D113" i="50"/>
  <c r="D115" i="50"/>
  <c r="D113" i="49"/>
  <c r="D115" i="49"/>
  <c r="D112" i="49"/>
  <c r="D114" i="49"/>
  <c r="D113" i="48"/>
  <c r="D115" i="48"/>
  <c r="D112" i="48"/>
  <c r="D114" i="48"/>
  <c r="D136" i="49"/>
  <c r="D116" i="49"/>
  <c r="D170" i="49"/>
  <c r="D136" i="54"/>
  <c r="D128" i="62"/>
  <c r="D108" i="62"/>
  <c r="D163" i="62"/>
  <c r="D136" i="48"/>
  <c r="D116" i="48"/>
  <c r="D170" i="48"/>
  <c r="D139" i="50"/>
  <c r="D117" i="50"/>
  <c r="D180" i="50"/>
  <c r="D108" i="63"/>
  <c r="D164" i="63"/>
  <c r="D128" i="63"/>
  <c r="D137" i="45"/>
  <c r="D137" i="55"/>
  <c r="D126" i="55"/>
  <c r="D128" i="55"/>
  <c r="D127" i="55"/>
  <c r="D128" i="45"/>
  <c r="D127" i="45"/>
  <c r="D126" i="45"/>
  <c r="D117" i="45"/>
  <c r="D128" i="44"/>
  <c r="D117" i="44"/>
  <c r="D125" i="54"/>
  <c r="D116" i="54"/>
  <c r="D127" i="54"/>
  <c r="D126" i="54"/>
  <c r="D117" i="55"/>
  <c r="D147" i="45"/>
  <c r="D126" i="44"/>
  <c r="D127" i="44"/>
  <c r="D137" i="44"/>
  <c r="D99" i="18"/>
  <c r="D101" i="18"/>
  <c r="D98" i="18"/>
  <c r="D100" i="18"/>
  <c r="D99" i="17"/>
  <c r="D101" i="17"/>
  <c r="D98" i="17"/>
  <c r="D100" i="17"/>
  <c r="D122" i="17"/>
  <c r="D122" i="18"/>
  <c r="D102" i="18"/>
  <c r="D113" i="18"/>
  <c r="D112" i="18"/>
  <c r="D111" i="18"/>
  <c r="D102" i="17"/>
  <c r="D112" i="17"/>
  <c r="D113" i="17"/>
  <c r="D111" i="17"/>
  <c r="E43" i="66"/>
  <c r="E42" i="66"/>
  <c r="E41" i="66"/>
  <c r="E40" i="66"/>
  <c r="E39" i="66"/>
  <c r="E38" i="66"/>
  <c r="E37" i="66"/>
  <c r="E36" i="66"/>
  <c r="E35" i="66"/>
  <c r="E34" i="66"/>
  <c r="E33" i="66"/>
  <c r="E32" i="66"/>
  <c r="E11" i="66"/>
  <c r="E12" i="66"/>
  <c r="E13" i="66"/>
  <c r="E14" i="66"/>
  <c r="E15" i="66"/>
  <c r="E16" i="66"/>
  <c r="E17" i="66"/>
  <c r="E18" i="66"/>
  <c r="E19" i="66"/>
  <c r="E20" i="66"/>
  <c r="E21" i="66"/>
  <c r="E22" i="66"/>
  <c r="M33" i="66"/>
  <c r="M35" i="66"/>
  <c r="M37" i="66"/>
  <c r="M39" i="66"/>
  <c r="M41" i="66"/>
  <c r="M43" i="66"/>
  <c r="O33" i="66"/>
  <c r="O35" i="66"/>
  <c r="O37" i="66"/>
  <c r="O39" i="66"/>
  <c r="O41" i="66"/>
  <c r="O43" i="66"/>
  <c r="J43" i="66"/>
  <c r="K43" i="66"/>
  <c r="J41" i="66"/>
  <c r="K41" i="66"/>
  <c r="J39" i="66"/>
  <c r="K39" i="66"/>
  <c r="J37" i="66"/>
  <c r="K37" i="66"/>
  <c r="J35" i="66"/>
  <c r="K35" i="66"/>
  <c r="J33" i="66"/>
  <c r="K33" i="66"/>
  <c r="W33" i="66"/>
  <c r="W41" i="66"/>
  <c r="W35" i="66"/>
  <c r="W43" i="66"/>
  <c r="W37" i="66"/>
  <c r="W39" i="66"/>
  <c r="P33" i="66"/>
  <c r="V33" i="66"/>
  <c r="P41" i="66"/>
  <c r="V41" i="66"/>
  <c r="P43" i="66"/>
  <c r="V43" i="66"/>
  <c r="P35" i="66"/>
  <c r="V35" i="66"/>
  <c r="P37" i="66"/>
  <c r="V37" i="66"/>
  <c r="P39" i="66"/>
  <c r="V39" i="66"/>
  <c r="J22" i="66"/>
  <c r="K22" i="66"/>
  <c r="J20" i="66"/>
  <c r="K20" i="66"/>
  <c r="J16" i="66"/>
  <c r="K16" i="66"/>
  <c r="J14" i="66"/>
  <c r="K14" i="66"/>
  <c r="J42" i="66"/>
  <c r="K42" i="66"/>
  <c r="J40" i="66"/>
  <c r="K40" i="66"/>
  <c r="J38" i="66"/>
  <c r="K38" i="66"/>
  <c r="J36" i="66"/>
  <c r="K36" i="66"/>
  <c r="J34" i="66"/>
  <c r="K34" i="66"/>
  <c r="J32" i="66"/>
  <c r="K32" i="66"/>
  <c r="J21" i="66"/>
  <c r="K21" i="66"/>
  <c r="J19" i="66"/>
  <c r="K19" i="66"/>
  <c r="J18" i="66"/>
  <c r="K18" i="66"/>
  <c r="J17" i="66"/>
  <c r="K17" i="66"/>
  <c r="J15" i="66"/>
  <c r="K15" i="66"/>
  <c r="J13" i="66"/>
  <c r="K13" i="66"/>
  <c r="J12" i="66"/>
  <c r="K12" i="66"/>
  <c r="J11" i="66"/>
  <c r="K11" i="66"/>
  <c r="M14" i="66"/>
  <c r="P14" i="66"/>
  <c r="M16" i="66"/>
  <c r="P16" i="66"/>
  <c r="M20" i="66"/>
  <c r="P20" i="66"/>
  <c r="M22" i="66"/>
  <c r="P22" i="66"/>
  <c r="W14" i="66"/>
  <c r="W16" i="66"/>
  <c r="W20" i="66"/>
  <c r="W22" i="66"/>
  <c r="V14" i="66"/>
  <c r="V16" i="66"/>
  <c r="V20" i="66"/>
  <c r="V22" i="66"/>
  <c r="N11" i="66"/>
  <c r="N17" i="66"/>
  <c r="N14" i="66"/>
  <c r="N12" i="66"/>
  <c r="N18" i="66"/>
  <c r="N16" i="66"/>
  <c r="N13" i="66"/>
  <c r="N19" i="66"/>
  <c r="N20" i="66"/>
  <c r="N15" i="66"/>
  <c r="N21" i="66"/>
  <c r="N22" i="66"/>
  <c r="L18" i="66"/>
  <c r="L17" i="66"/>
  <c r="L12" i="66"/>
  <c r="L11" i="66"/>
  <c r="Z508" i="16"/>
  <c r="M508" i="16"/>
  <c r="Z482" i="16"/>
  <c r="M482" i="16"/>
  <c r="Z456" i="16"/>
  <c r="M456" i="16"/>
  <c r="Q43" i="8"/>
  <c r="P43" i="8"/>
  <c r="O43" i="8"/>
  <c r="N43" i="8"/>
  <c r="Z429" i="16"/>
  <c r="M429" i="16"/>
  <c r="E112" i="5"/>
  <c r="E96" i="5"/>
  <c r="E134" i="5"/>
  <c r="J46" i="8"/>
  <c r="J47" i="8"/>
  <c r="J45" i="8"/>
  <c r="F134" i="5"/>
  <c r="Z175" i="16"/>
  <c r="M175" i="16"/>
  <c r="Z153" i="16"/>
  <c r="M153" i="16"/>
  <c r="BA34" i="52"/>
  <c r="BA30" i="52"/>
  <c r="AZ35" i="52"/>
  <c r="BM30" i="52"/>
  <c r="BA24" i="52"/>
  <c r="BN34" i="52"/>
  <c r="BN35" i="52"/>
  <c r="BN22" i="52"/>
  <c r="BN30" i="52"/>
  <c r="AZ22" i="52"/>
  <c r="BN20" i="52"/>
  <c r="BA40" i="52"/>
  <c r="BN25" i="52"/>
  <c r="BA29" i="52"/>
  <c r="BM31" i="52"/>
  <c r="BM35" i="52"/>
  <c r="BM33" i="52"/>
  <c r="BN40" i="52"/>
  <c r="AZ27" i="52"/>
  <c r="AZ33" i="52"/>
  <c r="AZ32" i="52"/>
  <c r="AZ28" i="52"/>
  <c r="AZ31" i="52"/>
  <c r="BA35" i="52"/>
  <c r="BN27" i="52"/>
  <c r="BA26" i="52"/>
  <c r="BM22" i="52"/>
  <c r="AZ19" i="52"/>
  <c r="AZ40" i="52"/>
  <c r="BN21" i="52"/>
  <c r="BA21" i="52"/>
  <c r="BN33" i="52"/>
  <c r="BN19" i="52"/>
  <c r="BM29" i="52"/>
  <c r="BN32" i="52"/>
  <c r="BM19" i="52"/>
  <c r="BN23" i="52"/>
  <c r="BM26" i="52"/>
  <c r="BA33" i="52"/>
  <c r="BA19" i="52"/>
  <c r="BA20" i="52"/>
  <c r="AZ34" i="52"/>
  <c r="BA27" i="52"/>
  <c r="AZ26" i="52"/>
  <c r="BM32" i="52"/>
  <c r="BA22" i="52"/>
  <c r="AZ23" i="52"/>
  <c r="BA23" i="52"/>
  <c r="AZ29" i="52"/>
  <c r="BM40" i="52"/>
  <c r="BN26" i="52"/>
  <c r="BM28" i="52"/>
  <c r="BA25" i="52"/>
  <c r="BA31" i="52"/>
  <c r="AZ30" i="52"/>
  <c r="BN31" i="52"/>
  <c r="BM23" i="52"/>
  <c r="BA32" i="52"/>
  <c r="BM34" i="52"/>
  <c r="BA28" i="52"/>
  <c r="BN29" i="52"/>
  <c r="BN28" i="52"/>
  <c r="BM27" i="52"/>
  <c r="BN24" i="52"/>
  <c r="J11" i="8"/>
  <c r="J10" i="8"/>
  <c r="J26" i="38"/>
  <c r="J27" i="38"/>
  <c r="J28" i="38"/>
  <c r="J26" i="25"/>
  <c r="J26" i="24"/>
  <c r="J26" i="21"/>
  <c r="J28" i="21"/>
  <c r="J27" i="21"/>
  <c r="AZ25" i="52"/>
  <c r="BM20" i="52"/>
  <c r="AZ24" i="52"/>
  <c r="AZ21" i="52"/>
  <c r="AZ20" i="52"/>
  <c r="BM21" i="52"/>
  <c r="E110" i="5"/>
  <c r="H110" i="5"/>
  <c r="N49" i="8"/>
  <c r="E109" i="5"/>
  <c r="F109" i="5"/>
  <c r="M49" i="8"/>
  <c r="K49" i="8"/>
  <c r="I49" i="8"/>
  <c r="E113" i="5"/>
  <c r="E106" i="5"/>
  <c r="E94" i="5"/>
  <c r="F94" i="5"/>
  <c r="E93" i="5"/>
  <c r="F93" i="5"/>
  <c r="I34" i="16"/>
  <c r="E111" i="5"/>
  <c r="U464" i="16"/>
  <c r="F110" i="5"/>
  <c r="E119" i="5"/>
  <c r="U470" i="16"/>
  <c r="AC456" i="16"/>
  <c r="H109" i="5"/>
  <c r="E118" i="5"/>
  <c r="U469" i="16"/>
  <c r="P456" i="16"/>
  <c r="I19" i="16"/>
  <c r="I33" i="16"/>
  <c r="I31" i="16"/>
  <c r="I29" i="16"/>
  <c r="I28" i="16"/>
  <c r="I26" i="16"/>
  <c r="I24" i="16"/>
  <c r="I22" i="16"/>
  <c r="I18" i="16"/>
  <c r="I16" i="16"/>
  <c r="I14" i="16"/>
  <c r="I32" i="16"/>
  <c r="I30" i="16"/>
  <c r="I27" i="16"/>
  <c r="I25" i="16"/>
  <c r="I23" i="16"/>
  <c r="I21" i="16"/>
  <c r="I17" i="16"/>
  <c r="I15" i="16"/>
  <c r="I13" i="16"/>
  <c r="U456" i="16"/>
  <c r="V456" i="16"/>
  <c r="U443" i="16"/>
  <c r="AC429" i="16"/>
  <c r="U437" i="16"/>
  <c r="U442" i="16"/>
  <c r="P429" i="16"/>
  <c r="M167" i="48"/>
  <c r="M166" i="48"/>
  <c r="M165" i="48"/>
  <c r="M164" i="48"/>
  <c r="L167" i="48"/>
  <c r="L166" i="48"/>
  <c r="L165" i="48"/>
  <c r="L164" i="48"/>
  <c r="K167" i="48"/>
  <c r="K166" i="48"/>
  <c r="K165" i="48"/>
  <c r="K164" i="48"/>
  <c r="D136" i="62"/>
  <c r="D136" i="63"/>
  <c r="T58" i="60"/>
  <c r="T56" i="60"/>
  <c r="T54" i="60"/>
  <c r="T52" i="60"/>
  <c r="T50" i="60"/>
  <c r="T48" i="60"/>
  <c r="T46" i="60"/>
  <c r="T44" i="60"/>
  <c r="T42" i="60"/>
  <c r="T40" i="60"/>
  <c r="T38" i="60"/>
  <c r="T36" i="60"/>
  <c r="T34" i="60"/>
  <c r="T32" i="60"/>
  <c r="T30" i="60"/>
  <c r="T28" i="60"/>
  <c r="T26" i="60"/>
  <c r="T24" i="60"/>
  <c r="T22" i="60"/>
  <c r="T20" i="60"/>
  <c r="T18" i="60"/>
  <c r="T16" i="60"/>
  <c r="E113" i="61"/>
  <c r="L113" i="61"/>
  <c r="E112" i="61"/>
  <c r="L112" i="61"/>
  <c r="E111" i="61"/>
  <c r="L111" i="61"/>
  <c r="E58" i="60"/>
  <c r="M58" i="60"/>
  <c r="E57" i="60"/>
  <c r="M57" i="60"/>
  <c r="E56" i="60"/>
  <c r="M56" i="60"/>
  <c r="E55" i="60"/>
  <c r="M55" i="60"/>
  <c r="E54" i="60"/>
  <c r="M54" i="60"/>
  <c r="E53" i="60"/>
  <c r="M53" i="60"/>
  <c r="D100" i="64"/>
  <c r="E84" i="64"/>
  <c r="E89" i="64"/>
  <c r="E26" i="64"/>
  <c r="H28" i="64"/>
  <c r="D28" i="64"/>
  <c r="F28" i="64"/>
  <c r="H27" i="64"/>
  <c r="D27" i="64"/>
  <c r="F27" i="64"/>
  <c r="H26" i="64"/>
  <c r="D26" i="64"/>
  <c r="F26" i="64"/>
  <c r="E13" i="64"/>
  <c r="H53" i="64"/>
  <c r="D10" i="64"/>
  <c r="D40" i="52"/>
  <c r="E40" i="52"/>
  <c r="F43" i="66"/>
  <c r="J40" i="52"/>
  <c r="K40" i="52"/>
  <c r="M40" i="52"/>
  <c r="L57" i="60"/>
  <c r="S40" i="52"/>
  <c r="T40" i="52"/>
  <c r="HY40" i="52"/>
  <c r="AG58" i="60"/>
  <c r="D135" i="63"/>
  <c r="D123" i="63"/>
  <c r="D112" i="63"/>
  <c r="D119" i="63"/>
  <c r="D111" i="63"/>
  <c r="D118" i="63"/>
  <c r="D110" i="63"/>
  <c r="D117" i="63"/>
  <c r="D74" i="63"/>
  <c r="E13" i="63"/>
  <c r="H53" i="63"/>
  <c r="D10" i="63"/>
  <c r="D39" i="52"/>
  <c r="E39" i="52"/>
  <c r="J39" i="52"/>
  <c r="K39" i="52"/>
  <c r="M39" i="52"/>
  <c r="K112" i="61"/>
  <c r="S39" i="52"/>
  <c r="T39" i="52"/>
  <c r="HY39" i="52"/>
  <c r="AG56" i="60"/>
  <c r="D135" i="62"/>
  <c r="D123" i="62"/>
  <c r="D112" i="62"/>
  <c r="D119" i="62"/>
  <c r="D111" i="62"/>
  <c r="D118" i="62"/>
  <c r="D110" i="62"/>
  <c r="D117" i="62"/>
  <c r="D74" i="62"/>
  <c r="E13" i="62"/>
  <c r="J53" i="62"/>
  <c r="D10" i="62"/>
  <c r="D38" i="52"/>
  <c r="E38" i="52"/>
  <c r="J38" i="52"/>
  <c r="K38" i="52"/>
  <c r="M38" i="52"/>
  <c r="L53" i="60"/>
  <c r="S38" i="52"/>
  <c r="T38" i="52"/>
  <c r="HY38" i="52"/>
  <c r="AG54" i="60"/>
  <c r="Q48" i="8"/>
  <c r="P48" i="8"/>
  <c r="O48" i="8"/>
  <c r="N48" i="8"/>
  <c r="L91" i="61"/>
  <c r="E91" i="61"/>
  <c r="L110" i="61"/>
  <c r="E110" i="61"/>
  <c r="L90" i="61"/>
  <c r="E90" i="61"/>
  <c r="L86" i="61"/>
  <c r="E86" i="61"/>
  <c r="L88" i="61"/>
  <c r="E88" i="61"/>
  <c r="L92" i="61"/>
  <c r="E92" i="61"/>
  <c r="L109" i="61"/>
  <c r="E109" i="61"/>
  <c r="L89" i="61"/>
  <c r="E89" i="61"/>
  <c r="L85" i="61"/>
  <c r="E85" i="61"/>
  <c r="L87" i="61"/>
  <c r="E87" i="61"/>
  <c r="L108" i="61"/>
  <c r="E108" i="61"/>
  <c r="L106" i="61"/>
  <c r="E106" i="61"/>
  <c r="L104" i="61"/>
  <c r="E104" i="61"/>
  <c r="L102" i="61"/>
  <c r="E102" i="61"/>
  <c r="L100" i="61"/>
  <c r="E100" i="61"/>
  <c r="L98" i="61"/>
  <c r="E98" i="61"/>
  <c r="L96" i="61"/>
  <c r="E96" i="61"/>
  <c r="L94" i="61"/>
  <c r="E94" i="61"/>
  <c r="L107" i="61"/>
  <c r="E107" i="61"/>
  <c r="L105" i="61"/>
  <c r="E105" i="61"/>
  <c r="L103" i="61"/>
  <c r="E103" i="61"/>
  <c r="L101" i="61"/>
  <c r="E101" i="61"/>
  <c r="L99" i="61"/>
  <c r="E99" i="61"/>
  <c r="L97" i="61"/>
  <c r="E97" i="61"/>
  <c r="L95" i="61"/>
  <c r="E95" i="61"/>
  <c r="L93" i="61"/>
  <c r="E93" i="61"/>
  <c r="M51" i="60"/>
  <c r="E51" i="60"/>
  <c r="M49" i="60"/>
  <c r="E49" i="60"/>
  <c r="M47" i="60"/>
  <c r="E47" i="60"/>
  <c r="M45" i="60"/>
  <c r="E45" i="60"/>
  <c r="M43" i="60"/>
  <c r="E43" i="60"/>
  <c r="M41" i="60"/>
  <c r="E41" i="60"/>
  <c r="M39" i="60"/>
  <c r="E39" i="60"/>
  <c r="M37" i="60"/>
  <c r="E37" i="60"/>
  <c r="M35" i="60"/>
  <c r="E35" i="60"/>
  <c r="M33" i="60"/>
  <c r="E33" i="60"/>
  <c r="M31" i="60"/>
  <c r="E31" i="60"/>
  <c r="M29" i="60"/>
  <c r="E29" i="60"/>
  <c r="M27" i="60"/>
  <c r="E27" i="60"/>
  <c r="M25" i="60"/>
  <c r="E25" i="60"/>
  <c r="M23" i="60"/>
  <c r="E23" i="60"/>
  <c r="M21" i="60"/>
  <c r="E21" i="60"/>
  <c r="M19" i="60"/>
  <c r="E19" i="60"/>
  <c r="K12" i="52"/>
  <c r="I85" i="61"/>
  <c r="K13" i="52"/>
  <c r="I86" i="61"/>
  <c r="K14" i="52"/>
  <c r="K15" i="52"/>
  <c r="K16" i="52"/>
  <c r="I89" i="61"/>
  <c r="K17" i="52"/>
  <c r="I90" i="61"/>
  <c r="K18" i="52"/>
  <c r="I91" i="61"/>
  <c r="K19" i="52"/>
  <c r="J19" i="60"/>
  <c r="K20" i="52"/>
  <c r="K21" i="52"/>
  <c r="K22" i="52"/>
  <c r="J25" i="60"/>
  <c r="K23" i="52"/>
  <c r="J27" i="60"/>
  <c r="K24" i="52"/>
  <c r="K25" i="52"/>
  <c r="K26" i="52"/>
  <c r="J33" i="60"/>
  <c r="K27" i="52"/>
  <c r="K28" i="52"/>
  <c r="J37" i="60"/>
  <c r="K29" i="52"/>
  <c r="J39" i="60"/>
  <c r="K30" i="52"/>
  <c r="J41" i="60"/>
  <c r="K31" i="52"/>
  <c r="J43" i="60"/>
  <c r="K32" i="52"/>
  <c r="J45" i="60"/>
  <c r="K33" i="52"/>
  <c r="J47" i="60"/>
  <c r="K34" i="52"/>
  <c r="J49" i="60"/>
  <c r="K35" i="52"/>
  <c r="J51" i="60"/>
  <c r="K36" i="52"/>
  <c r="I109" i="61"/>
  <c r="K37" i="52"/>
  <c r="I110" i="61"/>
  <c r="HY12" i="52"/>
  <c r="HY13" i="52"/>
  <c r="HY14" i="52"/>
  <c r="AG16" i="60"/>
  <c r="HY15" i="52"/>
  <c r="AG18" i="60"/>
  <c r="HY16" i="52"/>
  <c r="HY17" i="52"/>
  <c r="HY18" i="52"/>
  <c r="HY19" i="52"/>
  <c r="HY20" i="52"/>
  <c r="AG22" i="60"/>
  <c r="HY21" i="52"/>
  <c r="AG24" i="60"/>
  <c r="HY22" i="52"/>
  <c r="HY23" i="52"/>
  <c r="HY24" i="52"/>
  <c r="AG30" i="60"/>
  <c r="HY25" i="52"/>
  <c r="AG32" i="60"/>
  <c r="HY26" i="52"/>
  <c r="HY27" i="52"/>
  <c r="AG36" i="60"/>
  <c r="HY28" i="52"/>
  <c r="HY29" i="52"/>
  <c r="HY30" i="52"/>
  <c r="HY31" i="52"/>
  <c r="HY32" i="52"/>
  <c r="HY33" i="52"/>
  <c r="HY34" i="52"/>
  <c r="HY35" i="52"/>
  <c r="HY36" i="52"/>
  <c r="HY37" i="52"/>
  <c r="M17" i="60"/>
  <c r="E17" i="60"/>
  <c r="M16" i="60"/>
  <c r="E16" i="60"/>
  <c r="M52" i="60"/>
  <c r="E52" i="60"/>
  <c r="M50" i="60"/>
  <c r="E50" i="60"/>
  <c r="M48" i="60"/>
  <c r="E48" i="60"/>
  <c r="M46" i="60"/>
  <c r="E46" i="60"/>
  <c r="M44" i="60"/>
  <c r="E44" i="60"/>
  <c r="M42" i="60"/>
  <c r="E42" i="60"/>
  <c r="M40" i="60"/>
  <c r="E40" i="60"/>
  <c r="M38" i="60"/>
  <c r="E38" i="60"/>
  <c r="M36" i="60"/>
  <c r="E36" i="60"/>
  <c r="M34" i="60"/>
  <c r="E34" i="60"/>
  <c r="M32" i="60"/>
  <c r="E32" i="60"/>
  <c r="M30" i="60"/>
  <c r="E30" i="60"/>
  <c r="M28" i="60"/>
  <c r="E28" i="60"/>
  <c r="M26" i="60"/>
  <c r="E26" i="60"/>
  <c r="M24" i="60"/>
  <c r="E24" i="60"/>
  <c r="M22" i="60"/>
  <c r="E22" i="60"/>
  <c r="M20" i="60"/>
  <c r="E20" i="60"/>
  <c r="M18" i="60"/>
  <c r="E18" i="60"/>
  <c r="M15" i="60"/>
  <c r="E15" i="60"/>
  <c r="BF39" i="52"/>
  <c r="BE38" i="52"/>
  <c r="BF40" i="52"/>
  <c r="BE40" i="52"/>
  <c r="BR38" i="52"/>
  <c r="AY40" i="52"/>
  <c r="BQ39" i="52"/>
  <c r="P40" i="52"/>
  <c r="P39" i="52"/>
  <c r="BR39" i="52"/>
  <c r="P38" i="52"/>
  <c r="BB40" i="52"/>
  <c r="BL40" i="52"/>
  <c r="BC40" i="52"/>
  <c r="BD38" i="52"/>
  <c r="BD39" i="52"/>
  <c r="BE39" i="52"/>
  <c r="BQ38" i="52"/>
  <c r="BS40" i="52"/>
  <c r="BR40" i="52"/>
  <c r="BS39" i="52"/>
  <c r="BP40" i="52"/>
  <c r="V46" i="60"/>
  <c r="AG46" i="60"/>
  <c r="V38" i="60"/>
  <c r="AG38" i="60"/>
  <c r="V48" i="60"/>
  <c r="AG48" i="60"/>
  <c r="V40" i="60"/>
  <c r="AG40" i="60"/>
  <c r="V28" i="60"/>
  <c r="AG28" i="60"/>
  <c r="V20" i="60"/>
  <c r="AG20" i="60"/>
  <c r="V52" i="60"/>
  <c r="AG52" i="60"/>
  <c r="V44" i="60"/>
  <c r="AG44" i="60"/>
  <c r="V50" i="60"/>
  <c r="AG50" i="60"/>
  <c r="V42" i="60"/>
  <c r="AG42" i="60"/>
  <c r="V34" i="60"/>
  <c r="AG34" i="60"/>
  <c r="V26" i="60"/>
  <c r="AG26" i="60"/>
  <c r="R38" i="52"/>
  <c r="D124" i="63"/>
  <c r="D130" i="63"/>
  <c r="D129" i="63"/>
  <c r="H27" i="63"/>
  <c r="D124" i="62"/>
  <c r="D130" i="62"/>
  <c r="H28" i="62"/>
  <c r="D129" i="62"/>
  <c r="H27" i="62"/>
  <c r="E167" i="62"/>
  <c r="G27" i="62"/>
  <c r="M27" i="62"/>
  <c r="E166" i="62"/>
  <c r="G26" i="62"/>
  <c r="M26" i="62"/>
  <c r="E168" i="62"/>
  <c r="G28" i="62"/>
  <c r="M28" i="62"/>
  <c r="E169" i="63"/>
  <c r="G28" i="63"/>
  <c r="M28" i="63"/>
  <c r="E168" i="63"/>
  <c r="G27" i="63"/>
  <c r="M27" i="63"/>
  <c r="E167" i="63"/>
  <c r="H22" i="66"/>
  <c r="H21" i="66"/>
  <c r="H43" i="66"/>
  <c r="I43" i="66"/>
  <c r="H42" i="66"/>
  <c r="I42" i="66"/>
  <c r="H19" i="66"/>
  <c r="H20" i="66"/>
  <c r="N43" i="66"/>
  <c r="V30" i="60"/>
  <c r="V22" i="60"/>
  <c r="V58" i="60"/>
  <c r="I113" i="61"/>
  <c r="L42" i="66"/>
  <c r="V36" i="60"/>
  <c r="J31" i="60"/>
  <c r="L38" i="66"/>
  <c r="J23" i="60"/>
  <c r="L34" i="66"/>
  <c r="G42" i="66"/>
  <c r="G43" i="66"/>
  <c r="J29" i="60"/>
  <c r="L36" i="66"/>
  <c r="J21" i="60"/>
  <c r="L32" i="66"/>
  <c r="V32" i="60"/>
  <c r="V24" i="60"/>
  <c r="J35" i="60"/>
  <c r="L40" i="66"/>
  <c r="G21" i="66"/>
  <c r="O21" i="66"/>
  <c r="G22" i="66"/>
  <c r="O22" i="66"/>
  <c r="J17" i="60"/>
  <c r="L15" i="66"/>
  <c r="V54" i="60"/>
  <c r="F22" i="66"/>
  <c r="F21" i="66"/>
  <c r="V16" i="60"/>
  <c r="F20" i="66"/>
  <c r="F19" i="66"/>
  <c r="J15" i="60"/>
  <c r="L13" i="66"/>
  <c r="J53" i="60"/>
  <c r="L19" i="66"/>
  <c r="F42" i="66"/>
  <c r="V18" i="60"/>
  <c r="G20" i="66"/>
  <c r="O20" i="66"/>
  <c r="G19" i="66"/>
  <c r="O19" i="66"/>
  <c r="V56" i="60"/>
  <c r="J55" i="60"/>
  <c r="L21" i="66"/>
  <c r="V429" i="16"/>
  <c r="U429" i="16"/>
  <c r="H53" i="60"/>
  <c r="G112" i="61"/>
  <c r="H57" i="60"/>
  <c r="F111" i="61"/>
  <c r="F112" i="61"/>
  <c r="G26" i="63"/>
  <c r="M26" i="63"/>
  <c r="M48" i="8"/>
  <c r="E90" i="64"/>
  <c r="E27" i="64"/>
  <c r="N112" i="61"/>
  <c r="Q112" i="61"/>
  <c r="I92" i="56"/>
  <c r="I90" i="56"/>
  <c r="I95" i="56"/>
  <c r="I91" i="56"/>
  <c r="I89" i="56"/>
  <c r="I94" i="56"/>
  <c r="I93" i="56"/>
  <c r="L56" i="60"/>
  <c r="H58" i="60"/>
  <c r="N113" i="61"/>
  <c r="Q113" i="61"/>
  <c r="H113" i="61"/>
  <c r="G53" i="60"/>
  <c r="H56" i="60"/>
  <c r="K113" i="61"/>
  <c r="I112" i="61"/>
  <c r="G113" i="61"/>
  <c r="N111" i="61"/>
  <c r="R111" i="61"/>
  <c r="O57" i="60"/>
  <c r="R57" i="60"/>
  <c r="L58" i="60"/>
  <c r="I111" i="61"/>
  <c r="R39" i="52"/>
  <c r="R40" i="52"/>
  <c r="I55" i="60"/>
  <c r="I54" i="60"/>
  <c r="D54" i="60"/>
  <c r="L55" i="60"/>
  <c r="H55" i="60"/>
  <c r="O56" i="60"/>
  <c r="R56" i="60"/>
  <c r="G56" i="60"/>
  <c r="J57" i="60"/>
  <c r="O58" i="60"/>
  <c r="G58" i="60"/>
  <c r="H111" i="61"/>
  <c r="D111" i="61"/>
  <c r="H112" i="61"/>
  <c r="D112" i="61"/>
  <c r="F113" i="61"/>
  <c r="O53" i="60"/>
  <c r="R53" i="60"/>
  <c r="D55" i="60"/>
  <c r="G57" i="60"/>
  <c r="D13" i="64"/>
  <c r="D16" i="64"/>
  <c r="D17" i="64"/>
  <c r="I53" i="60"/>
  <c r="D53" i="60"/>
  <c r="L54" i="60"/>
  <c r="H54" i="60"/>
  <c r="O55" i="60"/>
  <c r="R55" i="60"/>
  <c r="G55" i="60"/>
  <c r="I57" i="60"/>
  <c r="D57" i="60"/>
  <c r="K111" i="61"/>
  <c r="G111" i="61"/>
  <c r="O54" i="60"/>
  <c r="S54" i="60"/>
  <c r="G54" i="60"/>
  <c r="I56" i="60"/>
  <c r="D56" i="60"/>
  <c r="I58" i="60"/>
  <c r="D58" i="60"/>
  <c r="D113" i="61"/>
  <c r="E16" i="64"/>
  <c r="E17" i="64"/>
  <c r="J51" i="64"/>
  <c r="J52" i="64"/>
  <c r="E14" i="64"/>
  <c r="J53" i="64"/>
  <c r="D51" i="64"/>
  <c r="D52" i="64"/>
  <c r="D53" i="64"/>
  <c r="E91" i="64"/>
  <c r="E28" i="64"/>
  <c r="E15" i="64"/>
  <c r="F51" i="64"/>
  <c r="F52" i="64"/>
  <c r="F53" i="64"/>
  <c r="H51" i="64"/>
  <c r="H52" i="64"/>
  <c r="D13" i="63"/>
  <c r="D15" i="63"/>
  <c r="G40" i="52"/>
  <c r="Q40" i="52"/>
  <c r="L40" i="52"/>
  <c r="E28" i="63"/>
  <c r="H28" i="63"/>
  <c r="H26" i="63"/>
  <c r="E27" i="63"/>
  <c r="E26" i="63"/>
  <c r="D51" i="63"/>
  <c r="D167" i="63"/>
  <c r="D52" i="63"/>
  <c r="D168" i="63"/>
  <c r="D53" i="63"/>
  <c r="D169" i="63"/>
  <c r="E15" i="63"/>
  <c r="E14" i="63"/>
  <c r="E16" i="63"/>
  <c r="E17" i="63"/>
  <c r="F51" i="63"/>
  <c r="F52" i="63"/>
  <c r="F53" i="63"/>
  <c r="J51" i="63"/>
  <c r="J52" i="63"/>
  <c r="J53" i="63"/>
  <c r="H51" i="63"/>
  <c r="H52" i="63"/>
  <c r="BH39" i="52"/>
  <c r="BU39" i="52"/>
  <c r="G39" i="52"/>
  <c r="D13" i="62"/>
  <c r="D15" i="62"/>
  <c r="Q39" i="52"/>
  <c r="L39" i="52"/>
  <c r="D51" i="62"/>
  <c r="D166" i="62"/>
  <c r="D52" i="62"/>
  <c r="D167" i="62"/>
  <c r="D53" i="62"/>
  <c r="D168" i="62"/>
  <c r="E27" i="62"/>
  <c r="H26" i="62"/>
  <c r="E26" i="62"/>
  <c r="E28" i="62"/>
  <c r="E15" i="62"/>
  <c r="F51" i="62"/>
  <c r="F52" i="62"/>
  <c r="F53" i="62"/>
  <c r="H51" i="62"/>
  <c r="H52" i="62"/>
  <c r="H53" i="62"/>
  <c r="E14" i="62"/>
  <c r="E16" i="62"/>
  <c r="E17" i="62"/>
  <c r="J51" i="62"/>
  <c r="J52" i="62"/>
  <c r="G38" i="52"/>
  <c r="Q38" i="52"/>
  <c r="L38" i="52"/>
  <c r="I106" i="61"/>
  <c r="I102" i="61"/>
  <c r="I98" i="61"/>
  <c r="I94" i="61"/>
  <c r="I88" i="61"/>
  <c r="I105" i="61"/>
  <c r="I101" i="61"/>
  <c r="I97" i="61"/>
  <c r="I93" i="61"/>
  <c r="I87" i="61"/>
  <c r="I108" i="61"/>
  <c r="I104" i="61"/>
  <c r="I100" i="61"/>
  <c r="I96" i="61"/>
  <c r="I92" i="61"/>
  <c r="I107" i="61"/>
  <c r="I103" i="61"/>
  <c r="I99" i="61"/>
  <c r="I95" i="61"/>
  <c r="BK39" i="52"/>
  <c r="BC38" i="52"/>
  <c r="BP38" i="52"/>
  <c r="BO38" i="52"/>
  <c r="AX39" i="52"/>
  <c r="BO39" i="52"/>
  <c r="AX38" i="52"/>
  <c r="BP39" i="52"/>
  <c r="BB39" i="52"/>
  <c r="BB38" i="52"/>
  <c r="BC39" i="52"/>
  <c r="BO40" i="52"/>
  <c r="BK38" i="52"/>
  <c r="CE38" i="52"/>
  <c r="I19" i="66"/>
  <c r="AB19" i="66"/>
  <c r="I22" i="66"/>
  <c r="AB22" i="66"/>
  <c r="I20" i="66"/>
  <c r="AB20" i="66"/>
  <c r="I21" i="66"/>
  <c r="AB21" i="66"/>
  <c r="J58" i="60"/>
  <c r="L43" i="66"/>
  <c r="J56" i="60"/>
  <c r="L22" i="66"/>
  <c r="J54" i="60"/>
  <c r="L20" i="66"/>
  <c r="D14" i="64"/>
  <c r="D15" i="64"/>
  <c r="D14" i="62"/>
  <c r="R112" i="61"/>
  <c r="S57" i="60"/>
  <c r="R113" i="61"/>
  <c r="S56" i="60"/>
  <c r="Q111" i="61"/>
  <c r="R54" i="60"/>
  <c r="O38" i="52"/>
  <c r="J111" i="61"/>
  <c r="K54" i="60"/>
  <c r="K53" i="60"/>
  <c r="M113" i="61"/>
  <c r="N58" i="60"/>
  <c r="P58" i="60"/>
  <c r="N57" i="60"/>
  <c r="N55" i="60"/>
  <c r="N56" i="60"/>
  <c r="M112" i="61"/>
  <c r="D16" i="63"/>
  <c r="D17" i="63"/>
  <c r="O40" i="52"/>
  <c r="J113" i="61"/>
  <c r="K58" i="60"/>
  <c r="K57" i="60"/>
  <c r="S53" i="60"/>
  <c r="S55" i="60"/>
  <c r="M111" i="61"/>
  <c r="N54" i="60"/>
  <c r="N53" i="60"/>
  <c r="O39" i="52"/>
  <c r="J112" i="61"/>
  <c r="K55" i="60"/>
  <c r="K56" i="60"/>
  <c r="S58" i="60"/>
  <c r="R58" i="60"/>
  <c r="D14" i="63"/>
  <c r="D16" i="62"/>
  <c r="D17" i="62"/>
  <c r="O42" i="66"/>
  <c r="CE39" i="52"/>
  <c r="CB39" i="52"/>
  <c r="CD39" i="52"/>
  <c r="BX38" i="52"/>
  <c r="CC39" i="52"/>
  <c r="CB38" i="52"/>
  <c r="CC38" i="52"/>
  <c r="CD38" i="52"/>
  <c r="BX39" i="52"/>
  <c r="CF39" i="52"/>
  <c r="P19" i="66"/>
  <c r="P21" i="66"/>
  <c r="CH39" i="52"/>
  <c r="Q58" i="60"/>
  <c r="P57" i="60"/>
  <c r="Q57" i="60"/>
  <c r="O113" i="61"/>
  <c r="P113" i="61"/>
  <c r="D153" i="50"/>
  <c r="D143" i="49"/>
  <c r="D143" i="48"/>
  <c r="D143" i="55"/>
  <c r="D142" i="54"/>
  <c r="D152" i="50"/>
  <c r="D142" i="49"/>
  <c r="D142" i="48"/>
  <c r="D139" i="47"/>
  <c r="D139" i="46"/>
  <c r="D142" i="45"/>
  <c r="D143" i="44"/>
  <c r="D153" i="45"/>
  <c r="D152" i="45"/>
  <c r="D154" i="45"/>
  <c r="E284" i="5"/>
  <c r="D101" i="64"/>
  <c r="N42" i="66"/>
  <c r="E116" i="64"/>
  <c r="F33" i="64"/>
  <c r="M27" i="64"/>
  <c r="E115" i="64"/>
  <c r="F32" i="64"/>
  <c r="M26" i="64"/>
  <c r="E117" i="64"/>
  <c r="F34" i="64"/>
  <c r="M28" i="64"/>
  <c r="D98" i="35"/>
  <c r="D99" i="35"/>
  <c r="E107" i="35"/>
  <c r="F33" i="35"/>
  <c r="D98" i="34"/>
  <c r="D99" i="34"/>
  <c r="E107" i="34"/>
  <c r="F33" i="34"/>
  <c r="D98" i="33"/>
  <c r="D99" i="33"/>
  <c r="E107" i="33"/>
  <c r="F33" i="33"/>
  <c r="D98" i="32"/>
  <c r="D99" i="32"/>
  <c r="E107" i="32"/>
  <c r="F33" i="32"/>
  <c r="D99" i="31"/>
  <c r="D100" i="31"/>
  <c r="E109" i="31"/>
  <c r="F33" i="31"/>
  <c r="D99" i="30"/>
  <c r="D100" i="30"/>
  <c r="E110" i="30"/>
  <c r="F34" i="30"/>
  <c r="D100" i="29"/>
  <c r="D101" i="29"/>
  <c r="D100" i="28"/>
  <c r="D101" i="28"/>
  <c r="D100" i="27"/>
  <c r="D101" i="27"/>
  <c r="D100" i="26"/>
  <c r="D101" i="26"/>
  <c r="D100" i="25"/>
  <c r="D101" i="25"/>
  <c r="E111" i="25"/>
  <c r="F34" i="25"/>
  <c r="D100" i="24"/>
  <c r="D101" i="24"/>
  <c r="E111" i="24"/>
  <c r="F34" i="24"/>
  <c r="D111" i="23"/>
  <c r="D112" i="23"/>
  <c r="D111" i="22"/>
  <c r="D112" i="22"/>
  <c r="D89" i="21"/>
  <c r="D90" i="21"/>
  <c r="D89" i="38"/>
  <c r="D90" i="38"/>
  <c r="BK40" i="52"/>
  <c r="AX40" i="52"/>
  <c r="E118" i="22"/>
  <c r="E117" i="22"/>
  <c r="E116" i="22"/>
  <c r="E117" i="26"/>
  <c r="F34" i="26"/>
  <c r="E116" i="26"/>
  <c r="E115" i="26"/>
  <c r="F32" i="26"/>
  <c r="F32" i="38"/>
  <c r="F34" i="38"/>
  <c r="F33" i="38"/>
  <c r="E117" i="28"/>
  <c r="F34" i="28"/>
  <c r="E116" i="28"/>
  <c r="F33" i="28"/>
  <c r="E115" i="28"/>
  <c r="F32" i="28"/>
  <c r="F34" i="21"/>
  <c r="F33" i="21"/>
  <c r="F32" i="21"/>
  <c r="E117" i="29"/>
  <c r="F34" i="29"/>
  <c r="E116" i="29"/>
  <c r="F33" i="29"/>
  <c r="E115" i="29"/>
  <c r="F32" i="29"/>
  <c r="E118" i="23"/>
  <c r="E117" i="23"/>
  <c r="E116" i="23"/>
  <c r="E117" i="27"/>
  <c r="F34" i="27"/>
  <c r="E116" i="27"/>
  <c r="F33" i="27"/>
  <c r="E115" i="27"/>
  <c r="F32" i="27"/>
  <c r="E106" i="35"/>
  <c r="F32" i="35"/>
  <c r="E106" i="34"/>
  <c r="F32" i="34"/>
  <c r="E106" i="33"/>
  <c r="F32" i="33"/>
  <c r="E106" i="32"/>
  <c r="F32" i="32"/>
  <c r="E110" i="31"/>
  <c r="F34" i="31"/>
  <c r="E108" i="31"/>
  <c r="F32" i="31"/>
  <c r="E108" i="30"/>
  <c r="F32" i="30"/>
  <c r="E109" i="30"/>
  <c r="F33" i="30"/>
  <c r="F33" i="26"/>
  <c r="E110" i="25"/>
  <c r="F33" i="25"/>
  <c r="E109" i="25"/>
  <c r="F32" i="25"/>
  <c r="E109" i="24"/>
  <c r="F32" i="24"/>
  <c r="E110" i="24"/>
  <c r="F33" i="24"/>
  <c r="D150" i="55"/>
  <c r="D149" i="55"/>
  <c r="D149" i="54"/>
  <c r="D148" i="54"/>
  <c r="D129" i="19"/>
  <c r="D128" i="19"/>
  <c r="D129" i="15"/>
  <c r="D128" i="15"/>
  <c r="D132" i="18"/>
  <c r="D131" i="18"/>
  <c r="D132" i="17"/>
  <c r="D137" i="17"/>
  <c r="D131" i="17"/>
  <c r="D136" i="17"/>
  <c r="D146" i="47"/>
  <c r="D145" i="47"/>
  <c r="D146" i="46"/>
  <c r="D145" i="46"/>
  <c r="D150" i="44"/>
  <c r="D149" i="44"/>
  <c r="D144" i="47"/>
  <c r="D130" i="18"/>
  <c r="D135" i="18"/>
  <c r="D127" i="19"/>
  <c r="D127" i="15"/>
  <c r="D147" i="54"/>
  <c r="D148" i="55"/>
  <c r="D130" i="17"/>
  <c r="D135" i="17"/>
  <c r="D144" i="46"/>
  <c r="D148" i="44"/>
  <c r="D153" i="44"/>
  <c r="D23" i="5"/>
  <c r="E96" i="35"/>
  <c r="H27" i="35"/>
  <c r="E95" i="35"/>
  <c r="H26" i="35"/>
  <c r="E94" i="35"/>
  <c r="E93" i="35"/>
  <c r="E96" i="34"/>
  <c r="H27" i="34"/>
  <c r="E95" i="34"/>
  <c r="H26" i="34"/>
  <c r="E96" i="33"/>
  <c r="H27" i="33"/>
  <c r="E95" i="33"/>
  <c r="H26" i="33"/>
  <c r="E96" i="32"/>
  <c r="H27" i="32"/>
  <c r="E95" i="32"/>
  <c r="H26" i="32"/>
  <c r="E94" i="32"/>
  <c r="E93" i="32"/>
  <c r="E97" i="31"/>
  <c r="H28" i="31"/>
  <c r="E96" i="31"/>
  <c r="H27" i="31"/>
  <c r="E95" i="31"/>
  <c r="H26" i="31"/>
  <c r="E97" i="30"/>
  <c r="H28" i="30"/>
  <c r="E96" i="30"/>
  <c r="H27" i="30"/>
  <c r="E95" i="30"/>
  <c r="H26" i="30"/>
  <c r="E94" i="30"/>
  <c r="E93" i="30"/>
  <c r="E92" i="30"/>
  <c r="H28" i="29"/>
  <c r="H27" i="29"/>
  <c r="H26" i="29"/>
  <c r="H28" i="28"/>
  <c r="H27" i="28"/>
  <c r="H26" i="28"/>
  <c r="H28" i="27"/>
  <c r="H27" i="27"/>
  <c r="H26" i="27"/>
  <c r="H28" i="26"/>
  <c r="H27" i="26"/>
  <c r="H26" i="26"/>
  <c r="H28" i="23"/>
  <c r="H27" i="23"/>
  <c r="H26" i="23"/>
  <c r="H28" i="22"/>
  <c r="H27" i="22"/>
  <c r="H26" i="22"/>
  <c r="T422" i="16"/>
  <c r="E208" i="5"/>
  <c r="E89" i="56"/>
  <c r="L89" i="56"/>
  <c r="E91" i="56"/>
  <c r="L91" i="56"/>
  <c r="E94" i="56"/>
  <c r="L94" i="56"/>
  <c r="E90" i="56"/>
  <c r="L90" i="56"/>
  <c r="E92" i="56"/>
  <c r="L92" i="56"/>
  <c r="E95" i="56"/>
  <c r="L95" i="56"/>
  <c r="E93" i="56"/>
  <c r="L93" i="56"/>
  <c r="Q22" i="8"/>
  <c r="P22" i="8"/>
  <c r="O22" i="8"/>
  <c r="N22" i="8"/>
  <c r="N20" i="8"/>
  <c r="Q20" i="8"/>
  <c r="P20" i="8"/>
  <c r="O20" i="8"/>
  <c r="D134" i="50"/>
  <c r="D131" i="49"/>
  <c r="D131" i="48"/>
  <c r="D132" i="48"/>
  <c r="D138" i="48"/>
  <c r="D137" i="48"/>
  <c r="D132" i="49"/>
  <c r="D138" i="49"/>
  <c r="D137" i="49"/>
  <c r="D135" i="50"/>
  <c r="D141" i="50"/>
  <c r="D140" i="50"/>
  <c r="P407" i="16"/>
  <c r="T423" i="16"/>
  <c r="AC407" i="16"/>
  <c r="AC366" i="16"/>
  <c r="AC301" i="16"/>
  <c r="P301" i="16"/>
  <c r="AC282" i="16"/>
  <c r="P282" i="16"/>
  <c r="AC260" i="16"/>
  <c r="P260" i="16"/>
  <c r="AC238" i="16"/>
  <c r="P238" i="16"/>
  <c r="BC35" i="52"/>
  <c r="BP29" i="52"/>
  <c r="BC27" i="52"/>
  <c r="BC26" i="52"/>
  <c r="BP20" i="52"/>
  <c r="BP24" i="52"/>
  <c r="BC23" i="52"/>
  <c r="BC25" i="52"/>
  <c r="BP33" i="52"/>
  <c r="BC34" i="52"/>
  <c r="BC28" i="52"/>
  <c r="BP28" i="52"/>
  <c r="BC30" i="52"/>
  <c r="BP21" i="52"/>
  <c r="BC21" i="52"/>
  <c r="BP26" i="52"/>
  <c r="BP32" i="52"/>
  <c r="BP31" i="52"/>
  <c r="BP30" i="52"/>
  <c r="BP27" i="52"/>
  <c r="BC33" i="52"/>
  <c r="BC29" i="52"/>
  <c r="BP22" i="52"/>
  <c r="BC31" i="52"/>
  <c r="BC32" i="52"/>
  <c r="BP25" i="52"/>
  <c r="BP35" i="52"/>
  <c r="BC24" i="52"/>
  <c r="BC22" i="52"/>
  <c r="BP23" i="52"/>
  <c r="BP34" i="52"/>
  <c r="BC20" i="52"/>
  <c r="E250" i="5"/>
  <c r="E249" i="5"/>
  <c r="E251" i="5"/>
  <c r="D13" i="52"/>
  <c r="D14" i="52"/>
  <c r="D15" i="52"/>
  <c r="D16" i="52"/>
  <c r="D17" i="52"/>
  <c r="D18" i="52"/>
  <c r="D19" i="52"/>
  <c r="D20" i="52"/>
  <c r="D21" i="52"/>
  <c r="D22" i="52"/>
  <c r="D23" i="52"/>
  <c r="D24" i="52"/>
  <c r="D25" i="52"/>
  <c r="D26" i="52"/>
  <c r="D27" i="52"/>
  <c r="D28" i="52"/>
  <c r="D29" i="52"/>
  <c r="D30" i="52"/>
  <c r="D31" i="52"/>
  <c r="D32" i="52"/>
  <c r="D33" i="52"/>
  <c r="D34" i="52"/>
  <c r="D35" i="52"/>
  <c r="D36" i="52"/>
  <c r="D37" i="52"/>
  <c r="D12" i="52"/>
  <c r="D50" i="60"/>
  <c r="D107" i="61"/>
  <c r="D49" i="60"/>
  <c r="D95" i="56"/>
  <c r="D110" i="61"/>
  <c r="L37" i="52"/>
  <c r="D48" i="60"/>
  <c r="D47" i="60"/>
  <c r="D106" i="61"/>
  <c r="D40" i="60"/>
  <c r="D102" i="61"/>
  <c r="D39" i="60"/>
  <c r="L29" i="52"/>
  <c r="J40" i="60"/>
  <c r="D32" i="60"/>
  <c r="D31" i="60"/>
  <c r="D98" i="61"/>
  <c r="D24" i="60"/>
  <c r="D94" i="61"/>
  <c r="D23" i="60"/>
  <c r="L21" i="52"/>
  <c r="D92" i="56"/>
  <c r="D90" i="61"/>
  <c r="L17" i="52"/>
  <c r="D88" i="61"/>
  <c r="D90" i="56"/>
  <c r="D86" i="61"/>
  <c r="D94" i="56"/>
  <c r="D109" i="61"/>
  <c r="L36" i="52"/>
  <c r="D46" i="60"/>
  <c r="D45" i="60"/>
  <c r="D105" i="61"/>
  <c r="D38" i="60"/>
  <c r="D101" i="61"/>
  <c r="D37" i="60"/>
  <c r="L28" i="52"/>
  <c r="J38" i="60"/>
  <c r="D30" i="60"/>
  <c r="D29" i="60"/>
  <c r="D97" i="61"/>
  <c r="D22" i="60"/>
  <c r="D93" i="61"/>
  <c r="D21" i="60"/>
  <c r="L20" i="52"/>
  <c r="D91" i="56"/>
  <c r="D89" i="61"/>
  <c r="L16" i="52"/>
  <c r="D87" i="61"/>
  <c r="D52" i="60"/>
  <c r="D108" i="61"/>
  <c r="D51" i="60"/>
  <c r="D44" i="60"/>
  <c r="D43" i="60"/>
  <c r="D104" i="61"/>
  <c r="D36" i="60"/>
  <c r="D100" i="61"/>
  <c r="D35" i="60"/>
  <c r="D28" i="60"/>
  <c r="D27" i="60"/>
  <c r="D96" i="61"/>
  <c r="L23" i="52"/>
  <c r="J28" i="60"/>
  <c r="D20" i="60"/>
  <c r="D19" i="60"/>
  <c r="D92" i="61"/>
  <c r="D89" i="56"/>
  <c r="D85" i="61"/>
  <c r="D42" i="60"/>
  <c r="D41" i="60"/>
  <c r="D103" i="61"/>
  <c r="D34" i="60"/>
  <c r="D99" i="61"/>
  <c r="D33" i="60"/>
  <c r="L26" i="52"/>
  <c r="J34" i="60"/>
  <c r="D26" i="60"/>
  <c r="D25" i="60"/>
  <c r="D95" i="61"/>
  <c r="L22" i="52"/>
  <c r="J26" i="60"/>
  <c r="D93" i="56"/>
  <c r="D91" i="61"/>
  <c r="D17" i="60"/>
  <c r="D18" i="60"/>
  <c r="D16" i="60"/>
  <c r="D15" i="60"/>
  <c r="E259" i="5"/>
  <c r="E263" i="5"/>
  <c r="E258" i="5"/>
  <c r="E262" i="5"/>
  <c r="E257" i="5"/>
  <c r="E261" i="5"/>
  <c r="J24" i="60"/>
  <c r="L35" i="66"/>
  <c r="J22" i="60"/>
  <c r="L33" i="66"/>
  <c r="D75" i="54"/>
  <c r="D74" i="48"/>
  <c r="D75" i="55"/>
  <c r="D74" i="49"/>
  <c r="D73" i="19"/>
  <c r="D73" i="15"/>
  <c r="D73" i="18"/>
  <c r="D73" i="17"/>
  <c r="D75" i="47"/>
  <c r="D75" i="46"/>
  <c r="D75" i="45"/>
  <c r="D75" i="44"/>
  <c r="P132" i="16"/>
  <c r="Z127" i="16"/>
  <c r="P131" i="16"/>
  <c r="M127" i="16"/>
  <c r="P106" i="16"/>
  <c r="Z101" i="16"/>
  <c r="P105" i="16"/>
  <c r="M101" i="16"/>
  <c r="P80" i="16"/>
  <c r="Z75" i="16"/>
  <c r="P79" i="16"/>
  <c r="M75" i="16"/>
  <c r="P48" i="16"/>
  <c r="Z42" i="16"/>
  <c r="P47" i="16"/>
  <c r="M42" i="16"/>
  <c r="Y175" i="16"/>
  <c r="U175" i="16"/>
  <c r="L175" i="16"/>
  <c r="Y153" i="16"/>
  <c r="U153" i="16"/>
  <c r="L153" i="16"/>
  <c r="U127" i="16"/>
  <c r="U101" i="16"/>
  <c r="AC45" i="8"/>
  <c r="AB45" i="8"/>
  <c r="AA45" i="8"/>
  <c r="Z45" i="8"/>
  <c r="Y46" i="8"/>
  <c r="X46" i="8"/>
  <c r="W46" i="8"/>
  <c r="V46" i="8"/>
  <c r="Q46" i="8"/>
  <c r="P46" i="8"/>
  <c r="O46" i="8"/>
  <c r="N46" i="8"/>
  <c r="Q45" i="8"/>
  <c r="P45" i="8"/>
  <c r="O45" i="8"/>
  <c r="N45" i="8"/>
  <c r="Q47" i="8"/>
  <c r="P47" i="8"/>
  <c r="O47" i="8"/>
  <c r="N47" i="8"/>
  <c r="I47" i="8"/>
  <c r="L18" i="52"/>
  <c r="E34" i="16"/>
  <c r="F34" i="16"/>
  <c r="G34" i="16"/>
  <c r="J34" i="16"/>
  <c r="E33" i="16"/>
  <c r="F33" i="16"/>
  <c r="G33" i="16"/>
  <c r="J33" i="16"/>
  <c r="E32" i="16"/>
  <c r="F32" i="16"/>
  <c r="G32" i="16"/>
  <c r="J32" i="16"/>
  <c r="P546" i="16"/>
  <c r="K545" i="16"/>
  <c r="P544" i="16"/>
  <c r="O534" i="16"/>
  <c r="AB534" i="16"/>
  <c r="D535" i="16"/>
  <c r="J534" i="16"/>
  <c r="P516" i="16"/>
  <c r="U515" i="16"/>
  <c r="U520" i="16"/>
  <c r="O508" i="16"/>
  <c r="P515" i="16"/>
  <c r="D509" i="16"/>
  <c r="J508" i="16"/>
  <c r="P490" i="16"/>
  <c r="U489" i="16"/>
  <c r="U494" i="16"/>
  <c r="O482" i="16"/>
  <c r="P489" i="16"/>
  <c r="D483" i="16"/>
  <c r="J482" i="16"/>
  <c r="O111" i="61"/>
  <c r="P53" i="60"/>
  <c r="P54" i="60"/>
  <c r="O112" i="61"/>
  <c r="P55" i="60"/>
  <c r="P56" i="60"/>
  <c r="P111" i="61"/>
  <c r="Q53" i="60"/>
  <c r="Q54" i="60"/>
  <c r="Q55" i="60"/>
  <c r="P112" i="61"/>
  <c r="Q56" i="60"/>
  <c r="M47" i="8"/>
  <c r="M45" i="8"/>
  <c r="M46" i="8"/>
  <c r="H485" i="16"/>
  <c r="D497" i="16"/>
  <c r="D546" i="16"/>
  <c r="D549" i="16"/>
  <c r="D521" i="16"/>
  <c r="D523" i="16"/>
  <c r="H483" i="16"/>
  <c r="H482" i="16"/>
  <c r="D484" i="16"/>
  <c r="U495" i="16"/>
  <c r="AB482" i="16"/>
  <c r="D487" i="16"/>
  <c r="D488" i="16"/>
  <c r="D537" i="16"/>
  <c r="G535" i="16"/>
  <c r="D485" i="16"/>
  <c r="H508" i="16"/>
  <c r="H534" i="16"/>
  <c r="H535" i="16"/>
  <c r="H509" i="16"/>
  <c r="G534" i="16"/>
  <c r="G537" i="16"/>
  <c r="G482" i="16"/>
  <c r="G483" i="16"/>
  <c r="G485" i="16"/>
  <c r="D495" i="16"/>
  <c r="D536" i="16"/>
  <c r="D494" i="16"/>
  <c r="D510" i="16"/>
  <c r="D512" i="16"/>
  <c r="U521" i="16"/>
  <c r="AB508" i="16"/>
  <c r="H536" i="16"/>
  <c r="D538" i="16"/>
  <c r="H484" i="16"/>
  <c r="D486" i="16"/>
  <c r="D511" i="16"/>
  <c r="D513" i="16"/>
  <c r="D514" i="16"/>
  <c r="G511" i="16"/>
  <c r="D520" i="16"/>
  <c r="G510" i="16"/>
  <c r="H511" i="16"/>
  <c r="G484" i="16"/>
  <c r="G508" i="16"/>
  <c r="G509" i="16"/>
  <c r="H510" i="16"/>
  <c r="G536" i="16"/>
  <c r="H537" i="16"/>
  <c r="D539" i="16"/>
  <c r="D540" i="16"/>
  <c r="K43" i="8"/>
  <c r="K41" i="8"/>
  <c r="M34" i="43"/>
  <c r="M33" i="43"/>
  <c r="M32" i="43"/>
  <c r="D133" i="55"/>
  <c r="D139" i="55"/>
  <c r="D132" i="55"/>
  <c r="D138" i="55"/>
  <c r="E13" i="55"/>
  <c r="F53" i="55"/>
  <c r="D13" i="55"/>
  <c r="D16" i="55"/>
  <c r="D17" i="55"/>
  <c r="D10" i="55"/>
  <c r="D132" i="54"/>
  <c r="D138" i="54"/>
  <c r="D131" i="54"/>
  <c r="D137" i="54"/>
  <c r="E13" i="54"/>
  <c r="H52" i="54"/>
  <c r="D13" i="54"/>
  <c r="D16" i="54"/>
  <c r="D17" i="54"/>
  <c r="D10" i="54"/>
  <c r="P470" i="16"/>
  <c r="P475" i="16"/>
  <c r="O456" i="16"/>
  <c r="P463" i="16"/>
  <c r="P464" i="16"/>
  <c r="D457" i="16"/>
  <c r="J456" i="16"/>
  <c r="P444" i="16"/>
  <c r="P450" i="16"/>
  <c r="AB429" i="16"/>
  <c r="P438" i="16"/>
  <c r="P437" i="16"/>
  <c r="D430" i="16"/>
  <c r="D443" i="16"/>
  <c r="J429" i="16"/>
  <c r="E31" i="16"/>
  <c r="F31" i="16"/>
  <c r="G31" i="16"/>
  <c r="D464" i="16"/>
  <c r="K464" i="16"/>
  <c r="AE456" i="16"/>
  <c r="J31" i="16"/>
  <c r="E30" i="16"/>
  <c r="F30" i="16"/>
  <c r="G30" i="16"/>
  <c r="D437" i="16"/>
  <c r="K436" i="16"/>
  <c r="S429" i="16"/>
  <c r="J30" i="16"/>
  <c r="Q44" i="8"/>
  <c r="P44" i="8"/>
  <c r="O44" i="8"/>
  <c r="N44" i="8"/>
  <c r="Q42" i="8"/>
  <c r="P42" i="8"/>
  <c r="O42" i="8"/>
  <c r="N42" i="8"/>
  <c r="Q14" i="8"/>
  <c r="P14" i="8"/>
  <c r="O14" i="8"/>
  <c r="N14" i="8"/>
  <c r="N15" i="8"/>
  <c r="Q15" i="8"/>
  <c r="P15" i="8"/>
  <c r="O15" i="8"/>
  <c r="E37" i="52"/>
  <c r="G37" i="52"/>
  <c r="J37" i="52"/>
  <c r="G110" i="61"/>
  <c r="M37" i="52"/>
  <c r="Q37" i="52"/>
  <c r="R37" i="52"/>
  <c r="S37" i="52"/>
  <c r="T37" i="52"/>
  <c r="E36" i="52"/>
  <c r="G36" i="52"/>
  <c r="J36" i="52"/>
  <c r="G109" i="61"/>
  <c r="M36" i="52"/>
  <c r="Q36" i="52"/>
  <c r="R36" i="52"/>
  <c r="S36" i="52"/>
  <c r="T36" i="52"/>
  <c r="Y44" i="8"/>
  <c r="X44" i="8"/>
  <c r="W44" i="8"/>
  <c r="V44" i="8"/>
  <c r="AC42" i="8"/>
  <c r="AB42" i="8"/>
  <c r="AC41" i="8"/>
  <c r="AB41" i="8"/>
  <c r="AA42" i="8"/>
  <c r="Z42" i="8"/>
  <c r="Y43" i="8"/>
  <c r="X43" i="8"/>
  <c r="W43" i="8"/>
  <c r="V43" i="8"/>
  <c r="AA41" i="8"/>
  <c r="Z41" i="8"/>
  <c r="BS37" i="52"/>
  <c r="P37" i="52"/>
  <c r="BQ36" i="52"/>
  <c r="BE36" i="52"/>
  <c r="BF37" i="52"/>
  <c r="BD36" i="52"/>
  <c r="BD37" i="52"/>
  <c r="P36" i="52"/>
  <c r="BQ37" i="52"/>
  <c r="BR36" i="52"/>
  <c r="N109" i="61"/>
  <c r="R109" i="61"/>
  <c r="N110" i="61"/>
  <c r="R110" i="61"/>
  <c r="M109" i="61"/>
  <c r="O109" i="61"/>
  <c r="M110" i="61"/>
  <c r="P110" i="61"/>
  <c r="J94" i="56"/>
  <c r="J109" i="61"/>
  <c r="J95" i="56"/>
  <c r="J110" i="61"/>
  <c r="F109" i="61"/>
  <c r="H109" i="61"/>
  <c r="H110" i="61"/>
  <c r="F110" i="61"/>
  <c r="K94" i="56"/>
  <c r="K109" i="61"/>
  <c r="K95" i="56"/>
  <c r="K110" i="61"/>
  <c r="D154" i="54"/>
  <c r="G28" i="54"/>
  <c r="M28" i="54"/>
  <c r="D153" i="54"/>
  <c r="G27" i="54"/>
  <c r="M27" i="54"/>
  <c r="D152" i="54"/>
  <c r="G26" i="54"/>
  <c r="M26" i="54"/>
  <c r="G94" i="56"/>
  <c r="G95" i="56"/>
  <c r="N95" i="56"/>
  <c r="R95" i="56"/>
  <c r="N94" i="56"/>
  <c r="R94" i="56"/>
  <c r="M94" i="56"/>
  <c r="O94" i="56"/>
  <c r="M95" i="56"/>
  <c r="O95" i="56"/>
  <c r="H94" i="56"/>
  <c r="F94" i="56"/>
  <c r="H95" i="56"/>
  <c r="F95" i="56"/>
  <c r="P476" i="16"/>
  <c r="AB456" i="16"/>
  <c r="E26" i="54"/>
  <c r="H28" i="54"/>
  <c r="D51" i="54"/>
  <c r="D15" i="55"/>
  <c r="P449" i="16"/>
  <c r="O429" i="16"/>
  <c r="G459" i="16"/>
  <c r="D471" i="16"/>
  <c r="D470" i="16"/>
  <c r="D442" i="16"/>
  <c r="D444" i="16"/>
  <c r="X429" i="16"/>
  <c r="E16" i="54"/>
  <c r="E17" i="54"/>
  <c r="D53" i="54"/>
  <c r="F51" i="54"/>
  <c r="H51" i="54"/>
  <c r="F53" i="54"/>
  <c r="D52" i="54"/>
  <c r="E14" i="54"/>
  <c r="F52" i="54"/>
  <c r="H53" i="54"/>
  <c r="E15" i="54"/>
  <c r="D18" i="55"/>
  <c r="D68" i="55"/>
  <c r="E27" i="54"/>
  <c r="H26" i="54"/>
  <c r="E28" i="54"/>
  <c r="H27" i="54"/>
  <c r="M41" i="8"/>
  <c r="M44" i="8"/>
  <c r="M43" i="8"/>
  <c r="O37" i="52"/>
  <c r="O36" i="52"/>
  <c r="M42" i="8"/>
  <c r="J53" i="54"/>
  <c r="K437" i="16"/>
  <c r="AF429" i="16"/>
  <c r="E14" i="55"/>
  <c r="E16" i="55"/>
  <c r="E17" i="55"/>
  <c r="H51" i="55"/>
  <c r="H52" i="55"/>
  <c r="H53" i="55"/>
  <c r="J52" i="55"/>
  <c r="J53" i="55"/>
  <c r="D18" i="54"/>
  <c r="D68" i="54"/>
  <c r="E15" i="55"/>
  <c r="D51" i="55"/>
  <c r="D52" i="55"/>
  <c r="D53" i="55"/>
  <c r="J51" i="55"/>
  <c r="D14" i="55"/>
  <c r="F51" i="55"/>
  <c r="F52" i="55"/>
  <c r="D15" i="54"/>
  <c r="J51" i="54"/>
  <c r="J52" i="54"/>
  <c r="K463" i="16"/>
  <c r="R456" i="16"/>
  <c r="D14" i="54"/>
  <c r="G458" i="16"/>
  <c r="H459" i="16"/>
  <c r="G456" i="16"/>
  <c r="G457" i="16"/>
  <c r="H458" i="16"/>
  <c r="D461" i="16"/>
  <c r="D462" i="16"/>
  <c r="D469" i="16"/>
  <c r="H456" i="16"/>
  <c r="H457" i="16"/>
  <c r="D459" i="16"/>
  <c r="D460" i="16"/>
  <c r="D468" i="16"/>
  <c r="D458" i="16"/>
  <c r="G431" i="16"/>
  <c r="H432" i="16"/>
  <c r="G429" i="16"/>
  <c r="G430" i="16"/>
  <c r="H431" i="16"/>
  <c r="D433" i="16"/>
  <c r="D441" i="16"/>
  <c r="H429" i="16"/>
  <c r="H430" i="16"/>
  <c r="D432" i="16"/>
  <c r="D431" i="16"/>
  <c r="G432" i="16"/>
  <c r="D434" i="16"/>
  <c r="D435" i="16"/>
  <c r="BP36" i="52"/>
  <c r="CD37" i="52"/>
  <c r="BK36" i="52"/>
  <c r="BX36" i="52"/>
  <c r="BB36" i="52"/>
  <c r="AX36" i="52"/>
  <c r="BO36" i="52"/>
  <c r="BC36" i="52"/>
  <c r="E183" i="50"/>
  <c r="E185" i="50"/>
  <c r="G28" i="50"/>
  <c r="E184" i="50"/>
  <c r="G27" i="50"/>
  <c r="E175" i="49"/>
  <c r="G28" i="49"/>
  <c r="E174" i="49"/>
  <c r="G27" i="49"/>
  <c r="E173" i="49"/>
  <c r="G26" i="49"/>
  <c r="W429" i="16"/>
  <c r="W456" i="16"/>
  <c r="X456" i="16"/>
  <c r="P109" i="61"/>
  <c r="Q109" i="61"/>
  <c r="O110" i="61"/>
  <c r="Q110" i="61"/>
  <c r="G26" i="50"/>
  <c r="E175" i="48"/>
  <c r="G28" i="48"/>
  <c r="E174" i="48"/>
  <c r="G27" i="48"/>
  <c r="E173" i="48"/>
  <c r="G26" i="48"/>
  <c r="D155" i="55"/>
  <c r="G28" i="55"/>
  <c r="M28" i="55"/>
  <c r="D154" i="55"/>
  <c r="G27" i="55"/>
  <c r="M27" i="55"/>
  <c r="D153" i="55"/>
  <c r="G26" i="55"/>
  <c r="M26" i="55"/>
  <c r="P94" i="56"/>
  <c r="Q94" i="56"/>
  <c r="Q95" i="56"/>
  <c r="H28" i="55"/>
  <c r="E27" i="55"/>
  <c r="E28" i="55"/>
  <c r="H27" i="55"/>
  <c r="H26" i="55"/>
  <c r="E26" i="55"/>
  <c r="P95" i="56"/>
  <c r="CD36" i="52"/>
  <c r="CB36" i="52"/>
  <c r="BC37" i="52"/>
  <c r="AX37" i="52"/>
  <c r="BB37" i="52"/>
  <c r="BO37" i="52"/>
  <c r="BP37" i="52"/>
  <c r="CB37" i="52"/>
  <c r="BX37" i="52"/>
  <c r="CC37" i="52"/>
  <c r="BK37" i="52"/>
  <c r="CC36" i="52"/>
  <c r="CE36" i="52"/>
  <c r="CF37" i="52"/>
  <c r="E76" i="43"/>
  <c r="E77" i="43"/>
  <c r="E78" i="43"/>
  <c r="E79" i="43"/>
  <c r="E80" i="43"/>
  <c r="E81" i="43"/>
  <c r="E82" i="43"/>
  <c r="E83" i="43"/>
  <c r="E84" i="43"/>
  <c r="E85" i="43"/>
  <c r="E86" i="43"/>
  <c r="E87" i="43"/>
  <c r="E88" i="43"/>
  <c r="E89" i="43"/>
  <c r="E90" i="43"/>
  <c r="E91" i="43"/>
  <c r="E92" i="43"/>
  <c r="E93" i="43"/>
  <c r="E94" i="43"/>
  <c r="E95" i="43"/>
  <c r="E96" i="43"/>
  <c r="E97" i="43"/>
  <c r="E98" i="43"/>
  <c r="E99" i="43"/>
  <c r="E100" i="43"/>
  <c r="E101" i="43"/>
  <c r="E102" i="43"/>
  <c r="E103" i="43"/>
  <c r="E104" i="43"/>
  <c r="E105" i="43"/>
  <c r="E106" i="43"/>
  <c r="E107" i="43"/>
  <c r="E108" i="43"/>
  <c r="E109" i="43"/>
  <c r="E110" i="43"/>
  <c r="E111" i="43"/>
  <c r="E112" i="43"/>
  <c r="E113" i="43"/>
  <c r="E114" i="43"/>
  <c r="E115" i="43"/>
  <c r="E116" i="43"/>
  <c r="E117" i="43"/>
  <c r="E118" i="43"/>
  <c r="E119" i="43"/>
  <c r="E120" i="43"/>
  <c r="E121" i="43"/>
  <c r="E122" i="43"/>
  <c r="E123" i="43"/>
  <c r="E124" i="43"/>
  <c r="E125" i="43"/>
  <c r="E126" i="43"/>
  <c r="E127" i="43"/>
  <c r="E128" i="43"/>
  <c r="E129" i="43"/>
  <c r="E130" i="43"/>
  <c r="E131" i="43"/>
  <c r="E132" i="43"/>
  <c r="E133" i="43"/>
  <c r="E134" i="43"/>
  <c r="E135" i="43"/>
  <c r="E136" i="43"/>
  <c r="E137" i="43"/>
  <c r="E138" i="43"/>
  <c r="E139" i="43"/>
  <c r="E140" i="43"/>
  <c r="E141" i="43"/>
  <c r="E142" i="43"/>
  <c r="E143" i="43"/>
  <c r="E144" i="43"/>
  <c r="E145" i="43"/>
  <c r="E146" i="43"/>
  <c r="E147" i="43"/>
  <c r="E148" i="43"/>
  <c r="E149" i="43"/>
  <c r="E150" i="43"/>
  <c r="E151" i="43"/>
  <c r="E152" i="43"/>
  <c r="E153" i="43"/>
  <c r="E154" i="43"/>
  <c r="E155" i="43"/>
  <c r="E156" i="43"/>
  <c r="E157" i="43"/>
  <c r="E158" i="43"/>
  <c r="E159" i="43"/>
  <c r="E160" i="43"/>
  <c r="E161" i="43"/>
  <c r="E162" i="43"/>
  <c r="E163" i="43"/>
  <c r="E164" i="43"/>
  <c r="E165" i="43"/>
  <c r="E166" i="43"/>
  <c r="E167" i="43"/>
  <c r="E168" i="43"/>
  <c r="E169" i="43"/>
  <c r="E170" i="43"/>
  <c r="E171" i="43"/>
  <c r="E172" i="43"/>
  <c r="E173" i="43"/>
  <c r="E174" i="43"/>
  <c r="E175" i="43"/>
  <c r="E176" i="43"/>
  <c r="E177" i="43"/>
  <c r="E178" i="43"/>
  <c r="E179" i="43"/>
  <c r="E180" i="43"/>
  <c r="E181" i="43"/>
  <c r="E182" i="43"/>
  <c r="E183" i="43"/>
  <c r="E184" i="43"/>
  <c r="E185" i="43"/>
  <c r="E186" i="43"/>
  <c r="E187" i="43"/>
  <c r="E188" i="43"/>
  <c r="E189" i="43"/>
  <c r="E190" i="43"/>
  <c r="E191" i="43"/>
  <c r="E192" i="43"/>
  <c r="E193" i="43"/>
  <c r="E194" i="43"/>
  <c r="E195" i="43"/>
  <c r="E196" i="43"/>
  <c r="E197" i="43"/>
  <c r="E198" i="43"/>
  <c r="E199" i="43"/>
  <c r="E200" i="43"/>
  <c r="E201" i="43"/>
  <c r="E202" i="43"/>
  <c r="E203" i="43"/>
  <c r="E204" i="43"/>
  <c r="E205" i="43"/>
  <c r="E206" i="43"/>
  <c r="E207" i="43"/>
  <c r="E208" i="43"/>
  <c r="E209" i="43"/>
  <c r="E210" i="43"/>
  <c r="E211" i="43"/>
  <c r="E212" i="43"/>
  <c r="E213" i="43"/>
  <c r="E214" i="43"/>
  <c r="E215" i="43"/>
  <c r="E216" i="43"/>
  <c r="E217" i="43"/>
  <c r="E218" i="43"/>
  <c r="E219" i="43"/>
  <c r="E220" i="43"/>
  <c r="E221" i="43"/>
  <c r="E222" i="43"/>
  <c r="E223" i="43"/>
  <c r="E224" i="43"/>
  <c r="E225" i="43"/>
  <c r="E226" i="43"/>
  <c r="I183" i="43"/>
  <c r="I184" i="43"/>
  <c r="I185" i="43"/>
  <c r="I186" i="43"/>
  <c r="I187" i="43"/>
  <c r="I188" i="43"/>
  <c r="I189" i="43"/>
  <c r="I190" i="43"/>
  <c r="I191" i="43"/>
  <c r="I192" i="43"/>
  <c r="I193" i="43"/>
  <c r="I194" i="43"/>
  <c r="I195" i="43"/>
  <c r="I196" i="43"/>
  <c r="I197" i="43"/>
  <c r="I198" i="43"/>
  <c r="I199" i="43"/>
  <c r="I200" i="43"/>
  <c r="I201" i="43"/>
  <c r="I202" i="43"/>
  <c r="I203" i="43"/>
  <c r="I204" i="43"/>
  <c r="I205" i="43"/>
  <c r="I206" i="43"/>
  <c r="I207" i="43"/>
  <c r="I208" i="43"/>
  <c r="I209" i="43"/>
  <c r="I210" i="43"/>
  <c r="I211" i="43"/>
  <c r="I212" i="43"/>
  <c r="I213" i="43"/>
  <c r="I214" i="43"/>
  <c r="I215" i="43"/>
  <c r="I216" i="43"/>
  <c r="I217" i="43"/>
  <c r="I218" i="43"/>
  <c r="I219" i="43"/>
  <c r="I220" i="43"/>
  <c r="I221" i="43"/>
  <c r="I222" i="43"/>
  <c r="I223" i="43"/>
  <c r="I224" i="43"/>
  <c r="I225" i="43"/>
  <c r="I226" i="43"/>
  <c r="M183" i="43"/>
  <c r="M184" i="43"/>
  <c r="M185" i="43"/>
  <c r="M186" i="43"/>
  <c r="M187" i="43"/>
  <c r="M188" i="43"/>
  <c r="M189" i="43"/>
  <c r="M190" i="43"/>
  <c r="M191" i="43"/>
  <c r="M192" i="43"/>
  <c r="M193" i="43"/>
  <c r="M194" i="43"/>
  <c r="M195" i="43"/>
  <c r="M196" i="43"/>
  <c r="M197" i="43"/>
  <c r="M198" i="43"/>
  <c r="M199" i="43"/>
  <c r="M200" i="43"/>
  <c r="M201" i="43"/>
  <c r="M202" i="43"/>
  <c r="M203" i="43"/>
  <c r="M204" i="43"/>
  <c r="M205" i="43"/>
  <c r="M206" i="43"/>
  <c r="M207" i="43"/>
  <c r="M208" i="43"/>
  <c r="M209" i="43"/>
  <c r="M210" i="43"/>
  <c r="M211" i="43"/>
  <c r="M212" i="43"/>
  <c r="M213" i="43"/>
  <c r="M214" i="43"/>
  <c r="M215" i="43"/>
  <c r="M216" i="43"/>
  <c r="M217" i="43"/>
  <c r="M218" i="43"/>
  <c r="M219" i="43"/>
  <c r="M220" i="43"/>
  <c r="M221" i="43"/>
  <c r="M222" i="43"/>
  <c r="M223" i="43"/>
  <c r="M224" i="43"/>
  <c r="M225" i="43"/>
  <c r="M226" i="43"/>
  <c r="F226" i="43"/>
  <c r="F225" i="43"/>
  <c r="F224" i="43"/>
  <c r="F222" i="43"/>
  <c r="F218" i="43"/>
  <c r="F214" i="43"/>
  <c r="F210" i="43"/>
  <c r="F206" i="43"/>
  <c r="F202" i="43"/>
  <c r="F198" i="43"/>
  <c r="F194" i="43"/>
  <c r="F190" i="43"/>
  <c r="F186" i="43"/>
  <c r="F182" i="43"/>
  <c r="F178" i="43"/>
  <c r="F174" i="43"/>
  <c r="F170" i="43"/>
  <c r="F166" i="43"/>
  <c r="F162" i="43"/>
  <c r="F158" i="43"/>
  <c r="F154" i="43"/>
  <c r="F150" i="43"/>
  <c r="F146" i="43"/>
  <c r="F142" i="43"/>
  <c r="F138" i="43"/>
  <c r="F134" i="43"/>
  <c r="F130" i="43"/>
  <c r="F126" i="43"/>
  <c r="F122" i="43"/>
  <c r="F118" i="43"/>
  <c r="F114" i="43"/>
  <c r="F110" i="43"/>
  <c r="F106" i="43"/>
  <c r="F102" i="43"/>
  <c r="F98" i="43"/>
  <c r="F94" i="43"/>
  <c r="F90" i="43"/>
  <c r="F86" i="43"/>
  <c r="F82" i="43"/>
  <c r="F78" i="43"/>
  <c r="F221" i="43"/>
  <c r="F217" i="43"/>
  <c r="F213" i="43"/>
  <c r="F209" i="43"/>
  <c r="F205" i="43"/>
  <c r="F201" i="43"/>
  <c r="F197" i="43"/>
  <c r="F193" i="43"/>
  <c r="F189" i="43"/>
  <c r="F185" i="43"/>
  <c r="F181" i="43"/>
  <c r="F177" i="43"/>
  <c r="F173" i="43"/>
  <c r="F169" i="43"/>
  <c r="F165" i="43"/>
  <c r="F161" i="43"/>
  <c r="F157" i="43"/>
  <c r="F153" i="43"/>
  <c r="F149" i="43"/>
  <c r="F145" i="43"/>
  <c r="F141" i="43"/>
  <c r="F137" i="43"/>
  <c r="F133" i="43"/>
  <c r="F129" i="43"/>
  <c r="F125" i="43"/>
  <c r="F121" i="43"/>
  <c r="F117" i="43"/>
  <c r="F113" i="43"/>
  <c r="F109" i="43"/>
  <c r="F105" i="43"/>
  <c r="F101" i="43"/>
  <c r="F97" i="43"/>
  <c r="F93" i="43"/>
  <c r="F89" i="43"/>
  <c r="F85" i="43"/>
  <c r="F81" i="43"/>
  <c r="F77" i="43"/>
  <c r="F220" i="43"/>
  <c r="F216" i="43"/>
  <c r="F212" i="43"/>
  <c r="F208" i="43"/>
  <c r="F204" i="43"/>
  <c r="F200" i="43"/>
  <c r="F196" i="43"/>
  <c r="F192" i="43"/>
  <c r="F188" i="43"/>
  <c r="F184" i="43"/>
  <c r="F180" i="43"/>
  <c r="F176" i="43"/>
  <c r="F172" i="43"/>
  <c r="F168" i="43"/>
  <c r="F164" i="43"/>
  <c r="F160" i="43"/>
  <c r="F156" i="43"/>
  <c r="F152" i="43"/>
  <c r="F148" i="43"/>
  <c r="F144" i="43"/>
  <c r="F140" i="43"/>
  <c r="F136" i="43"/>
  <c r="F132" i="43"/>
  <c r="F128" i="43"/>
  <c r="F124" i="43"/>
  <c r="F120" i="43"/>
  <c r="F116" i="43"/>
  <c r="F112" i="43"/>
  <c r="F108" i="43"/>
  <c r="F104" i="43"/>
  <c r="F100" i="43"/>
  <c r="F96" i="43"/>
  <c r="F92" i="43"/>
  <c r="F88" i="43"/>
  <c r="F84" i="43"/>
  <c r="F80" i="43"/>
  <c r="F76" i="43"/>
  <c r="F223" i="43"/>
  <c r="J223" i="43"/>
  <c r="F219" i="43"/>
  <c r="J219" i="43"/>
  <c r="F215" i="43"/>
  <c r="N215" i="43"/>
  <c r="F211" i="43"/>
  <c r="J211" i="43"/>
  <c r="F207" i="43"/>
  <c r="F203" i="43"/>
  <c r="F199" i="43"/>
  <c r="F195" i="43"/>
  <c r="J195" i="43"/>
  <c r="F191" i="43"/>
  <c r="N191" i="43"/>
  <c r="F187" i="43"/>
  <c r="F183" i="43"/>
  <c r="F179" i="43"/>
  <c r="F175" i="43"/>
  <c r="F171" i="43"/>
  <c r="F167" i="43"/>
  <c r="F163" i="43"/>
  <c r="F159" i="43"/>
  <c r="F155" i="43"/>
  <c r="F151" i="43"/>
  <c r="F147" i="43"/>
  <c r="F143" i="43"/>
  <c r="F139" i="43"/>
  <c r="F135" i="43"/>
  <c r="F131" i="43"/>
  <c r="F127" i="43"/>
  <c r="F123" i="43"/>
  <c r="F119" i="43"/>
  <c r="F115" i="43"/>
  <c r="F111" i="43"/>
  <c r="F107" i="43"/>
  <c r="F103" i="43"/>
  <c r="F99" i="43"/>
  <c r="F95" i="43"/>
  <c r="F91" i="43"/>
  <c r="F87" i="43"/>
  <c r="F83" i="43"/>
  <c r="F79" i="43"/>
  <c r="J183" i="43"/>
  <c r="G32" i="5"/>
  <c r="P161" i="16"/>
  <c r="P160" i="16"/>
  <c r="J187" i="43"/>
  <c r="N203" i="43"/>
  <c r="N219" i="43"/>
  <c r="J191" i="43"/>
  <c r="N207" i="43"/>
  <c r="N223" i="43"/>
  <c r="J184" i="43"/>
  <c r="N195" i="43"/>
  <c r="N211" i="43"/>
  <c r="N183" i="43"/>
  <c r="J199" i="43"/>
  <c r="J215" i="43"/>
  <c r="J207" i="43"/>
  <c r="N199" i="43"/>
  <c r="J203" i="43"/>
  <c r="N187" i="43"/>
  <c r="K439" i="16"/>
  <c r="K440" i="16"/>
  <c r="N184" i="43"/>
  <c r="J185" i="43"/>
  <c r="N185" i="43"/>
  <c r="J190" i="43"/>
  <c r="N190" i="43"/>
  <c r="J200" i="43"/>
  <c r="N200" i="43"/>
  <c r="J216" i="43"/>
  <c r="N216" i="43"/>
  <c r="J189" i="43"/>
  <c r="N189" i="43"/>
  <c r="J205" i="43"/>
  <c r="N205" i="43"/>
  <c r="J221" i="43"/>
  <c r="N221" i="43"/>
  <c r="J194" i="43"/>
  <c r="N194" i="43"/>
  <c r="J210" i="43"/>
  <c r="N210" i="43"/>
  <c r="J226" i="43"/>
  <c r="N226" i="43"/>
  <c r="J212" i="43"/>
  <c r="N212" i="43"/>
  <c r="J217" i="43"/>
  <c r="N217" i="43"/>
  <c r="J206" i="43"/>
  <c r="N206" i="43"/>
  <c r="J188" i="43"/>
  <c r="N188" i="43"/>
  <c r="J204" i="43"/>
  <c r="N204" i="43"/>
  <c r="J220" i="43"/>
  <c r="N220" i="43"/>
  <c r="J193" i="43"/>
  <c r="N193" i="43"/>
  <c r="J209" i="43"/>
  <c r="N209" i="43"/>
  <c r="J225" i="43"/>
  <c r="N225" i="43"/>
  <c r="J198" i="43"/>
  <c r="N198" i="43"/>
  <c r="J214" i="43"/>
  <c r="N214" i="43"/>
  <c r="J196" i="43"/>
  <c r="N196" i="43"/>
  <c r="J201" i="43"/>
  <c r="N201" i="43"/>
  <c r="J222" i="43"/>
  <c r="N222" i="43"/>
  <c r="J192" i="43"/>
  <c r="N192" i="43"/>
  <c r="J208" i="43"/>
  <c r="N208" i="43"/>
  <c r="J224" i="43"/>
  <c r="N224" i="43"/>
  <c r="J197" i="43"/>
  <c r="N197" i="43"/>
  <c r="J213" i="43"/>
  <c r="N213" i="43"/>
  <c r="J186" i="43"/>
  <c r="N186" i="43"/>
  <c r="J202" i="43"/>
  <c r="N202" i="43"/>
  <c r="J218" i="43"/>
  <c r="N218" i="43"/>
  <c r="M39" i="8"/>
  <c r="M38" i="8"/>
  <c r="M37" i="8"/>
  <c r="M36" i="8"/>
  <c r="M35" i="8"/>
  <c r="M34" i="8"/>
  <c r="M33" i="8"/>
  <c r="M32" i="8"/>
  <c r="M31" i="8"/>
  <c r="M29" i="8"/>
  <c r="M28" i="8"/>
  <c r="M27" i="8"/>
  <c r="M26" i="8"/>
  <c r="M25" i="8"/>
  <c r="M24" i="8"/>
  <c r="M23" i="8"/>
  <c r="M22" i="8"/>
  <c r="M21" i="8"/>
  <c r="M18" i="8"/>
  <c r="M17" i="8"/>
  <c r="M16" i="8"/>
  <c r="M13" i="8"/>
  <c r="M12" i="8"/>
  <c r="M40" i="8"/>
  <c r="E225" i="5"/>
  <c r="E223" i="5"/>
  <c r="E235" i="5"/>
  <c r="E224" i="5"/>
  <c r="CC24" i="52"/>
  <c r="CC30" i="52"/>
  <c r="CC31" i="52"/>
  <c r="CC22" i="52"/>
  <c r="CC21" i="52"/>
  <c r="CC23" i="52"/>
  <c r="JB33" i="52"/>
  <c r="JA32" i="52"/>
  <c r="EA35" i="52"/>
  <c r="DZ34" i="52"/>
  <c r="DA33" i="52"/>
  <c r="CZ32" i="52"/>
  <c r="CA35" i="52"/>
  <c r="BZ34" i="52"/>
  <c r="JB34" i="52"/>
  <c r="CA32" i="52"/>
  <c r="JB35" i="52"/>
  <c r="JA34" i="52"/>
  <c r="EA33" i="52"/>
  <c r="DZ32" i="52"/>
  <c r="DA35" i="52"/>
  <c r="CZ34" i="52"/>
  <c r="CA33" i="52"/>
  <c r="BZ32" i="52"/>
  <c r="EA32" i="52"/>
  <c r="DZ35" i="52"/>
  <c r="CZ33" i="52"/>
  <c r="BZ35" i="52"/>
  <c r="JB32" i="52"/>
  <c r="JA35" i="52"/>
  <c r="EA34" i="52"/>
  <c r="DZ33" i="52"/>
  <c r="DA32" i="52"/>
  <c r="CZ35" i="52"/>
  <c r="CA34" i="52"/>
  <c r="BZ33" i="52"/>
  <c r="JA33" i="52"/>
  <c r="DA34" i="52"/>
  <c r="EA19" i="52"/>
  <c r="CA19" i="52"/>
  <c r="DZ19" i="52"/>
  <c r="JB19" i="52"/>
  <c r="DA19" i="52"/>
  <c r="JA19" i="52"/>
  <c r="CZ19" i="52"/>
  <c r="BZ19" i="52"/>
  <c r="IY33" i="52"/>
  <c r="AG47" i="60"/>
  <c r="JJ32" i="52"/>
  <c r="AP45" i="60"/>
  <c r="JI35" i="52"/>
  <c r="AO51" i="60"/>
  <c r="JH34" i="52"/>
  <c r="AN49" i="60"/>
  <c r="JE35" i="52"/>
  <c r="IY34" i="52"/>
  <c r="AG49" i="60"/>
  <c r="JJ33" i="52"/>
  <c r="AP47" i="60"/>
  <c r="JI32" i="52"/>
  <c r="AO45" i="60"/>
  <c r="JH35" i="52"/>
  <c r="AN51" i="60"/>
  <c r="JG34" i="52"/>
  <c r="JF33" i="52"/>
  <c r="AL47" i="60"/>
  <c r="JE32" i="52"/>
  <c r="JD35" i="52"/>
  <c r="AJ51" i="60"/>
  <c r="JC34" i="52"/>
  <c r="AI49" i="60"/>
  <c r="IZ33" i="52"/>
  <c r="AH47" i="60"/>
  <c r="IX32" i="52"/>
  <c r="AF45" i="60"/>
  <c r="JJ35" i="52"/>
  <c r="AP51" i="60"/>
  <c r="JG33" i="52"/>
  <c r="JD34" i="52"/>
  <c r="AJ49" i="60"/>
  <c r="IX35" i="52"/>
  <c r="AF51" i="60"/>
  <c r="IY35" i="52"/>
  <c r="AG51" i="60"/>
  <c r="JJ34" i="52"/>
  <c r="AP49" i="60"/>
  <c r="JI33" i="52"/>
  <c r="AO47" i="60"/>
  <c r="JH32" i="52"/>
  <c r="AN45" i="60"/>
  <c r="JG35" i="52"/>
  <c r="JF34" i="52"/>
  <c r="AL49" i="60"/>
  <c r="JE33" i="52"/>
  <c r="JD32" i="52"/>
  <c r="AJ45" i="60"/>
  <c r="JC35" i="52"/>
  <c r="AI51" i="60"/>
  <c r="IZ34" i="52"/>
  <c r="AH49" i="60"/>
  <c r="IX33" i="52"/>
  <c r="AF47" i="60"/>
  <c r="JI34" i="52"/>
  <c r="AO49" i="60"/>
  <c r="JH33" i="52"/>
  <c r="AN47" i="60"/>
  <c r="JG32" i="52"/>
  <c r="JF35" i="52"/>
  <c r="AL51" i="60"/>
  <c r="JE34" i="52"/>
  <c r="JD33" i="52"/>
  <c r="AJ47" i="60"/>
  <c r="JC32" i="52"/>
  <c r="AI45" i="60"/>
  <c r="IZ35" i="52"/>
  <c r="AH51" i="60"/>
  <c r="IX34" i="52"/>
  <c r="AF49" i="60"/>
  <c r="JC33" i="52"/>
  <c r="AI47" i="60"/>
  <c r="IY32" i="52"/>
  <c r="AG45" i="60"/>
  <c r="JF32" i="52"/>
  <c r="AL45" i="60"/>
  <c r="IZ32" i="52"/>
  <c r="AH45" i="60"/>
  <c r="JI19" i="52"/>
  <c r="AO19" i="60"/>
  <c r="IX19" i="52"/>
  <c r="AF19" i="60"/>
  <c r="JH19" i="52"/>
  <c r="AN19" i="60"/>
  <c r="JD19" i="52"/>
  <c r="AJ19" i="60"/>
  <c r="JJ19" i="52"/>
  <c r="AP19" i="60"/>
  <c r="IY19" i="52"/>
  <c r="AG19" i="60"/>
  <c r="JG19" i="52"/>
  <c r="JC19" i="52"/>
  <c r="AI19" i="60"/>
  <c r="JF19" i="52"/>
  <c r="AL19" i="60"/>
  <c r="IZ19" i="52"/>
  <c r="AH19" i="60"/>
  <c r="JE19" i="52"/>
  <c r="DW35" i="52"/>
  <c r="AD108" i="61"/>
  <c r="EI34" i="52"/>
  <c r="AN107" i="61"/>
  <c r="EH33" i="52"/>
  <c r="AM106" i="61"/>
  <c r="EF32" i="52"/>
  <c r="AK105" i="61"/>
  <c r="EE35" i="52"/>
  <c r="AJ108" i="61"/>
  <c r="ED34" i="52"/>
  <c r="AI107" i="61"/>
  <c r="EC33" i="52"/>
  <c r="EB32" i="52"/>
  <c r="DY35" i="52"/>
  <c r="DX34" i="52"/>
  <c r="AE107" i="61"/>
  <c r="DW34" i="52"/>
  <c r="AD107" i="61"/>
  <c r="EI35" i="52"/>
  <c r="AN108" i="61"/>
  <c r="EH34" i="52"/>
  <c r="AM107" i="61"/>
  <c r="EF33" i="52"/>
  <c r="AK106" i="61"/>
  <c r="EE32" i="52"/>
  <c r="AJ105" i="61"/>
  <c r="ED35" i="52"/>
  <c r="AI108" i="61"/>
  <c r="EC34" i="52"/>
  <c r="EB33" i="52"/>
  <c r="DY32" i="52"/>
  <c r="DX35" i="52"/>
  <c r="AE108" i="61"/>
  <c r="DW33" i="52"/>
  <c r="AD106" i="61"/>
  <c r="EI32" i="52"/>
  <c r="AN105" i="61"/>
  <c r="EH35" i="52"/>
  <c r="AM108" i="61"/>
  <c r="EF34" i="52"/>
  <c r="AK107" i="61"/>
  <c r="EE33" i="52"/>
  <c r="AJ106" i="61"/>
  <c r="ED32" i="52"/>
  <c r="AI105" i="61"/>
  <c r="EC35" i="52"/>
  <c r="EB34" i="52"/>
  <c r="DY33" i="52"/>
  <c r="DX32" i="52"/>
  <c r="AE105" i="61"/>
  <c r="DW32" i="52"/>
  <c r="AD105" i="61"/>
  <c r="EI33" i="52"/>
  <c r="AN106" i="61"/>
  <c r="EH32" i="52"/>
  <c r="AM105" i="61"/>
  <c r="EF35" i="52"/>
  <c r="AK108" i="61"/>
  <c r="EE34" i="52"/>
  <c r="AJ107" i="61"/>
  <c r="ED33" i="52"/>
  <c r="AI106" i="61"/>
  <c r="EC32" i="52"/>
  <c r="EB35" i="52"/>
  <c r="DY34" i="52"/>
  <c r="GA34" i="52"/>
  <c r="AR107" i="61"/>
  <c r="DX33" i="52"/>
  <c r="AE106" i="61"/>
  <c r="DW19" i="52"/>
  <c r="AD92" i="61"/>
  <c r="EE19" i="52"/>
  <c r="AJ92" i="61"/>
  <c r="DY19" i="52"/>
  <c r="EI19" i="52"/>
  <c r="AN92" i="61"/>
  <c r="ED19" i="52"/>
  <c r="AI92" i="61"/>
  <c r="DX19" i="52"/>
  <c r="AE92" i="61"/>
  <c r="EH19" i="52"/>
  <c r="AM92" i="61"/>
  <c r="EC19" i="52"/>
  <c r="EF19" i="52"/>
  <c r="AK92" i="61"/>
  <c r="EB19" i="52"/>
  <c r="DC32" i="52"/>
  <c r="CC35" i="52"/>
  <c r="DC35" i="52"/>
  <c r="DC33" i="52"/>
  <c r="CC32" i="52"/>
  <c r="CC34" i="52"/>
  <c r="DC34" i="52"/>
  <c r="CC33" i="52"/>
  <c r="DI33" i="52"/>
  <c r="DH32" i="52"/>
  <c r="DH35" i="52"/>
  <c r="DI34" i="52"/>
  <c r="DH33" i="52"/>
  <c r="DI32" i="52"/>
  <c r="DI35" i="52"/>
  <c r="DH34" i="52"/>
  <c r="CC19" i="52"/>
  <c r="DC19" i="52"/>
  <c r="DI19" i="52"/>
  <c r="DH19" i="52"/>
  <c r="E237" i="5"/>
  <c r="E232" i="5"/>
  <c r="E236" i="5"/>
  <c r="CH32" i="52"/>
  <c r="CH33" i="52"/>
  <c r="CH34" i="52"/>
  <c r="CH35" i="52"/>
  <c r="CH19" i="52"/>
  <c r="E231" i="5"/>
  <c r="E233" i="5"/>
  <c r="BZ21" i="52"/>
  <c r="CA21" i="52"/>
  <c r="CA25" i="52"/>
  <c r="CA22" i="52"/>
  <c r="CF40" i="52"/>
  <c r="BY40" i="52"/>
  <c r="CC28" i="52"/>
  <c r="CC27" i="52"/>
  <c r="CA27" i="52"/>
  <c r="BZ31" i="52"/>
  <c r="CE40" i="52"/>
  <c r="CC26" i="52"/>
  <c r="CA40" i="52"/>
  <c r="CA31" i="52"/>
  <c r="CA20" i="52"/>
  <c r="BZ30" i="52"/>
  <c r="CA23" i="52"/>
  <c r="BZ40" i="52"/>
  <c r="BZ22" i="52"/>
  <c r="BZ20" i="52"/>
  <c r="BZ28" i="52"/>
  <c r="CC29" i="52"/>
  <c r="CA29" i="52"/>
  <c r="BZ26" i="52"/>
  <c r="CA24" i="52"/>
  <c r="BX40" i="52"/>
  <c r="CC25" i="52"/>
  <c r="CA30" i="52"/>
  <c r="BZ23" i="52"/>
  <c r="BZ29" i="52"/>
  <c r="CA26" i="52"/>
  <c r="CA28" i="52"/>
  <c r="BZ27" i="52"/>
  <c r="CC40" i="52"/>
  <c r="CC20" i="52"/>
  <c r="CB40" i="52"/>
  <c r="KM34" i="52"/>
  <c r="AK49" i="60"/>
  <c r="KM32" i="52"/>
  <c r="AK45" i="60"/>
  <c r="KM19" i="52"/>
  <c r="AK19" i="60"/>
  <c r="KI19" i="52"/>
  <c r="AM19" i="60"/>
  <c r="KM33" i="52"/>
  <c r="AK47" i="60"/>
  <c r="KI32" i="52"/>
  <c r="AM45" i="60"/>
  <c r="KI33" i="52"/>
  <c r="AM47" i="60"/>
  <c r="KI34" i="52"/>
  <c r="AM49" i="60"/>
  <c r="KI35" i="52"/>
  <c r="AM51" i="60"/>
  <c r="KM35" i="52"/>
  <c r="AK51" i="60"/>
  <c r="P42" i="66"/>
  <c r="KF32" i="52"/>
  <c r="AT45" i="60"/>
  <c r="KL34" i="52"/>
  <c r="KL33" i="52"/>
  <c r="KN33" i="52"/>
  <c r="AV47" i="60"/>
  <c r="KL35" i="52"/>
  <c r="KL32" i="52"/>
  <c r="KL19" i="52"/>
  <c r="KK35" i="52"/>
  <c r="KK34" i="52"/>
  <c r="KK32" i="52"/>
  <c r="KK19" i="52"/>
  <c r="KK33" i="52"/>
  <c r="KE35" i="52"/>
  <c r="KE34" i="52"/>
  <c r="KE19" i="52"/>
  <c r="KE33" i="52"/>
  <c r="KE32" i="52"/>
  <c r="KH34" i="52"/>
  <c r="KH33" i="52"/>
  <c r="KH32" i="52"/>
  <c r="KH19" i="52"/>
  <c r="KH35" i="52"/>
  <c r="KJ35" i="52"/>
  <c r="AU51" i="60"/>
  <c r="KF33" i="52"/>
  <c r="AT47" i="60"/>
  <c r="KF34" i="52"/>
  <c r="AT49" i="60"/>
  <c r="KG35" i="52"/>
  <c r="KG34" i="52"/>
  <c r="KG33" i="52"/>
  <c r="KG32" i="52"/>
  <c r="KG19" i="52"/>
  <c r="KF19" i="52"/>
  <c r="AT19" i="60"/>
  <c r="KF35" i="52"/>
  <c r="AT51" i="60"/>
  <c r="AG92" i="61"/>
  <c r="AH92" i="61"/>
  <c r="AF92" i="61"/>
  <c r="AF107" i="61"/>
  <c r="AG108" i="61"/>
  <c r="AH105" i="61"/>
  <c r="AF106" i="61"/>
  <c r="AG107" i="61"/>
  <c r="AH108" i="61"/>
  <c r="AF105" i="61"/>
  <c r="AG106" i="61"/>
  <c r="AH107" i="61"/>
  <c r="AF108" i="61"/>
  <c r="AG105" i="61"/>
  <c r="AH106" i="61"/>
  <c r="GD33" i="52"/>
  <c r="GD32" i="52"/>
  <c r="GH19" i="52"/>
  <c r="GD35" i="52"/>
  <c r="GH32" i="52"/>
  <c r="GD19" i="52"/>
  <c r="GD34" i="52"/>
  <c r="GH35" i="52"/>
  <c r="GH34" i="52"/>
  <c r="GH33" i="52"/>
  <c r="GA32" i="52"/>
  <c r="AR105" i="61"/>
  <c r="GA35" i="52"/>
  <c r="AR108" i="61"/>
  <c r="FZ32" i="52"/>
  <c r="FZ34" i="52"/>
  <c r="FZ35" i="52"/>
  <c r="FZ19" i="52"/>
  <c r="FZ33" i="52"/>
  <c r="GA33" i="52"/>
  <c r="AR106" i="61"/>
  <c r="GB33" i="52"/>
  <c r="GB32" i="52"/>
  <c r="GB34" i="52"/>
  <c r="GB35" i="52"/>
  <c r="GB19" i="52"/>
  <c r="GF19" i="52"/>
  <c r="GF33" i="52"/>
  <c r="GF32" i="52"/>
  <c r="GF34" i="52"/>
  <c r="GF35" i="52"/>
  <c r="GC32" i="52"/>
  <c r="GC33" i="52"/>
  <c r="GC34" i="52"/>
  <c r="GC35" i="52"/>
  <c r="GC19" i="52"/>
  <c r="GG33" i="52"/>
  <c r="GG32" i="52"/>
  <c r="GG34" i="52"/>
  <c r="GG35" i="52"/>
  <c r="GG19" i="52"/>
  <c r="GA19" i="52"/>
  <c r="AR92" i="61"/>
  <c r="G24" i="16"/>
  <c r="G16" i="16"/>
  <c r="G15" i="16"/>
  <c r="G14" i="16"/>
  <c r="G13" i="16"/>
  <c r="G17" i="16"/>
  <c r="G18" i="16"/>
  <c r="D516" i="16"/>
  <c r="G19" i="16"/>
  <c r="D542" i="16"/>
  <c r="K539" i="16"/>
  <c r="P538" i="16"/>
  <c r="G20" i="16"/>
  <c r="G21" i="16"/>
  <c r="G22" i="16"/>
  <c r="G23" i="16"/>
  <c r="G25" i="16"/>
  <c r="G26" i="16"/>
  <c r="D18" i="64"/>
  <c r="E69" i="64"/>
  <c r="G27" i="16"/>
  <c r="G28" i="16"/>
  <c r="G29" i="16"/>
  <c r="KJ33" i="52"/>
  <c r="AU47" i="60"/>
  <c r="KN19" i="52"/>
  <c r="AV19" i="60"/>
  <c r="KN34" i="52"/>
  <c r="AV49" i="60"/>
  <c r="KJ32" i="52"/>
  <c r="AU45" i="60"/>
  <c r="KJ34" i="52"/>
  <c r="AU49" i="60"/>
  <c r="KN32" i="52"/>
  <c r="AV45" i="60"/>
  <c r="KJ19" i="52"/>
  <c r="AU19" i="60"/>
  <c r="KN35" i="52"/>
  <c r="AV51" i="60"/>
  <c r="M534" i="16"/>
  <c r="Z534" i="16"/>
  <c r="D18" i="63"/>
  <c r="D67" i="63"/>
  <c r="D490" i="16"/>
  <c r="K489" i="16"/>
  <c r="S482" i="16"/>
  <c r="D18" i="62"/>
  <c r="D67" i="62"/>
  <c r="GE35" i="52"/>
  <c r="AS108" i="61"/>
  <c r="GI33" i="52"/>
  <c r="AT106" i="61"/>
  <c r="GE19" i="52"/>
  <c r="AS92" i="61"/>
  <c r="GE32" i="52"/>
  <c r="AS105" i="61"/>
  <c r="GI19" i="52"/>
  <c r="AT92" i="61"/>
  <c r="GI35" i="52"/>
  <c r="AT108" i="61"/>
  <c r="GE34" i="52"/>
  <c r="AS107" i="61"/>
  <c r="GI34" i="52"/>
  <c r="AT107" i="61"/>
  <c r="GE33" i="52"/>
  <c r="AS106" i="61"/>
  <c r="GI32" i="52"/>
  <c r="AT105" i="61"/>
  <c r="K516" i="16"/>
  <c r="AE508" i="16"/>
  <c r="K515" i="16"/>
  <c r="R508" i="16"/>
  <c r="P540" i="16"/>
  <c r="D20" i="5"/>
  <c r="E89" i="5"/>
  <c r="K490" i="16"/>
  <c r="AF482" i="16"/>
  <c r="E95" i="5"/>
  <c r="E103" i="5"/>
  <c r="E102" i="5"/>
  <c r="E98" i="5"/>
  <c r="E99" i="5"/>
  <c r="E115" i="5"/>
  <c r="U466" i="16"/>
  <c r="E114" i="5"/>
  <c r="H34" i="16"/>
  <c r="H32" i="16"/>
  <c r="H33" i="16"/>
  <c r="H30" i="16"/>
  <c r="H31" i="16"/>
  <c r="M31" i="43"/>
  <c r="M30" i="43"/>
  <c r="E100" i="5"/>
  <c r="E138" i="5"/>
  <c r="E136" i="5"/>
  <c r="E140" i="5"/>
  <c r="F140" i="5"/>
  <c r="E141" i="5"/>
  <c r="F141" i="5"/>
  <c r="E137" i="5"/>
  <c r="E101" i="5"/>
  <c r="E139" i="5"/>
  <c r="E133" i="5"/>
  <c r="F133" i="5"/>
  <c r="U438" i="16"/>
  <c r="L429" i="16"/>
  <c r="U465" i="16"/>
  <c r="Y456" i="16"/>
  <c r="AA456" i="16"/>
  <c r="F137" i="5"/>
  <c r="U439" i="16"/>
  <c r="F136" i="5"/>
  <c r="E116" i="5"/>
  <c r="U467" i="16"/>
  <c r="E117" i="5"/>
  <c r="U468" i="16"/>
  <c r="K76" i="43"/>
  <c r="K80" i="43"/>
  <c r="K84" i="43"/>
  <c r="K88" i="43"/>
  <c r="K92" i="43"/>
  <c r="K96" i="43"/>
  <c r="K100" i="43"/>
  <c r="K104" i="43"/>
  <c r="K108" i="43"/>
  <c r="K112" i="43"/>
  <c r="K116" i="43"/>
  <c r="K128" i="43"/>
  <c r="K132" i="43"/>
  <c r="K144" i="43"/>
  <c r="K156" i="43"/>
  <c r="K176" i="43"/>
  <c r="K188" i="43"/>
  <c r="K200" i="43"/>
  <c r="K212" i="43"/>
  <c r="K220" i="43"/>
  <c r="K77" i="43"/>
  <c r="K81" i="43"/>
  <c r="K85" i="43"/>
  <c r="K89" i="43"/>
  <c r="K93" i="43"/>
  <c r="K97" i="43"/>
  <c r="K101" i="43"/>
  <c r="K105" i="43"/>
  <c r="K109" i="43"/>
  <c r="K113" i="43"/>
  <c r="K117" i="43"/>
  <c r="K121" i="43"/>
  <c r="K125" i="43"/>
  <c r="K129" i="43"/>
  <c r="K133" i="43"/>
  <c r="K137" i="43"/>
  <c r="K141" i="43"/>
  <c r="K145" i="43"/>
  <c r="K149" i="43"/>
  <c r="K153" i="43"/>
  <c r="K157" i="43"/>
  <c r="K161" i="43"/>
  <c r="K165" i="43"/>
  <c r="K169" i="43"/>
  <c r="K78" i="43"/>
  <c r="K82" i="43"/>
  <c r="K86" i="43"/>
  <c r="K90" i="43"/>
  <c r="K94" i="43"/>
  <c r="K98" i="43"/>
  <c r="K102" i="43"/>
  <c r="K106" i="43"/>
  <c r="K110" i="43"/>
  <c r="K114" i="43"/>
  <c r="K118" i="43"/>
  <c r="K122" i="43"/>
  <c r="K126" i="43"/>
  <c r="K130" i="43"/>
  <c r="K134" i="43"/>
  <c r="K138" i="43"/>
  <c r="K142" i="43"/>
  <c r="K146" i="43"/>
  <c r="K150" i="43"/>
  <c r="K154" i="43"/>
  <c r="K158" i="43"/>
  <c r="K162" i="43"/>
  <c r="K166" i="43"/>
  <c r="K170" i="43"/>
  <c r="K174" i="43"/>
  <c r="K178" i="43"/>
  <c r="K182" i="43"/>
  <c r="K186" i="43"/>
  <c r="K190" i="43"/>
  <c r="K194" i="43"/>
  <c r="K198" i="43"/>
  <c r="K202" i="43"/>
  <c r="K206" i="43"/>
  <c r="K210" i="43"/>
  <c r="K214" i="43"/>
  <c r="K218" i="43"/>
  <c r="K222" i="43"/>
  <c r="K226" i="43"/>
  <c r="G79" i="43"/>
  <c r="G83" i="43"/>
  <c r="G87" i="43"/>
  <c r="G91" i="43"/>
  <c r="G95" i="43"/>
  <c r="G99" i="43"/>
  <c r="G103" i="43"/>
  <c r="G107" i="43"/>
  <c r="G111" i="43"/>
  <c r="G115" i="43"/>
  <c r="G119" i="43"/>
  <c r="G123" i="43"/>
  <c r="G127" i="43"/>
  <c r="G131" i="43"/>
  <c r="G135" i="43"/>
  <c r="G139" i="43"/>
  <c r="G143" i="43"/>
  <c r="G147" i="43"/>
  <c r="G151" i="43"/>
  <c r="G155" i="43"/>
  <c r="G159" i="43"/>
  <c r="G163" i="43"/>
  <c r="G167" i="43"/>
  <c r="G171" i="43"/>
  <c r="G175" i="43"/>
  <c r="G179" i="43"/>
  <c r="G183" i="43"/>
  <c r="G187" i="43"/>
  <c r="G191" i="43"/>
  <c r="G195" i="43"/>
  <c r="G199" i="43"/>
  <c r="G203" i="43"/>
  <c r="G207" i="43"/>
  <c r="G211" i="43"/>
  <c r="G215" i="43"/>
  <c r="G219" i="43"/>
  <c r="G223" i="43"/>
  <c r="K124" i="43"/>
  <c r="K140" i="43"/>
  <c r="K152" i="43"/>
  <c r="K164" i="43"/>
  <c r="K172" i="43"/>
  <c r="K184" i="43"/>
  <c r="K196" i="43"/>
  <c r="K208" i="43"/>
  <c r="K216" i="43"/>
  <c r="G77" i="43"/>
  <c r="K79" i="43"/>
  <c r="K83" i="43"/>
  <c r="K87" i="43"/>
  <c r="K91" i="43"/>
  <c r="K95" i="43"/>
  <c r="K99" i="43"/>
  <c r="K103" i="43"/>
  <c r="K107" i="43"/>
  <c r="K111" i="43"/>
  <c r="K115" i="43"/>
  <c r="K119" i="43"/>
  <c r="K123" i="43"/>
  <c r="K127" i="43"/>
  <c r="K131" i="43"/>
  <c r="K135" i="43"/>
  <c r="K139" i="43"/>
  <c r="K143" i="43"/>
  <c r="K147" i="43"/>
  <c r="K151" i="43"/>
  <c r="K155" i="43"/>
  <c r="K159" i="43"/>
  <c r="K163" i="43"/>
  <c r="K167" i="43"/>
  <c r="K171" i="43"/>
  <c r="K175" i="43"/>
  <c r="K179" i="43"/>
  <c r="K183" i="43"/>
  <c r="K187" i="43"/>
  <c r="K191" i="43"/>
  <c r="K195" i="43"/>
  <c r="K199" i="43"/>
  <c r="K203" i="43"/>
  <c r="K207" i="43"/>
  <c r="K211" i="43"/>
  <c r="K215" i="43"/>
  <c r="K219" i="43"/>
  <c r="K223" i="43"/>
  <c r="G76" i="43"/>
  <c r="G80" i="43"/>
  <c r="G84" i="43"/>
  <c r="G88" i="43"/>
  <c r="G92" i="43"/>
  <c r="G96" i="43"/>
  <c r="G100" i="43"/>
  <c r="G104" i="43"/>
  <c r="G108" i="43"/>
  <c r="G112" i="43"/>
  <c r="G116" i="43"/>
  <c r="G120" i="43"/>
  <c r="G124" i="43"/>
  <c r="G128" i="43"/>
  <c r="G132" i="43"/>
  <c r="G136" i="43"/>
  <c r="G140" i="43"/>
  <c r="G144" i="43"/>
  <c r="G148" i="43"/>
  <c r="G152" i="43"/>
  <c r="G156" i="43"/>
  <c r="G160" i="43"/>
  <c r="G164" i="43"/>
  <c r="G168" i="43"/>
  <c r="G172" i="43"/>
  <c r="G176" i="43"/>
  <c r="G180" i="43"/>
  <c r="G184" i="43"/>
  <c r="G188" i="43"/>
  <c r="G192" i="43"/>
  <c r="G196" i="43"/>
  <c r="G200" i="43"/>
  <c r="G204" i="43"/>
  <c r="G208" i="43"/>
  <c r="G212" i="43"/>
  <c r="G216" i="43"/>
  <c r="G220" i="43"/>
  <c r="G224" i="43"/>
  <c r="K120" i="43"/>
  <c r="K136" i="43"/>
  <c r="K148" i="43"/>
  <c r="K160" i="43"/>
  <c r="K168" i="43"/>
  <c r="K180" i="43"/>
  <c r="K192" i="43"/>
  <c r="K204" i="43"/>
  <c r="K224" i="43"/>
  <c r="G81" i="43"/>
  <c r="K173" i="43"/>
  <c r="K189" i="43"/>
  <c r="K205" i="43"/>
  <c r="K221" i="43"/>
  <c r="G85" i="43"/>
  <c r="G93" i="43"/>
  <c r="G101" i="43"/>
  <c r="G109" i="43"/>
  <c r="G117" i="43"/>
  <c r="G125" i="43"/>
  <c r="G133" i="43"/>
  <c r="G141" i="43"/>
  <c r="G149" i="43"/>
  <c r="G157" i="43"/>
  <c r="G165" i="43"/>
  <c r="G173" i="43"/>
  <c r="G181" i="43"/>
  <c r="G189" i="43"/>
  <c r="G197" i="43"/>
  <c r="G205" i="43"/>
  <c r="G213" i="43"/>
  <c r="G221" i="43"/>
  <c r="G177" i="43"/>
  <c r="G193" i="43"/>
  <c r="G217" i="43"/>
  <c r="G210" i="43"/>
  <c r="K177" i="43"/>
  <c r="K193" i="43"/>
  <c r="K209" i="43"/>
  <c r="K225" i="43"/>
  <c r="G86" i="43"/>
  <c r="G94" i="43"/>
  <c r="G102" i="43"/>
  <c r="G110" i="43"/>
  <c r="G118" i="43"/>
  <c r="G126" i="43"/>
  <c r="G134" i="43"/>
  <c r="G142" i="43"/>
  <c r="G150" i="43"/>
  <c r="G158" i="43"/>
  <c r="G166" i="43"/>
  <c r="G174" i="43"/>
  <c r="G182" i="43"/>
  <c r="G190" i="43"/>
  <c r="G198" i="43"/>
  <c r="G206" i="43"/>
  <c r="G214" i="43"/>
  <c r="G222" i="43"/>
  <c r="G169" i="43"/>
  <c r="G201" i="43"/>
  <c r="G225" i="43"/>
  <c r="G202" i="43"/>
  <c r="K181" i="43"/>
  <c r="K197" i="43"/>
  <c r="K213" i="43"/>
  <c r="G78" i="43"/>
  <c r="G89" i="43"/>
  <c r="G97" i="43"/>
  <c r="G105" i="43"/>
  <c r="G113" i="43"/>
  <c r="G121" i="43"/>
  <c r="G129" i="43"/>
  <c r="G137" i="43"/>
  <c r="G145" i="43"/>
  <c r="G153" i="43"/>
  <c r="G161" i="43"/>
  <c r="G185" i="43"/>
  <c r="G209" i="43"/>
  <c r="G186" i="43"/>
  <c r="G218" i="43"/>
  <c r="K185" i="43"/>
  <c r="K201" i="43"/>
  <c r="K217" i="43"/>
  <c r="G82" i="43"/>
  <c r="G90" i="43"/>
  <c r="G98" i="43"/>
  <c r="G106" i="43"/>
  <c r="G114" i="43"/>
  <c r="G122" i="43"/>
  <c r="G130" i="43"/>
  <c r="G138" i="43"/>
  <c r="G146" i="43"/>
  <c r="G154" i="43"/>
  <c r="G162" i="43"/>
  <c r="G170" i="43"/>
  <c r="G178" i="43"/>
  <c r="G194" i="43"/>
  <c r="G226" i="43"/>
  <c r="D465" i="16"/>
  <c r="D19" i="55"/>
  <c r="D92" i="55"/>
  <c r="D438" i="16"/>
  <c r="D19" i="54"/>
  <c r="D91" i="54"/>
  <c r="E94" i="34"/>
  <c r="E93" i="34"/>
  <c r="E94" i="33"/>
  <c r="E93" i="33"/>
  <c r="E94" i="31"/>
  <c r="E93" i="31"/>
  <c r="E92" i="31"/>
  <c r="Z494" i="16"/>
  <c r="Z520" i="16"/>
  <c r="Z546" i="16"/>
  <c r="U54" i="16"/>
  <c r="P42" i="16"/>
  <c r="U87" i="16"/>
  <c r="P75" i="16"/>
  <c r="Z544" i="16"/>
  <c r="AA534" i="16"/>
  <c r="Z492" i="16"/>
  <c r="Z518" i="16"/>
  <c r="Z495" i="16"/>
  <c r="P482" i="16"/>
  <c r="Z521" i="16"/>
  <c r="P508" i="16"/>
  <c r="Z547" i="16"/>
  <c r="P534" i="16"/>
  <c r="U49" i="16"/>
  <c r="U82" i="16"/>
  <c r="U55" i="16"/>
  <c r="AC42" i="16"/>
  <c r="U88" i="16"/>
  <c r="AC75" i="16"/>
  <c r="Z543" i="16"/>
  <c r="Z491" i="16"/>
  <c r="Z517" i="16"/>
  <c r="Z542" i="16"/>
  <c r="Z490" i="16"/>
  <c r="Z516" i="16"/>
  <c r="Z522" i="16"/>
  <c r="AC508" i="16"/>
  <c r="Z548" i="16"/>
  <c r="AC534" i="16"/>
  <c r="Z496" i="16"/>
  <c r="AC482" i="16"/>
  <c r="Z493" i="16"/>
  <c r="Z519" i="16"/>
  <c r="Z545" i="16"/>
  <c r="K534" i="16"/>
  <c r="T534" i="16"/>
  <c r="N429" i="16"/>
  <c r="N456" i="16"/>
  <c r="L456" i="16"/>
  <c r="AA429" i="16"/>
  <c r="Y429" i="16"/>
  <c r="F139" i="5"/>
  <c r="U441" i="16"/>
  <c r="T429" i="16"/>
  <c r="U51" i="16"/>
  <c r="U84" i="16"/>
  <c r="U50" i="16"/>
  <c r="L42" i="16"/>
  <c r="U83" i="16"/>
  <c r="F138" i="5"/>
  <c r="U440" i="16"/>
  <c r="K429" i="16"/>
  <c r="N42" i="16"/>
  <c r="D98" i="55"/>
  <c r="I26" i="55"/>
  <c r="D100" i="55"/>
  <c r="I28" i="55"/>
  <c r="D99" i="55"/>
  <c r="I27" i="55"/>
  <c r="D99" i="54"/>
  <c r="I28" i="54"/>
  <c r="D98" i="54"/>
  <c r="I27" i="54"/>
  <c r="D97" i="54"/>
  <c r="I26" i="54"/>
  <c r="E13" i="35"/>
  <c r="D13" i="35"/>
  <c r="E13" i="34"/>
  <c r="D13" i="34"/>
  <c r="E13" i="33"/>
  <c r="D13" i="33"/>
  <c r="E13" i="32"/>
  <c r="D13" i="32"/>
  <c r="E13" i="31"/>
  <c r="D13" i="31"/>
  <c r="E13" i="30"/>
  <c r="D13" i="30"/>
  <c r="E13" i="29"/>
  <c r="D13" i="29"/>
  <c r="E13" i="28"/>
  <c r="D13" i="28"/>
  <c r="E13" i="27"/>
  <c r="D13" i="27"/>
  <c r="E13" i="26"/>
  <c r="D13" i="26"/>
  <c r="E13" i="25"/>
  <c r="D13" i="25"/>
  <c r="E13" i="24"/>
  <c r="D13" i="24"/>
  <c r="E13" i="23"/>
  <c r="D13" i="23"/>
  <c r="E13" i="22"/>
  <c r="D13" i="22"/>
  <c r="E13" i="21"/>
  <c r="D13" i="21"/>
  <c r="E13" i="38"/>
  <c r="D13" i="38"/>
  <c r="E13" i="41"/>
  <c r="D13" i="41"/>
  <c r="E13" i="50"/>
  <c r="D13" i="50"/>
  <c r="E13" i="49"/>
  <c r="D13" i="49"/>
  <c r="E13" i="48"/>
  <c r="D13" i="48"/>
  <c r="E13" i="19"/>
  <c r="D13" i="19"/>
  <c r="E13" i="15"/>
  <c r="D13" i="15"/>
  <c r="E13" i="18"/>
  <c r="D13" i="18"/>
  <c r="E13" i="17"/>
  <c r="D13" i="17"/>
  <c r="E13" i="47"/>
  <c r="D13" i="47"/>
  <c r="E13" i="46"/>
  <c r="D13" i="46"/>
  <c r="E13" i="45"/>
  <c r="D13" i="45"/>
  <c r="D16" i="45"/>
  <c r="D17" i="45"/>
  <c r="E13" i="44"/>
  <c r="E16" i="44"/>
  <c r="E17" i="44"/>
  <c r="D13" i="44"/>
  <c r="D16" i="44"/>
  <c r="D17" i="44"/>
  <c r="D10" i="35"/>
  <c r="D10" i="34"/>
  <c r="D10" i="33"/>
  <c r="D10" i="32"/>
  <c r="D10" i="31"/>
  <c r="D10" i="30"/>
  <c r="D10" i="29"/>
  <c r="D10" i="28"/>
  <c r="D10" i="27"/>
  <c r="D10" i="26"/>
  <c r="D10" i="25"/>
  <c r="D10" i="24"/>
  <c r="D10" i="23"/>
  <c r="D10" i="22"/>
  <c r="D10" i="21"/>
  <c r="D10" i="38"/>
  <c r="D10" i="50"/>
  <c r="D10" i="49"/>
  <c r="D10" i="48"/>
  <c r="D10" i="19"/>
  <c r="D10" i="15"/>
  <c r="D10" i="18"/>
  <c r="D10" i="17"/>
  <c r="D10" i="47"/>
  <c r="D10" i="46"/>
  <c r="D10" i="45"/>
  <c r="D10" i="44"/>
  <c r="CA36" i="52"/>
  <c r="BA36" i="52"/>
  <c r="CA37" i="52"/>
  <c r="BA37" i="52"/>
  <c r="BN37" i="52"/>
  <c r="BN36" i="52"/>
  <c r="V482" i="16"/>
  <c r="U482" i="16"/>
  <c r="N534" i="16"/>
  <c r="L534" i="16"/>
  <c r="Y534" i="16"/>
  <c r="V42" i="16"/>
  <c r="U42" i="16"/>
  <c r="Y508" i="16"/>
  <c r="AA508" i="16"/>
  <c r="V534" i="16"/>
  <c r="U534" i="16"/>
  <c r="Y482" i="16"/>
  <c r="AA482" i="16"/>
  <c r="N508" i="16"/>
  <c r="L508" i="16"/>
  <c r="V508" i="16"/>
  <c r="U508" i="16"/>
  <c r="N482" i="16"/>
  <c r="L482" i="16"/>
  <c r="U75" i="16"/>
  <c r="V75" i="16"/>
  <c r="U53" i="16"/>
  <c r="U86" i="16"/>
  <c r="AA75" i="16"/>
  <c r="Y75" i="16"/>
  <c r="Y42" i="16"/>
  <c r="AA42" i="16"/>
  <c r="U52" i="16"/>
  <c r="U85" i="16"/>
  <c r="N75" i="16"/>
  <c r="L75" i="16"/>
  <c r="D14" i="45"/>
  <c r="D14" i="44"/>
  <c r="D15" i="44"/>
  <c r="E14" i="44"/>
  <c r="D15" i="45"/>
  <c r="E15" i="44"/>
  <c r="P423" i="16"/>
  <c r="AB407" i="16"/>
  <c r="P422" i="16"/>
  <c r="O407" i="16"/>
  <c r="P57" i="16"/>
  <c r="P89" i="16"/>
  <c r="P115" i="16"/>
  <c r="P141" i="16"/>
  <c r="U219" i="16"/>
  <c r="U407" i="16"/>
  <c r="P209" i="16"/>
  <c r="U197" i="16"/>
  <c r="BS34" i="52"/>
  <c r="BE22" i="52"/>
  <c r="BE23" i="52"/>
  <c r="BR27" i="52"/>
  <c r="BF13" i="52"/>
  <c r="BS35" i="52"/>
  <c r="BQ16" i="52"/>
  <c r="BF19" i="52"/>
  <c r="BR24" i="52"/>
  <c r="BF15" i="52"/>
  <c r="BE26" i="52"/>
  <c r="BS26" i="52"/>
  <c r="BE30" i="52"/>
  <c r="BQ18" i="52"/>
  <c r="BF27" i="52"/>
  <c r="BS28" i="52"/>
  <c r="BE28" i="52"/>
  <c r="BE18" i="52"/>
  <c r="BD16" i="52"/>
  <c r="BF21" i="52"/>
  <c r="BR21" i="52"/>
  <c r="BF35" i="52"/>
  <c r="BS15" i="52"/>
  <c r="BQ15" i="52"/>
  <c r="BS14" i="52"/>
  <c r="BE19" i="52"/>
  <c r="BR32" i="52"/>
  <c r="BE16" i="52"/>
  <c r="BE31" i="52"/>
  <c r="BD15" i="52"/>
  <c r="BD19" i="52"/>
  <c r="BF29" i="52"/>
  <c r="BQ17" i="52"/>
  <c r="BR14" i="52"/>
  <c r="BF14" i="52"/>
  <c r="BF23" i="52"/>
  <c r="BE14" i="52"/>
  <c r="BF30" i="52"/>
  <c r="BS20" i="52"/>
  <c r="BR29" i="52"/>
  <c r="BE24" i="52"/>
  <c r="BR31" i="52"/>
  <c r="BR18" i="52"/>
  <c r="BD12" i="52"/>
  <c r="BR20" i="52"/>
  <c r="BS24" i="52"/>
  <c r="BF20" i="52"/>
  <c r="BS21" i="52"/>
  <c r="BS27" i="52"/>
  <c r="BF22" i="52"/>
  <c r="BE25" i="52"/>
  <c r="BF33" i="52"/>
  <c r="BD13" i="52"/>
  <c r="BS17" i="52"/>
  <c r="BS30" i="52"/>
  <c r="BD14" i="52"/>
  <c r="BR22" i="52"/>
  <c r="BE33" i="52"/>
  <c r="BR33" i="52"/>
  <c r="BR26" i="52"/>
  <c r="BD18" i="52"/>
  <c r="BE15" i="52"/>
  <c r="BF28" i="52"/>
  <c r="BR25" i="52"/>
  <c r="BE35" i="52"/>
  <c r="BE21" i="52"/>
  <c r="BS22" i="52"/>
  <c r="BF18" i="52"/>
  <c r="BF25" i="52"/>
  <c r="BS29" i="52"/>
  <c r="BS23" i="52"/>
  <c r="BR19" i="52"/>
  <c r="BF34" i="52"/>
  <c r="BR28" i="52"/>
  <c r="BR15" i="52"/>
  <c r="BR23" i="52"/>
  <c r="BF31" i="52"/>
  <c r="BQ14" i="52"/>
  <c r="BF17" i="52"/>
  <c r="BQ12" i="52"/>
  <c r="BQ19" i="52"/>
  <c r="BD17" i="52"/>
  <c r="BR34" i="52"/>
  <c r="BF24" i="52"/>
  <c r="BS18" i="52"/>
  <c r="BS32" i="52"/>
  <c r="BE12" i="52"/>
  <c r="BF26" i="52"/>
  <c r="BS33" i="52"/>
  <c r="BR35" i="52"/>
  <c r="BR16" i="52"/>
  <c r="BE34" i="52"/>
  <c r="BQ13" i="52"/>
  <c r="BS31" i="52"/>
  <c r="BE20" i="52"/>
  <c r="BR12" i="52"/>
  <c r="BF32" i="52"/>
  <c r="BS13" i="52"/>
  <c r="BR30" i="52"/>
  <c r="BS25" i="52"/>
  <c r="BE29" i="52"/>
  <c r="BE27" i="52"/>
  <c r="BE32" i="52"/>
  <c r="BU18" i="52"/>
  <c r="BU15" i="52"/>
  <c r="BH18" i="52"/>
  <c r="BU14" i="52"/>
  <c r="BH15" i="52"/>
  <c r="BH14" i="52"/>
  <c r="BH19" i="52"/>
  <c r="T35" i="52"/>
  <c r="S35" i="52"/>
  <c r="R35" i="52"/>
  <c r="Q35" i="52"/>
  <c r="M35" i="52"/>
  <c r="J35" i="52"/>
  <c r="G35" i="52"/>
  <c r="E35" i="52"/>
  <c r="T34" i="52"/>
  <c r="S34" i="52"/>
  <c r="R34" i="52"/>
  <c r="Q34" i="52"/>
  <c r="M34" i="52"/>
  <c r="J34" i="52"/>
  <c r="G34" i="52"/>
  <c r="E34" i="52"/>
  <c r="T33" i="52"/>
  <c r="S33" i="52"/>
  <c r="R33" i="52"/>
  <c r="Q33" i="52"/>
  <c r="M33" i="52"/>
  <c r="J33" i="52"/>
  <c r="G33" i="52"/>
  <c r="E33" i="52"/>
  <c r="T32" i="52"/>
  <c r="S32" i="52"/>
  <c r="R32" i="52"/>
  <c r="Q32" i="52"/>
  <c r="M32" i="52"/>
  <c r="J32" i="52"/>
  <c r="G32" i="52"/>
  <c r="E32" i="52"/>
  <c r="T31" i="52"/>
  <c r="S31" i="52"/>
  <c r="R31" i="52"/>
  <c r="Q31" i="52"/>
  <c r="M31" i="52"/>
  <c r="J31" i="52"/>
  <c r="G31" i="52"/>
  <c r="E31" i="52"/>
  <c r="T30" i="52"/>
  <c r="S30" i="52"/>
  <c r="R30" i="52"/>
  <c r="Q30" i="52"/>
  <c r="M30" i="52"/>
  <c r="J30" i="52"/>
  <c r="G30" i="52"/>
  <c r="E30" i="52"/>
  <c r="T29" i="52"/>
  <c r="S29" i="52"/>
  <c r="R29" i="52"/>
  <c r="Q29" i="52"/>
  <c r="M29" i="52"/>
  <c r="J29" i="52"/>
  <c r="G29" i="52"/>
  <c r="E29" i="52"/>
  <c r="T28" i="52"/>
  <c r="S28" i="52"/>
  <c r="R28" i="52"/>
  <c r="Q28" i="52"/>
  <c r="M28" i="52"/>
  <c r="J28" i="52"/>
  <c r="G28" i="52"/>
  <c r="E28" i="52"/>
  <c r="T27" i="52"/>
  <c r="S27" i="52"/>
  <c r="R27" i="52"/>
  <c r="Q27" i="52"/>
  <c r="M27" i="52"/>
  <c r="J27" i="52"/>
  <c r="G41" i="66"/>
  <c r="G27" i="52"/>
  <c r="E27" i="52"/>
  <c r="F41" i="66"/>
  <c r="T26" i="52"/>
  <c r="S26" i="52"/>
  <c r="R26" i="52"/>
  <c r="Q26" i="52"/>
  <c r="M26" i="52"/>
  <c r="J26" i="52"/>
  <c r="G26" i="52"/>
  <c r="E26" i="52"/>
  <c r="T25" i="52"/>
  <c r="S25" i="52"/>
  <c r="R25" i="52"/>
  <c r="Q25" i="52"/>
  <c r="M25" i="52"/>
  <c r="J25" i="52"/>
  <c r="G39" i="66"/>
  <c r="G25" i="52"/>
  <c r="E25" i="52"/>
  <c r="F39" i="66"/>
  <c r="T24" i="52"/>
  <c r="S24" i="52"/>
  <c r="R24" i="52"/>
  <c r="Q24" i="52"/>
  <c r="M24" i="52"/>
  <c r="J24" i="52"/>
  <c r="G37" i="66"/>
  <c r="G24" i="52"/>
  <c r="E24" i="52"/>
  <c r="F37" i="66"/>
  <c r="T23" i="52"/>
  <c r="S23" i="52"/>
  <c r="R23" i="52"/>
  <c r="Q23" i="52"/>
  <c r="M23" i="52"/>
  <c r="J23" i="52"/>
  <c r="G23" i="52"/>
  <c r="E23" i="52"/>
  <c r="T22" i="52"/>
  <c r="S22" i="52"/>
  <c r="R22" i="52"/>
  <c r="Q22" i="52"/>
  <c r="M22" i="52"/>
  <c r="J22" i="52"/>
  <c r="G22" i="52"/>
  <c r="E22" i="52"/>
  <c r="T21" i="52"/>
  <c r="S21" i="52"/>
  <c r="R21" i="52"/>
  <c r="Q21" i="52"/>
  <c r="M21" i="52"/>
  <c r="J21" i="52"/>
  <c r="G35" i="66"/>
  <c r="G21" i="52"/>
  <c r="E21" i="52"/>
  <c r="F35" i="66"/>
  <c r="T20" i="52"/>
  <c r="S20" i="52"/>
  <c r="R20" i="52"/>
  <c r="Q20" i="52"/>
  <c r="M20" i="52"/>
  <c r="J20" i="52"/>
  <c r="G33" i="66"/>
  <c r="G20" i="52"/>
  <c r="E20" i="52"/>
  <c r="T19" i="52"/>
  <c r="S19" i="52"/>
  <c r="R19" i="52"/>
  <c r="Q19" i="52"/>
  <c r="M19" i="52"/>
  <c r="J19" i="52"/>
  <c r="G19" i="52"/>
  <c r="E19" i="52"/>
  <c r="T18" i="52"/>
  <c r="S18" i="52"/>
  <c r="R18" i="52"/>
  <c r="Q18" i="52"/>
  <c r="M18" i="52"/>
  <c r="J18" i="52"/>
  <c r="G91" i="61"/>
  <c r="G18" i="52"/>
  <c r="E18" i="52"/>
  <c r="T17" i="52"/>
  <c r="S17" i="52"/>
  <c r="R17" i="52"/>
  <c r="Q17" i="52"/>
  <c r="M17" i="52"/>
  <c r="J17" i="52"/>
  <c r="G18" i="66"/>
  <c r="O18" i="66"/>
  <c r="G17" i="52"/>
  <c r="E17" i="52"/>
  <c r="T16" i="52"/>
  <c r="S16" i="52"/>
  <c r="R16" i="52"/>
  <c r="Q16" i="52"/>
  <c r="M16" i="52"/>
  <c r="J16" i="52"/>
  <c r="G17" i="66"/>
  <c r="O17" i="66"/>
  <c r="G16" i="52"/>
  <c r="E16" i="52"/>
  <c r="T15" i="52"/>
  <c r="S15" i="52"/>
  <c r="R15" i="52"/>
  <c r="Q15" i="52"/>
  <c r="M15" i="52"/>
  <c r="K88" i="61"/>
  <c r="J15" i="52"/>
  <c r="G15" i="52"/>
  <c r="J88" i="61"/>
  <c r="E15" i="52"/>
  <c r="T14" i="52"/>
  <c r="S14" i="52"/>
  <c r="R14" i="52"/>
  <c r="Q14" i="52"/>
  <c r="M14" i="52"/>
  <c r="K87" i="61"/>
  <c r="J14" i="52"/>
  <c r="G14" i="52"/>
  <c r="J87" i="61"/>
  <c r="E14" i="52"/>
  <c r="T13" i="52"/>
  <c r="S13" i="52"/>
  <c r="R13" i="52"/>
  <c r="Q13" i="52"/>
  <c r="M13" i="52"/>
  <c r="J13" i="52"/>
  <c r="G12" i="66"/>
  <c r="O12" i="66"/>
  <c r="G13" i="52"/>
  <c r="E13" i="52"/>
  <c r="T12" i="52"/>
  <c r="S12" i="52"/>
  <c r="R12" i="52"/>
  <c r="Q12" i="52"/>
  <c r="M12" i="52"/>
  <c r="J12" i="52"/>
  <c r="G11" i="66"/>
  <c r="O11" i="66"/>
  <c r="G12" i="52"/>
  <c r="E12" i="52"/>
  <c r="P34" i="52"/>
  <c r="P29" i="52"/>
  <c r="P31" i="52"/>
  <c r="P23" i="52"/>
  <c r="P25" i="52"/>
  <c r="P21" i="52"/>
  <c r="P32" i="52"/>
  <c r="P17" i="52"/>
  <c r="P28" i="52"/>
  <c r="P22" i="52"/>
  <c r="P26" i="52"/>
  <c r="P15" i="52"/>
  <c r="P18" i="52"/>
  <c r="P30" i="52"/>
  <c r="P13" i="52"/>
  <c r="P33" i="52"/>
  <c r="P12" i="52"/>
  <c r="P24" i="52"/>
  <c r="P35" i="52"/>
  <c r="P14" i="52"/>
  <c r="P16" i="52"/>
  <c r="P27" i="52"/>
  <c r="P19" i="52"/>
  <c r="P20" i="52"/>
  <c r="H11" i="66"/>
  <c r="AB11" i="66"/>
  <c r="H17" i="66"/>
  <c r="AB17" i="66"/>
  <c r="H18" i="66"/>
  <c r="AB18" i="66"/>
  <c r="H12" i="66"/>
  <c r="AB12" i="66"/>
  <c r="H14" i="66"/>
  <c r="H13" i="66"/>
  <c r="H16" i="66"/>
  <c r="H15" i="66"/>
  <c r="H32" i="66"/>
  <c r="I32" i="66"/>
  <c r="H33" i="66"/>
  <c r="I33" i="66"/>
  <c r="H35" i="66"/>
  <c r="I35" i="66"/>
  <c r="H34" i="66"/>
  <c r="I34" i="66"/>
  <c r="H37" i="66"/>
  <c r="I37" i="66"/>
  <c r="H36" i="66"/>
  <c r="I36" i="66"/>
  <c r="H39" i="66"/>
  <c r="I39" i="66"/>
  <c r="H38" i="66"/>
  <c r="I38" i="66"/>
  <c r="H40" i="66"/>
  <c r="I40" i="66"/>
  <c r="H41" i="66"/>
  <c r="I41" i="66"/>
  <c r="N32" i="66"/>
  <c r="N33" i="66"/>
  <c r="N34" i="66"/>
  <c r="N35" i="66"/>
  <c r="N36" i="66"/>
  <c r="N37" i="66"/>
  <c r="N38" i="66"/>
  <c r="N39" i="66"/>
  <c r="N40" i="66"/>
  <c r="N41" i="66"/>
  <c r="F33" i="66"/>
  <c r="F32" i="66"/>
  <c r="F12" i="66"/>
  <c r="F11" i="66"/>
  <c r="F14" i="66"/>
  <c r="F13" i="66"/>
  <c r="F15" i="66"/>
  <c r="F16" i="66"/>
  <c r="F17" i="66"/>
  <c r="F18" i="66"/>
  <c r="F34" i="66"/>
  <c r="F36" i="66"/>
  <c r="F38" i="66"/>
  <c r="F40" i="66"/>
  <c r="G14" i="66"/>
  <c r="O14" i="66"/>
  <c r="G13" i="66"/>
  <c r="O13" i="66"/>
  <c r="G15" i="66"/>
  <c r="O15" i="66"/>
  <c r="G16" i="66"/>
  <c r="O16" i="66"/>
  <c r="G32" i="66"/>
  <c r="G34" i="66"/>
  <c r="G36" i="66"/>
  <c r="G38" i="66"/>
  <c r="G40" i="66"/>
  <c r="G85" i="61"/>
  <c r="G86" i="61"/>
  <c r="G87" i="61"/>
  <c r="G88" i="61"/>
  <c r="G89" i="61"/>
  <c r="G90" i="61"/>
  <c r="N85" i="61"/>
  <c r="N86" i="61"/>
  <c r="N87" i="61"/>
  <c r="Q87" i="61"/>
  <c r="F85" i="61"/>
  <c r="H85" i="61"/>
  <c r="F86" i="61"/>
  <c r="H86" i="61"/>
  <c r="H87" i="61"/>
  <c r="F87" i="61"/>
  <c r="H88" i="61"/>
  <c r="F88" i="61"/>
  <c r="H89" i="61"/>
  <c r="F89" i="61"/>
  <c r="H90" i="61"/>
  <c r="F90" i="61"/>
  <c r="F91" i="61"/>
  <c r="H91" i="61"/>
  <c r="F92" i="61"/>
  <c r="I19" i="60"/>
  <c r="G19" i="60"/>
  <c r="H92" i="61"/>
  <c r="H93" i="61"/>
  <c r="I21" i="60"/>
  <c r="G21" i="60"/>
  <c r="F93" i="61"/>
  <c r="H94" i="61"/>
  <c r="I23" i="60"/>
  <c r="F94" i="61"/>
  <c r="G23" i="60"/>
  <c r="F95" i="61"/>
  <c r="I25" i="60"/>
  <c r="H95" i="61"/>
  <c r="G25" i="60"/>
  <c r="F96" i="61"/>
  <c r="I27" i="60"/>
  <c r="H96" i="61"/>
  <c r="G27" i="60"/>
  <c r="F97" i="61"/>
  <c r="I29" i="60"/>
  <c r="H97" i="61"/>
  <c r="G29" i="60"/>
  <c r="F98" i="61"/>
  <c r="I31" i="60"/>
  <c r="G31" i="60"/>
  <c r="H98" i="61"/>
  <c r="H99" i="61"/>
  <c r="I33" i="60"/>
  <c r="F99" i="61"/>
  <c r="G33" i="60"/>
  <c r="H100" i="61"/>
  <c r="I35" i="60"/>
  <c r="F100" i="61"/>
  <c r="G35" i="60"/>
  <c r="H101" i="61"/>
  <c r="I37" i="60"/>
  <c r="G37" i="60"/>
  <c r="F101" i="61"/>
  <c r="H102" i="61"/>
  <c r="I39" i="60"/>
  <c r="F102" i="61"/>
  <c r="G39" i="60"/>
  <c r="F103" i="61"/>
  <c r="I41" i="60"/>
  <c r="H103" i="61"/>
  <c r="G41" i="60"/>
  <c r="F104" i="61"/>
  <c r="I43" i="60"/>
  <c r="H104" i="61"/>
  <c r="G43" i="60"/>
  <c r="F105" i="61"/>
  <c r="I45" i="60"/>
  <c r="G45" i="60"/>
  <c r="H105" i="61"/>
  <c r="F106" i="61"/>
  <c r="I47" i="60"/>
  <c r="H106" i="61"/>
  <c r="G47" i="60"/>
  <c r="H107" i="61"/>
  <c r="I49" i="60"/>
  <c r="F107" i="61"/>
  <c r="G49" i="60"/>
  <c r="H108" i="61"/>
  <c r="I51" i="60"/>
  <c r="F108" i="61"/>
  <c r="G51" i="60"/>
  <c r="J89" i="56"/>
  <c r="J85" i="61"/>
  <c r="J90" i="56"/>
  <c r="J86" i="61"/>
  <c r="J91" i="56"/>
  <c r="J89" i="61"/>
  <c r="J92" i="56"/>
  <c r="J90" i="61"/>
  <c r="J93" i="56"/>
  <c r="J91" i="61"/>
  <c r="K20" i="60"/>
  <c r="J92" i="61"/>
  <c r="K19" i="60"/>
  <c r="K22" i="60"/>
  <c r="J93" i="61"/>
  <c r="K21" i="60"/>
  <c r="K24" i="60"/>
  <c r="J94" i="61"/>
  <c r="K23" i="60"/>
  <c r="K26" i="60"/>
  <c r="J95" i="61"/>
  <c r="K25" i="60"/>
  <c r="K28" i="60"/>
  <c r="J96" i="61"/>
  <c r="K27" i="60"/>
  <c r="K30" i="60"/>
  <c r="J97" i="61"/>
  <c r="K29" i="60"/>
  <c r="K32" i="60"/>
  <c r="J98" i="61"/>
  <c r="K31" i="60"/>
  <c r="K34" i="60"/>
  <c r="K33" i="60"/>
  <c r="J99" i="61"/>
  <c r="K36" i="60"/>
  <c r="K35" i="60"/>
  <c r="J100" i="61"/>
  <c r="K38" i="60"/>
  <c r="J101" i="61"/>
  <c r="K37" i="60"/>
  <c r="K40" i="60"/>
  <c r="J102" i="61"/>
  <c r="K39" i="60"/>
  <c r="K42" i="60"/>
  <c r="J103" i="61"/>
  <c r="K41" i="60"/>
  <c r="K44" i="60"/>
  <c r="J104" i="61"/>
  <c r="K43" i="60"/>
  <c r="K46" i="60"/>
  <c r="J105" i="61"/>
  <c r="K45" i="60"/>
  <c r="K48" i="60"/>
  <c r="J106" i="61"/>
  <c r="K47" i="60"/>
  <c r="K50" i="60"/>
  <c r="J107" i="61"/>
  <c r="K49" i="60"/>
  <c r="K52" i="60"/>
  <c r="K51" i="60"/>
  <c r="J108" i="61"/>
  <c r="N88" i="61"/>
  <c r="R88" i="61"/>
  <c r="N89" i="61"/>
  <c r="N90" i="61"/>
  <c r="N91" i="61"/>
  <c r="R91" i="61"/>
  <c r="G92" i="61"/>
  <c r="H19" i="60"/>
  <c r="H22" i="60"/>
  <c r="G93" i="61"/>
  <c r="H21" i="60"/>
  <c r="H24" i="60"/>
  <c r="G94" i="61"/>
  <c r="H23" i="60"/>
  <c r="H26" i="60"/>
  <c r="H25" i="60"/>
  <c r="G95" i="61"/>
  <c r="H28" i="60"/>
  <c r="H27" i="60"/>
  <c r="G96" i="61"/>
  <c r="H30" i="60"/>
  <c r="G97" i="61"/>
  <c r="H29" i="60"/>
  <c r="H32" i="60"/>
  <c r="G98" i="61"/>
  <c r="H31" i="60"/>
  <c r="H34" i="60"/>
  <c r="G99" i="61"/>
  <c r="H33" i="60"/>
  <c r="H36" i="60"/>
  <c r="G100" i="61"/>
  <c r="H35" i="60"/>
  <c r="H38" i="60"/>
  <c r="G101" i="61"/>
  <c r="H37" i="60"/>
  <c r="H40" i="60"/>
  <c r="G102" i="61"/>
  <c r="H39" i="60"/>
  <c r="H42" i="60"/>
  <c r="H41" i="60"/>
  <c r="G103" i="61"/>
  <c r="H44" i="60"/>
  <c r="H43" i="60"/>
  <c r="G104" i="61"/>
  <c r="H46" i="60"/>
  <c r="G105" i="61"/>
  <c r="H45" i="60"/>
  <c r="H48" i="60"/>
  <c r="G106" i="61"/>
  <c r="H47" i="60"/>
  <c r="H50" i="60"/>
  <c r="G107" i="61"/>
  <c r="H49" i="60"/>
  <c r="H52" i="60"/>
  <c r="G108" i="61"/>
  <c r="H51" i="60"/>
  <c r="K89" i="56"/>
  <c r="K85" i="61"/>
  <c r="K90" i="56"/>
  <c r="K86" i="61"/>
  <c r="K91" i="56"/>
  <c r="K89" i="61"/>
  <c r="K92" i="56"/>
  <c r="K90" i="61"/>
  <c r="K93" i="56"/>
  <c r="K91" i="61"/>
  <c r="L20" i="60"/>
  <c r="K92" i="61"/>
  <c r="L19" i="60"/>
  <c r="L22" i="60"/>
  <c r="K93" i="61"/>
  <c r="L21" i="60"/>
  <c r="L24" i="60"/>
  <c r="K94" i="61"/>
  <c r="L23" i="60"/>
  <c r="L26" i="60"/>
  <c r="K95" i="61"/>
  <c r="L25" i="60"/>
  <c r="L28" i="60"/>
  <c r="K96" i="61"/>
  <c r="L27" i="60"/>
  <c r="L30" i="60"/>
  <c r="K97" i="61"/>
  <c r="L29" i="60"/>
  <c r="L32" i="60"/>
  <c r="K98" i="61"/>
  <c r="L31" i="60"/>
  <c r="L34" i="60"/>
  <c r="K99" i="61"/>
  <c r="L33" i="60"/>
  <c r="L36" i="60"/>
  <c r="K100" i="61"/>
  <c r="L35" i="60"/>
  <c r="L38" i="60"/>
  <c r="K101" i="61"/>
  <c r="L37" i="60"/>
  <c r="L40" i="60"/>
  <c r="K102" i="61"/>
  <c r="L39" i="60"/>
  <c r="L42" i="60"/>
  <c r="K103" i="61"/>
  <c r="L41" i="60"/>
  <c r="L44" i="60"/>
  <c r="K104" i="61"/>
  <c r="L43" i="60"/>
  <c r="L46" i="60"/>
  <c r="K105" i="61"/>
  <c r="L45" i="60"/>
  <c r="L48" i="60"/>
  <c r="K106" i="61"/>
  <c r="L47" i="60"/>
  <c r="L50" i="60"/>
  <c r="K107" i="61"/>
  <c r="L49" i="60"/>
  <c r="L52" i="60"/>
  <c r="L51" i="60"/>
  <c r="K108" i="61"/>
  <c r="M85" i="61"/>
  <c r="M86" i="61"/>
  <c r="M87" i="61"/>
  <c r="M88" i="61"/>
  <c r="M89" i="61"/>
  <c r="M90" i="61"/>
  <c r="M91" i="61"/>
  <c r="M92" i="61"/>
  <c r="N19" i="60"/>
  <c r="M93" i="61"/>
  <c r="N21" i="60"/>
  <c r="M94" i="61"/>
  <c r="N23" i="60"/>
  <c r="M95" i="61"/>
  <c r="N25" i="60"/>
  <c r="M96" i="61"/>
  <c r="N27" i="60"/>
  <c r="N29" i="60"/>
  <c r="M97" i="61"/>
  <c r="M98" i="61"/>
  <c r="N31" i="60"/>
  <c r="N33" i="60"/>
  <c r="M99" i="61"/>
  <c r="M100" i="61"/>
  <c r="N35" i="60"/>
  <c r="M101" i="61"/>
  <c r="N37" i="60"/>
  <c r="M102" i="61"/>
  <c r="N39" i="60"/>
  <c r="M103" i="61"/>
  <c r="N41" i="60"/>
  <c r="M104" i="61"/>
  <c r="N43" i="60"/>
  <c r="M105" i="61"/>
  <c r="N45" i="60"/>
  <c r="N47" i="60"/>
  <c r="M106" i="61"/>
  <c r="M107" i="61"/>
  <c r="N49" i="60"/>
  <c r="M108" i="61"/>
  <c r="N51" i="60"/>
  <c r="R87" i="61"/>
  <c r="N92" i="61"/>
  <c r="O19" i="60"/>
  <c r="N93" i="61"/>
  <c r="O21" i="60"/>
  <c r="N94" i="61"/>
  <c r="O23" i="60"/>
  <c r="N95" i="61"/>
  <c r="O25" i="60"/>
  <c r="N96" i="61"/>
  <c r="O27" i="60"/>
  <c r="N97" i="61"/>
  <c r="O29" i="60"/>
  <c r="N98" i="61"/>
  <c r="O31" i="60"/>
  <c r="N99" i="61"/>
  <c r="O33" i="60"/>
  <c r="N100" i="61"/>
  <c r="O35" i="60"/>
  <c r="O37" i="60"/>
  <c r="N101" i="61"/>
  <c r="N102" i="61"/>
  <c r="O39" i="60"/>
  <c r="N103" i="61"/>
  <c r="O41" i="60"/>
  <c r="N104" i="61"/>
  <c r="O43" i="60"/>
  <c r="N105" i="61"/>
  <c r="O45" i="60"/>
  <c r="N106" i="61"/>
  <c r="O47" i="60"/>
  <c r="N107" i="61"/>
  <c r="O49" i="60"/>
  <c r="N108" i="61"/>
  <c r="O51" i="60"/>
  <c r="L16" i="60"/>
  <c r="L15" i="60"/>
  <c r="L18" i="60"/>
  <c r="L17" i="60"/>
  <c r="H15" i="60"/>
  <c r="H16" i="60"/>
  <c r="H17" i="60"/>
  <c r="H18" i="60"/>
  <c r="H20" i="60"/>
  <c r="I16" i="60"/>
  <c r="G16" i="60"/>
  <c r="I15" i="60"/>
  <c r="G15" i="60"/>
  <c r="K16" i="60"/>
  <c r="K15" i="60"/>
  <c r="N16" i="60"/>
  <c r="N15" i="60"/>
  <c r="O16" i="60"/>
  <c r="O15" i="60"/>
  <c r="I17" i="60"/>
  <c r="I18" i="60"/>
  <c r="G17" i="60"/>
  <c r="G18" i="60"/>
  <c r="K17" i="60"/>
  <c r="K18" i="60"/>
  <c r="N17" i="60"/>
  <c r="N18" i="60"/>
  <c r="O17" i="60"/>
  <c r="O18" i="60"/>
  <c r="I20" i="60"/>
  <c r="G20" i="60"/>
  <c r="N20" i="60"/>
  <c r="O20" i="60"/>
  <c r="I22" i="60"/>
  <c r="G22" i="60"/>
  <c r="N22" i="60"/>
  <c r="O22" i="60"/>
  <c r="I24" i="60"/>
  <c r="G24" i="60"/>
  <c r="N24" i="60"/>
  <c r="O24" i="60"/>
  <c r="I26" i="60"/>
  <c r="G26" i="60"/>
  <c r="N26" i="60"/>
  <c r="O26" i="60"/>
  <c r="I28" i="60"/>
  <c r="G28" i="60"/>
  <c r="N28" i="60"/>
  <c r="O28" i="60"/>
  <c r="I30" i="60"/>
  <c r="G30" i="60"/>
  <c r="N30" i="60"/>
  <c r="O30" i="60"/>
  <c r="I32" i="60"/>
  <c r="G32" i="60"/>
  <c r="N32" i="60"/>
  <c r="O32" i="60"/>
  <c r="I34" i="60"/>
  <c r="G34" i="60"/>
  <c r="N34" i="60"/>
  <c r="O34" i="60"/>
  <c r="I36" i="60"/>
  <c r="G36" i="60"/>
  <c r="N36" i="60"/>
  <c r="O36" i="60"/>
  <c r="I38" i="60"/>
  <c r="G38" i="60"/>
  <c r="N38" i="60"/>
  <c r="O38" i="60"/>
  <c r="I40" i="60"/>
  <c r="G40" i="60"/>
  <c r="N40" i="60"/>
  <c r="O40" i="60"/>
  <c r="I42" i="60"/>
  <c r="G42" i="60"/>
  <c r="N42" i="60"/>
  <c r="O42" i="60"/>
  <c r="I44" i="60"/>
  <c r="G44" i="60"/>
  <c r="N44" i="60"/>
  <c r="O44" i="60"/>
  <c r="I46" i="60"/>
  <c r="G46" i="60"/>
  <c r="N46" i="60"/>
  <c r="O46" i="60"/>
  <c r="G48" i="60"/>
  <c r="I48" i="60"/>
  <c r="N48" i="60"/>
  <c r="O48" i="60"/>
  <c r="G50" i="60"/>
  <c r="I50" i="60"/>
  <c r="N50" i="60"/>
  <c r="O50" i="60"/>
  <c r="I52" i="60"/>
  <c r="G52" i="60"/>
  <c r="N52" i="60"/>
  <c r="O52" i="60"/>
  <c r="G89" i="56"/>
  <c r="G90" i="56"/>
  <c r="G91" i="56"/>
  <c r="G92" i="56"/>
  <c r="G93" i="56"/>
  <c r="M89" i="56"/>
  <c r="M90" i="56"/>
  <c r="M91" i="56"/>
  <c r="O91" i="56"/>
  <c r="M92" i="56"/>
  <c r="O92" i="56"/>
  <c r="M93" i="56"/>
  <c r="O93" i="56"/>
  <c r="H90" i="56"/>
  <c r="F90" i="56"/>
  <c r="H91" i="56"/>
  <c r="F91" i="56"/>
  <c r="H92" i="56"/>
  <c r="F92" i="56"/>
  <c r="H93" i="56"/>
  <c r="F93" i="56"/>
  <c r="H89" i="56"/>
  <c r="F89" i="56"/>
  <c r="N89" i="56"/>
  <c r="N90" i="56"/>
  <c r="N91" i="56"/>
  <c r="N92" i="56"/>
  <c r="N93" i="56"/>
  <c r="O17" i="52"/>
  <c r="O32" i="52"/>
  <c r="O35" i="52"/>
  <c r="O34" i="52"/>
  <c r="O33" i="52"/>
  <c r="O14" i="52"/>
  <c r="O16" i="52"/>
  <c r="O29" i="52"/>
  <c r="O13" i="52"/>
  <c r="O20" i="52"/>
  <c r="O22" i="52"/>
  <c r="O23" i="52"/>
  <c r="O24" i="52"/>
  <c r="O26" i="52"/>
  <c r="O27" i="52"/>
  <c r="O28" i="52"/>
  <c r="O19" i="52"/>
  <c r="O15" i="52"/>
  <c r="O21" i="52"/>
  <c r="O30" i="52"/>
  <c r="O31" i="52"/>
  <c r="O12" i="52"/>
  <c r="O18" i="52"/>
  <c r="O25" i="52"/>
  <c r="I15" i="66"/>
  <c r="AB15" i="66"/>
  <c r="I16" i="66"/>
  <c r="AB16" i="66"/>
  <c r="I13" i="66"/>
  <c r="AB13" i="66"/>
  <c r="I14" i="66"/>
  <c r="AB14" i="66"/>
  <c r="Q91" i="61"/>
  <c r="Q88" i="61"/>
  <c r="R49" i="60"/>
  <c r="S49" i="60"/>
  <c r="S45" i="60"/>
  <c r="R45" i="60"/>
  <c r="S41" i="60"/>
  <c r="R41" i="60"/>
  <c r="R101" i="61"/>
  <c r="Q101" i="61"/>
  <c r="S33" i="60"/>
  <c r="R33" i="60"/>
  <c r="S29" i="60"/>
  <c r="R29" i="60"/>
  <c r="S25" i="60"/>
  <c r="R25" i="60"/>
  <c r="R21" i="60"/>
  <c r="S21" i="60"/>
  <c r="Q51" i="60"/>
  <c r="P51" i="60"/>
  <c r="P106" i="61"/>
  <c r="O106" i="61"/>
  <c r="Q43" i="60"/>
  <c r="P43" i="60"/>
  <c r="P39" i="60"/>
  <c r="Q39" i="60"/>
  <c r="Q35" i="60"/>
  <c r="P35" i="60"/>
  <c r="P31" i="60"/>
  <c r="Q31" i="60"/>
  <c r="Q27" i="60"/>
  <c r="P27" i="60"/>
  <c r="P23" i="60"/>
  <c r="Q23" i="60"/>
  <c r="O89" i="61"/>
  <c r="P89" i="61"/>
  <c r="R107" i="61"/>
  <c r="Q107" i="61"/>
  <c r="R105" i="61"/>
  <c r="Q105" i="61"/>
  <c r="R103" i="61"/>
  <c r="Q103" i="61"/>
  <c r="S37" i="60"/>
  <c r="R37" i="60"/>
  <c r="R99" i="61"/>
  <c r="Q99" i="61"/>
  <c r="R97" i="61"/>
  <c r="Q97" i="61"/>
  <c r="R95" i="61"/>
  <c r="Q95" i="61"/>
  <c r="R93" i="61"/>
  <c r="Q93" i="61"/>
  <c r="P108" i="61"/>
  <c r="O108" i="61"/>
  <c r="Q47" i="60"/>
  <c r="P47" i="60"/>
  <c r="O104" i="61"/>
  <c r="P104" i="61"/>
  <c r="P102" i="61"/>
  <c r="O102" i="61"/>
  <c r="O100" i="61"/>
  <c r="P100" i="61"/>
  <c r="P98" i="61"/>
  <c r="O98" i="61"/>
  <c r="O96" i="61"/>
  <c r="P96" i="61"/>
  <c r="O94" i="61"/>
  <c r="P94" i="61"/>
  <c r="R51" i="60"/>
  <c r="S51" i="60"/>
  <c r="R47" i="60"/>
  <c r="S47" i="60"/>
  <c r="S43" i="60"/>
  <c r="R43" i="60"/>
  <c r="R39" i="60"/>
  <c r="S39" i="60"/>
  <c r="S35" i="60"/>
  <c r="R35" i="60"/>
  <c r="R31" i="60"/>
  <c r="S31" i="60"/>
  <c r="S27" i="60"/>
  <c r="R27" i="60"/>
  <c r="S23" i="60"/>
  <c r="R23" i="60"/>
  <c r="R19" i="60"/>
  <c r="S19" i="60"/>
  <c r="P45" i="60"/>
  <c r="Q45" i="60"/>
  <c r="P41" i="60"/>
  <c r="Q41" i="60"/>
  <c r="P37" i="60"/>
  <c r="Q37" i="60"/>
  <c r="P97" i="61"/>
  <c r="O97" i="61"/>
  <c r="Q25" i="60"/>
  <c r="P25" i="60"/>
  <c r="P21" i="60"/>
  <c r="Q21" i="60"/>
  <c r="P91" i="61"/>
  <c r="O91" i="61"/>
  <c r="Q108" i="61"/>
  <c r="R108" i="61"/>
  <c r="R106" i="61"/>
  <c r="Q106" i="61"/>
  <c r="R104" i="61"/>
  <c r="Q104" i="61"/>
  <c r="R102" i="61"/>
  <c r="Q102" i="61"/>
  <c r="R100" i="61"/>
  <c r="Q100" i="61"/>
  <c r="Q98" i="61"/>
  <c r="R98" i="61"/>
  <c r="R96" i="61"/>
  <c r="Q96" i="61"/>
  <c r="R94" i="61"/>
  <c r="Q94" i="61"/>
  <c r="R92" i="61"/>
  <c r="Q92" i="61"/>
  <c r="P105" i="61"/>
  <c r="O105" i="61"/>
  <c r="P103" i="61"/>
  <c r="O103" i="61"/>
  <c r="P101" i="61"/>
  <c r="O101" i="61"/>
  <c r="P29" i="60"/>
  <c r="Q29" i="60"/>
  <c r="P95" i="61"/>
  <c r="O95" i="61"/>
  <c r="O93" i="61"/>
  <c r="P93" i="61"/>
  <c r="P90" i="61"/>
  <c r="O90" i="61"/>
  <c r="S52" i="60"/>
  <c r="R52" i="60"/>
  <c r="P52" i="60"/>
  <c r="Q52" i="60"/>
  <c r="S50" i="60"/>
  <c r="R50" i="60"/>
  <c r="S48" i="60"/>
  <c r="R48" i="60"/>
  <c r="Q48" i="60"/>
  <c r="P48" i="60"/>
  <c r="S46" i="60"/>
  <c r="R46" i="60"/>
  <c r="P46" i="60"/>
  <c r="Q46" i="60"/>
  <c r="R44" i="60"/>
  <c r="S44" i="60"/>
  <c r="P44" i="60"/>
  <c r="Q44" i="60"/>
  <c r="S42" i="60"/>
  <c r="R42" i="60"/>
  <c r="Q42" i="60"/>
  <c r="P42" i="60"/>
  <c r="R40" i="60"/>
  <c r="S40" i="60"/>
  <c r="Q40" i="60"/>
  <c r="P40" i="60"/>
  <c r="R38" i="60"/>
  <c r="S38" i="60"/>
  <c r="P38" i="60"/>
  <c r="Q38" i="60"/>
  <c r="S36" i="60"/>
  <c r="R36" i="60"/>
  <c r="P36" i="60"/>
  <c r="Q36" i="60"/>
  <c r="S34" i="60"/>
  <c r="R34" i="60"/>
  <c r="S32" i="60"/>
  <c r="R32" i="60"/>
  <c r="Q32" i="60"/>
  <c r="P32" i="60"/>
  <c r="S30" i="60"/>
  <c r="R30" i="60"/>
  <c r="Q30" i="60"/>
  <c r="P30" i="60"/>
  <c r="S28" i="60"/>
  <c r="R28" i="60"/>
  <c r="Q28" i="60"/>
  <c r="P28" i="60"/>
  <c r="S26" i="60"/>
  <c r="R26" i="60"/>
  <c r="Q26" i="60"/>
  <c r="P26" i="60"/>
  <c r="S24" i="60"/>
  <c r="R24" i="60"/>
  <c r="Q24" i="60"/>
  <c r="P24" i="60"/>
  <c r="S22" i="60"/>
  <c r="R22" i="60"/>
  <c r="Q22" i="60"/>
  <c r="P22" i="60"/>
  <c r="R20" i="60"/>
  <c r="S20" i="60"/>
  <c r="S18" i="60"/>
  <c r="R18" i="60"/>
  <c r="R17" i="60"/>
  <c r="S17" i="60"/>
  <c r="R15" i="60"/>
  <c r="S15" i="60"/>
  <c r="S16" i="60"/>
  <c r="R16" i="60"/>
  <c r="P91" i="56"/>
  <c r="P92" i="56"/>
  <c r="P93" i="56"/>
  <c r="Q93" i="56"/>
  <c r="R93" i="56"/>
  <c r="I32" i="8"/>
  <c r="L27" i="52"/>
  <c r="I10" i="8"/>
  <c r="I11" i="8"/>
  <c r="I12" i="8"/>
  <c r="I13" i="8"/>
  <c r="I14" i="8"/>
  <c r="I15" i="8"/>
  <c r="I16" i="8"/>
  <c r="I21" i="8"/>
  <c r="D547" i="16"/>
  <c r="I22" i="8"/>
  <c r="I23" i="8"/>
  <c r="I24" i="8"/>
  <c r="I29" i="8"/>
  <c r="I31" i="8"/>
  <c r="I35" i="8"/>
  <c r="I36" i="8"/>
  <c r="I37" i="8"/>
  <c r="I38" i="8"/>
  <c r="L35" i="52"/>
  <c r="J52" i="60"/>
  <c r="I39" i="8"/>
  <c r="I40" i="8"/>
  <c r="E97" i="5"/>
  <c r="O36" i="66"/>
  <c r="O38" i="66"/>
  <c r="O40" i="66"/>
  <c r="O32" i="66"/>
  <c r="O34" i="66"/>
  <c r="J36" i="60"/>
  <c r="L41" i="66"/>
  <c r="E135" i="5"/>
  <c r="F135" i="5"/>
  <c r="L14" i="52"/>
  <c r="L12" i="52"/>
  <c r="L30" i="52"/>
  <c r="J42" i="60"/>
  <c r="L32" i="52"/>
  <c r="J46" i="60"/>
  <c r="L25" i="52"/>
  <c r="L33" i="52"/>
  <c r="J48" i="60"/>
  <c r="L31" i="52"/>
  <c r="J44" i="60"/>
  <c r="L24" i="52"/>
  <c r="L19" i="52"/>
  <c r="J20" i="60"/>
  <c r="L34" i="52"/>
  <c r="J50" i="60"/>
  <c r="L13" i="52"/>
  <c r="L15" i="52"/>
  <c r="M28" i="27"/>
  <c r="M27" i="27"/>
  <c r="M26" i="27"/>
  <c r="D28" i="27"/>
  <c r="F28" i="27"/>
  <c r="D27" i="27"/>
  <c r="D26" i="27"/>
  <c r="E84" i="27"/>
  <c r="M28" i="26"/>
  <c r="M27" i="26"/>
  <c r="M26" i="26"/>
  <c r="D28" i="26"/>
  <c r="F28" i="26"/>
  <c r="D27" i="26"/>
  <c r="D26" i="26"/>
  <c r="E84" i="26"/>
  <c r="D28" i="23"/>
  <c r="F28" i="23"/>
  <c r="D27" i="23"/>
  <c r="D26" i="23"/>
  <c r="F34" i="23"/>
  <c r="M28" i="23"/>
  <c r="F33" i="23"/>
  <c r="M27" i="23"/>
  <c r="F32" i="23"/>
  <c r="M26" i="23"/>
  <c r="E89" i="23"/>
  <c r="E77" i="23"/>
  <c r="E79" i="23"/>
  <c r="D28" i="22"/>
  <c r="F28" i="22"/>
  <c r="D27" i="22"/>
  <c r="D26" i="22"/>
  <c r="F34" i="22"/>
  <c r="M28" i="22"/>
  <c r="F33" i="22"/>
  <c r="M27" i="22"/>
  <c r="F32" i="22"/>
  <c r="M26" i="22"/>
  <c r="E89" i="22"/>
  <c r="E77" i="22"/>
  <c r="E79" i="22"/>
  <c r="L219" i="16"/>
  <c r="AA23" i="8"/>
  <c r="Z23" i="8"/>
  <c r="Y301" i="16"/>
  <c r="U301" i="16"/>
  <c r="L301" i="16"/>
  <c r="J301" i="16"/>
  <c r="D302" i="16"/>
  <c r="H302" i="16"/>
  <c r="U308" i="16"/>
  <c r="P308" i="16"/>
  <c r="P307" i="16"/>
  <c r="J282" i="16"/>
  <c r="Y282" i="16"/>
  <c r="L282" i="16"/>
  <c r="U286" i="16"/>
  <c r="AA30" i="8"/>
  <c r="Z30" i="8"/>
  <c r="D283" i="16"/>
  <c r="H282" i="16"/>
  <c r="U289" i="16"/>
  <c r="P289" i="16"/>
  <c r="P288" i="16"/>
  <c r="H23" i="16"/>
  <c r="D291" i="16"/>
  <c r="D290" i="16"/>
  <c r="F23" i="16"/>
  <c r="E23" i="16"/>
  <c r="Y260" i="16"/>
  <c r="U260" i="16"/>
  <c r="L260" i="16"/>
  <c r="J260" i="16"/>
  <c r="X270" i="16"/>
  <c r="X267" i="16"/>
  <c r="X266" i="16"/>
  <c r="D261" i="16"/>
  <c r="R265" i="16"/>
  <c r="R267" i="16"/>
  <c r="J21" i="16"/>
  <c r="J238" i="16"/>
  <c r="Y238" i="16"/>
  <c r="U238" i="16"/>
  <c r="L238" i="16"/>
  <c r="X248" i="16"/>
  <c r="X246" i="16"/>
  <c r="X245" i="16"/>
  <c r="R243" i="16"/>
  <c r="R245" i="16"/>
  <c r="BL23" i="52"/>
  <c r="AY26" i="52"/>
  <c r="AX23" i="52"/>
  <c r="AX22" i="52"/>
  <c r="AY22" i="52"/>
  <c r="BK27" i="52"/>
  <c r="BK26" i="52"/>
  <c r="AY27" i="52"/>
  <c r="AX26" i="52"/>
  <c r="AX27" i="52"/>
  <c r="BK22" i="52"/>
  <c r="BL27" i="52"/>
  <c r="AY23" i="52"/>
  <c r="BL26" i="52"/>
  <c r="BL22" i="52"/>
  <c r="BK23" i="52"/>
  <c r="J30" i="60"/>
  <c r="L37" i="66"/>
  <c r="J32" i="60"/>
  <c r="L39" i="66"/>
  <c r="J18" i="60"/>
  <c r="L16" i="66"/>
  <c r="J16" i="60"/>
  <c r="L14" i="66"/>
  <c r="K10" i="8"/>
  <c r="K11" i="8"/>
  <c r="K45" i="8"/>
  <c r="D498" i="16"/>
  <c r="K47" i="8"/>
  <c r="D550" i="16"/>
  <c r="K46" i="8"/>
  <c r="D524" i="16"/>
  <c r="P19" i="60"/>
  <c r="P49" i="60"/>
  <c r="P50" i="60"/>
  <c r="O92" i="61"/>
  <c r="O107" i="61"/>
  <c r="P20" i="60"/>
  <c r="Q33" i="60"/>
  <c r="P99" i="61"/>
  <c r="Q34" i="60"/>
  <c r="P92" i="61"/>
  <c r="Q49" i="60"/>
  <c r="P107" i="61"/>
  <c r="Q50" i="60"/>
  <c r="Q20" i="60"/>
  <c r="Q19" i="60"/>
  <c r="O99" i="61"/>
  <c r="P33" i="60"/>
  <c r="P34" i="60"/>
  <c r="E91" i="27"/>
  <c r="E28" i="27"/>
  <c r="E90" i="27"/>
  <c r="E27" i="27"/>
  <c r="E89" i="27"/>
  <c r="E26" i="27"/>
  <c r="E90" i="26"/>
  <c r="E27" i="26"/>
  <c r="E89" i="26"/>
  <c r="E26" i="26"/>
  <c r="E91" i="26"/>
  <c r="E28" i="26"/>
  <c r="E95" i="22"/>
  <c r="E27" i="22"/>
  <c r="E94" i="22"/>
  <c r="E26" i="22"/>
  <c r="E96" i="22"/>
  <c r="E28" i="22"/>
  <c r="E96" i="23"/>
  <c r="E28" i="23"/>
  <c r="E95" i="23"/>
  <c r="E27" i="23"/>
  <c r="E94" i="23"/>
  <c r="E26" i="23"/>
  <c r="U314" i="16"/>
  <c r="AB301" i="16"/>
  <c r="U313" i="16"/>
  <c r="O301" i="16"/>
  <c r="U295" i="16"/>
  <c r="AB282" i="16"/>
  <c r="U294" i="16"/>
  <c r="O282" i="16"/>
  <c r="X254" i="16"/>
  <c r="AB238" i="16"/>
  <c r="X253" i="16"/>
  <c r="O238" i="16"/>
  <c r="X275" i="16"/>
  <c r="O260" i="16"/>
  <c r="X276" i="16"/>
  <c r="AB260" i="16"/>
  <c r="F26" i="22"/>
  <c r="F27" i="26"/>
  <c r="F27" i="22"/>
  <c r="F27" i="23"/>
  <c r="F26" i="27"/>
  <c r="F26" i="23"/>
  <c r="F26" i="26"/>
  <c r="F27" i="27"/>
  <c r="H261" i="16"/>
  <c r="D272" i="16"/>
  <c r="D273" i="16"/>
  <c r="G303" i="16"/>
  <c r="D313" i="16"/>
  <c r="D314" i="16"/>
  <c r="H303" i="16"/>
  <c r="D305" i="16"/>
  <c r="H285" i="16"/>
  <c r="D295" i="16"/>
  <c r="D294" i="16"/>
  <c r="D306" i="16"/>
  <c r="D307" i="16"/>
  <c r="G262" i="16"/>
  <c r="D286" i="16"/>
  <c r="G301" i="16"/>
  <c r="D303" i="16"/>
  <c r="G302" i="16"/>
  <c r="D264" i="16"/>
  <c r="H304" i="16"/>
  <c r="H262" i="16"/>
  <c r="G282" i="16"/>
  <c r="H301" i="16"/>
  <c r="D304" i="16"/>
  <c r="G304" i="16"/>
  <c r="U282" i="16"/>
  <c r="D265" i="16"/>
  <c r="D266" i="16"/>
  <c r="G263" i="16"/>
  <c r="H263" i="16"/>
  <c r="D287" i="16"/>
  <c r="D288" i="16"/>
  <c r="D262" i="16"/>
  <c r="G260" i="16"/>
  <c r="H260" i="16"/>
  <c r="G283" i="16"/>
  <c r="D284" i="16"/>
  <c r="G284" i="16"/>
  <c r="G285" i="16"/>
  <c r="D263" i="16"/>
  <c r="G261" i="16"/>
  <c r="H283" i="16"/>
  <c r="D285" i="16"/>
  <c r="H284" i="16"/>
  <c r="BO27" i="52"/>
  <c r="BO22" i="52"/>
  <c r="BB26" i="52"/>
  <c r="BO23" i="52"/>
  <c r="BB23" i="52"/>
  <c r="BO26" i="52"/>
  <c r="BB27" i="52"/>
  <c r="BB22" i="52"/>
  <c r="X534" i="16"/>
  <c r="W534" i="16"/>
  <c r="X482" i="16"/>
  <c r="W482" i="16"/>
  <c r="W508" i="16"/>
  <c r="X508" i="16"/>
  <c r="X301" i="16"/>
  <c r="X282" i="16"/>
  <c r="X260" i="16"/>
  <c r="W282" i="16"/>
  <c r="W260" i="16"/>
  <c r="W301" i="16"/>
  <c r="D239" i="16"/>
  <c r="Y407" i="16"/>
  <c r="E94" i="25"/>
  <c r="E96" i="25"/>
  <c r="E26" i="25"/>
  <c r="E92" i="25"/>
  <c r="E91" i="25"/>
  <c r="D26" i="25"/>
  <c r="E94" i="24"/>
  <c r="E96" i="24"/>
  <c r="E26" i="24"/>
  <c r="E92" i="24"/>
  <c r="E91" i="24"/>
  <c r="D26" i="24"/>
  <c r="AY24" i="52"/>
  <c r="AY25" i="52"/>
  <c r="BB25" i="52"/>
  <c r="BB24" i="52"/>
  <c r="D27" i="24"/>
  <c r="F27" i="24"/>
  <c r="J27" i="24"/>
  <c r="D27" i="25"/>
  <c r="F27" i="25"/>
  <c r="J27" i="25"/>
  <c r="D28" i="24"/>
  <c r="F28" i="24"/>
  <c r="J28" i="24"/>
  <c r="D28" i="25"/>
  <c r="F28" i="25"/>
  <c r="J28" i="25"/>
  <c r="F26" i="24"/>
  <c r="F26" i="25"/>
  <c r="H238" i="16"/>
  <c r="D251" i="16"/>
  <c r="D250" i="16"/>
  <c r="E97" i="24"/>
  <c r="E27" i="24"/>
  <c r="E97" i="25"/>
  <c r="E27" i="25"/>
  <c r="E98" i="24"/>
  <c r="E28" i="24"/>
  <c r="E98" i="25"/>
  <c r="E28" i="25"/>
  <c r="D243" i="16"/>
  <c r="D244" i="16"/>
  <c r="D240" i="16"/>
  <c r="G238" i="16"/>
  <c r="H239" i="16"/>
  <c r="D241" i="16"/>
  <c r="G239" i="16"/>
  <c r="H240" i="16"/>
  <c r="D242" i="16"/>
  <c r="G240" i="16"/>
  <c r="H241" i="16"/>
  <c r="G241" i="16"/>
  <c r="D121" i="50"/>
  <c r="D128" i="50"/>
  <c r="D120" i="50"/>
  <c r="D127" i="50"/>
  <c r="D119" i="50"/>
  <c r="D126" i="50"/>
  <c r="M27" i="50"/>
  <c r="M26" i="50"/>
  <c r="D53" i="50"/>
  <c r="D185" i="50"/>
  <c r="D16" i="50"/>
  <c r="D17" i="50"/>
  <c r="D120" i="49"/>
  <c r="D127" i="49"/>
  <c r="D119" i="49"/>
  <c r="D126" i="49"/>
  <c r="D118" i="49"/>
  <c r="D125" i="49"/>
  <c r="M27" i="49"/>
  <c r="M26" i="49"/>
  <c r="D53" i="49"/>
  <c r="D175" i="49"/>
  <c r="D16" i="49"/>
  <c r="D17" i="49"/>
  <c r="D119" i="48"/>
  <c r="D126" i="48"/>
  <c r="D120" i="48"/>
  <c r="D127" i="48"/>
  <c r="D118" i="48"/>
  <c r="D125" i="48"/>
  <c r="M26" i="48"/>
  <c r="E14" i="48"/>
  <c r="D16" i="48"/>
  <c r="D17" i="48"/>
  <c r="D130" i="47"/>
  <c r="D129" i="47"/>
  <c r="J53" i="47"/>
  <c r="D16" i="47"/>
  <c r="D17" i="47"/>
  <c r="D130" i="46"/>
  <c r="D129" i="46"/>
  <c r="H53" i="46"/>
  <c r="D15" i="46"/>
  <c r="D133" i="45"/>
  <c r="D139" i="45"/>
  <c r="D132" i="45"/>
  <c r="D138" i="45"/>
  <c r="S31" i="43"/>
  <c r="BM24" i="52"/>
  <c r="BL24" i="52"/>
  <c r="BM25" i="52"/>
  <c r="BZ24" i="52"/>
  <c r="BK18" i="52"/>
  <c r="AX18" i="52"/>
  <c r="BO24" i="52"/>
  <c r="BO25" i="52"/>
  <c r="BL25" i="52"/>
  <c r="BZ25" i="52"/>
  <c r="AX16" i="52"/>
  <c r="BK17" i="52"/>
  <c r="AX17" i="52"/>
  <c r="H184" i="43"/>
  <c r="H188" i="43"/>
  <c r="H192" i="43"/>
  <c r="H196" i="43"/>
  <c r="H200" i="43"/>
  <c r="H204" i="43"/>
  <c r="H208" i="43"/>
  <c r="H212" i="43"/>
  <c r="H216" i="43"/>
  <c r="H220" i="43"/>
  <c r="H224" i="43"/>
  <c r="L184" i="43"/>
  <c r="L188" i="43"/>
  <c r="L192" i="43"/>
  <c r="L196" i="43"/>
  <c r="L200" i="43"/>
  <c r="L204" i="43"/>
  <c r="L208" i="43"/>
  <c r="L212" i="43"/>
  <c r="L216" i="43"/>
  <c r="L220" i="43"/>
  <c r="L224" i="43"/>
  <c r="H185" i="43"/>
  <c r="H189" i="43"/>
  <c r="H193" i="43"/>
  <c r="H197" i="43"/>
  <c r="H201" i="43"/>
  <c r="H205" i="43"/>
  <c r="H209" i="43"/>
  <c r="H213" i="43"/>
  <c r="H217" i="43"/>
  <c r="H221" i="43"/>
  <c r="H225" i="43"/>
  <c r="L185" i="43"/>
  <c r="L189" i="43"/>
  <c r="L193" i="43"/>
  <c r="L197" i="43"/>
  <c r="L201" i="43"/>
  <c r="L205" i="43"/>
  <c r="L209" i="43"/>
  <c r="L213" i="43"/>
  <c r="L217" i="43"/>
  <c r="L221" i="43"/>
  <c r="L225" i="43"/>
  <c r="H186" i="43"/>
  <c r="H190" i="43"/>
  <c r="H194" i="43"/>
  <c r="H198" i="43"/>
  <c r="H202" i="43"/>
  <c r="H206" i="43"/>
  <c r="H210" i="43"/>
  <c r="H214" i="43"/>
  <c r="H218" i="43"/>
  <c r="H222" i="43"/>
  <c r="H226" i="43"/>
  <c r="L186" i="43"/>
  <c r="L190" i="43"/>
  <c r="L194" i="43"/>
  <c r="L198" i="43"/>
  <c r="L202" i="43"/>
  <c r="L206" i="43"/>
  <c r="L210" i="43"/>
  <c r="L214" i="43"/>
  <c r="L218" i="43"/>
  <c r="L222" i="43"/>
  <c r="L226" i="43"/>
  <c r="H195" i="43"/>
  <c r="H211" i="43"/>
  <c r="L191" i="43"/>
  <c r="L207" i="43"/>
  <c r="L223" i="43"/>
  <c r="H187" i="43"/>
  <c r="L183" i="43"/>
  <c r="H183" i="43"/>
  <c r="H199" i="43"/>
  <c r="H215" i="43"/>
  <c r="L195" i="43"/>
  <c r="L211" i="43"/>
  <c r="H219" i="43"/>
  <c r="L199" i="43"/>
  <c r="H223" i="43"/>
  <c r="L219" i="43"/>
  <c r="H203" i="43"/>
  <c r="L215" i="43"/>
  <c r="H191" i="43"/>
  <c r="H207" i="43"/>
  <c r="L187" i="43"/>
  <c r="L203" i="43"/>
  <c r="X238" i="16"/>
  <c r="W238" i="16"/>
  <c r="M28" i="48"/>
  <c r="E16" i="47"/>
  <c r="E17" i="47"/>
  <c r="E14" i="47"/>
  <c r="D51" i="47"/>
  <c r="F53" i="49"/>
  <c r="J53" i="45"/>
  <c r="D16" i="46"/>
  <c r="D17" i="46"/>
  <c r="D53" i="48"/>
  <c r="D175" i="48"/>
  <c r="E16" i="46"/>
  <c r="E17" i="46"/>
  <c r="D51" i="46"/>
  <c r="D53" i="46"/>
  <c r="M27" i="48"/>
  <c r="J51" i="45"/>
  <c r="D14" i="46"/>
  <c r="D52" i="47"/>
  <c r="E16" i="48"/>
  <c r="E17" i="48"/>
  <c r="D51" i="48"/>
  <c r="D173" i="48"/>
  <c r="F51" i="49"/>
  <c r="J52" i="45"/>
  <c r="E14" i="46"/>
  <c r="D52" i="46"/>
  <c r="D53" i="47"/>
  <c r="D52" i="48"/>
  <c r="D174" i="48"/>
  <c r="F52" i="49"/>
  <c r="F51" i="50"/>
  <c r="F52" i="50"/>
  <c r="F53" i="50"/>
  <c r="D15" i="50"/>
  <c r="M28" i="50"/>
  <c r="E15" i="50"/>
  <c r="H51" i="50"/>
  <c r="H52" i="50"/>
  <c r="H53" i="50"/>
  <c r="D14" i="50"/>
  <c r="J51" i="50"/>
  <c r="J52" i="50"/>
  <c r="J53" i="50"/>
  <c r="E14" i="50"/>
  <c r="E16" i="50"/>
  <c r="E17" i="50"/>
  <c r="D51" i="50"/>
  <c r="D183" i="50"/>
  <c r="D52" i="50"/>
  <c r="D184" i="50"/>
  <c r="D15" i="49"/>
  <c r="M28" i="49"/>
  <c r="E15" i="49"/>
  <c r="D14" i="49"/>
  <c r="J51" i="49"/>
  <c r="J52" i="49"/>
  <c r="J53" i="49"/>
  <c r="E14" i="49"/>
  <c r="E16" i="49"/>
  <c r="E17" i="49"/>
  <c r="D51" i="49"/>
  <c r="D173" i="49"/>
  <c r="D52" i="49"/>
  <c r="D174" i="49"/>
  <c r="D15" i="48"/>
  <c r="F51" i="48"/>
  <c r="F52" i="48"/>
  <c r="F53" i="48"/>
  <c r="E15" i="48"/>
  <c r="H51" i="48"/>
  <c r="H52" i="48"/>
  <c r="H53" i="48"/>
  <c r="D14" i="48"/>
  <c r="D15" i="47"/>
  <c r="F51" i="47"/>
  <c r="F52" i="47"/>
  <c r="F53" i="47"/>
  <c r="E15" i="47"/>
  <c r="D14" i="47"/>
  <c r="J51" i="47"/>
  <c r="J52" i="47"/>
  <c r="F51" i="46"/>
  <c r="F52" i="46"/>
  <c r="F53" i="46"/>
  <c r="E15" i="46"/>
  <c r="H51" i="46"/>
  <c r="H52" i="46"/>
  <c r="E14" i="45"/>
  <c r="E16" i="45"/>
  <c r="E17" i="45"/>
  <c r="D51" i="45"/>
  <c r="D52" i="45"/>
  <c r="D53" i="45"/>
  <c r="F51" i="45"/>
  <c r="F52" i="45"/>
  <c r="F53" i="45"/>
  <c r="E15" i="45"/>
  <c r="D133" i="44"/>
  <c r="D139" i="44"/>
  <c r="D132" i="44"/>
  <c r="D138" i="44"/>
  <c r="H53" i="44"/>
  <c r="BK16" i="52"/>
  <c r="H28" i="50"/>
  <c r="H26" i="50"/>
  <c r="H27" i="50"/>
  <c r="D113" i="46"/>
  <c r="D114" i="46"/>
  <c r="D113" i="47"/>
  <c r="D114" i="47"/>
  <c r="M169" i="43"/>
  <c r="I169" i="43"/>
  <c r="I175" i="43"/>
  <c r="M175" i="43"/>
  <c r="I171" i="43"/>
  <c r="M171" i="43"/>
  <c r="I163" i="43"/>
  <c r="M163" i="43"/>
  <c r="I159" i="43"/>
  <c r="M159" i="43"/>
  <c r="I155" i="43"/>
  <c r="M155" i="43"/>
  <c r="M151" i="43"/>
  <c r="I151" i="43"/>
  <c r="I147" i="43"/>
  <c r="M147" i="43"/>
  <c r="I143" i="43"/>
  <c r="M143" i="43"/>
  <c r="I139" i="43"/>
  <c r="M139" i="43"/>
  <c r="M135" i="43"/>
  <c r="I135" i="43"/>
  <c r="I131" i="43"/>
  <c r="M131" i="43"/>
  <c r="I127" i="43"/>
  <c r="M127" i="43"/>
  <c r="I123" i="43"/>
  <c r="M123" i="43"/>
  <c r="M119" i="43"/>
  <c r="I119" i="43"/>
  <c r="I115" i="43"/>
  <c r="M115" i="43"/>
  <c r="I111" i="43"/>
  <c r="M111" i="43"/>
  <c r="I107" i="43"/>
  <c r="M107" i="43"/>
  <c r="M103" i="43"/>
  <c r="I103" i="43"/>
  <c r="I99" i="43"/>
  <c r="M99" i="43"/>
  <c r="I95" i="43"/>
  <c r="M95" i="43"/>
  <c r="I91" i="43"/>
  <c r="M91" i="43"/>
  <c r="M87" i="43"/>
  <c r="I87" i="43"/>
  <c r="I83" i="43"/>
  <c r="M83" i="43"/>
  <c r="I79" i="43"/>
  <c r="M79" i="43"/>
  <c r="M177" i="43"/>
  <c r="I177" i="43"/>
  <c r="I179" i="43"/>
  <c r="M179" i="43"/>
  <c r="M167" i="43"/>
  <c r="I167" i="43"/>
  <c r="M182" i="43"/>
  <c r="I182" i="43"/>
  <c r="M178" i="43"/>
  <c r="I178" i="43"/>
  <c r="M174" i="43"/>
  <c r="I174" i="43"/>
  <c r="M170" i="43"/>
  <c r="I170" i="43"/>
  <c r="M166" i="43"/>
  <c r="I166" i="43"/>
  <c r="M162" i="43"/>
  <c r="I162" i="43"/>
  <c r="M158" i="43"/>
  <c r="I158" i="43"/>
  <c r="M154" i="43"/>
  <c r="I154" i="43"/>
  <c r="M150" i="43"/>
  <c r="I150" i="43"/>
  <c r="M146" i="43"/>
  <c r="I146" i="43"/>
  <c r="M142" i="43"/>
  <c r="I142" i="43"/>
  <c r="M138" i="43"/>
  <c r="I138" i="43"/>
  <c r="M134" i="43"/>
  <c r="I134" i="43"/>
  <c r="M130" i="43"/>
  <c r="I130" i="43"/>
  <c r="M126" i="43"/>
  <c r="I126" i="43"/>
  <c r="M122" i="43"/>
  <c r="I122" i="43"/>
  <c r="M118" i="43"/>
  <c r="I118" i="43"/>
  <c r="M114" i="43"/>
  <c r="I114" i="43"/>
  <c r="M110" i="43"/>
  <c r="I110" i="43"/>
  <c r="M106" i="43"/>
  <c r="I106" i="43"/>
  <c r="M102" i="43"/>
  <c r="I102" i="43"/>
  <c r="M98" i="43"/>
  <c r="I98" i="43"/>
  <c r="M94" i="43"/>
  <c r="I94" i="43"/>
  <c r="M90" i="43"/>
  <c r="I90" i="43"/>
  <c r="M86" i="43"/>
  <c r="I86" i="43"/>
  <c r="M82" i="43"/>
  <c r="I82" i="43"/>
  <c r="M78" i="43"/>
  <c r="I78" i="43"/>
  <c r="M181" i="43"/>
  <c r="I181" i="43"/>
  <c r="M165" i="43"/>
  <c r="I165" i="43"/>
  <c r="M161" i="43"/>
  <c r="I161" i="43"/>
  <c r="M157" i="43"/>
  <c r="I157" i="43"/>
  <c r="M153" i="43"/>
  <c r="I153" i="43"/>
  <c r="M149" i="43"/>
  <c r="I149" i="43"/>
  <c r="M145" i="43"/>
  <c r="I145" i="43"/>
  <c r="M141" i="43"/>
  <c r="I141" i="43"/>
  <c r="M137" i="43"/>
  <c r="I137" i="43"/>
  <c r="M133" i="43"/>
  <c r="I133" i="43"/>
  <c r="M129" i="43"/>
  <c r="I129" i="43"/>
  <c r="M125" i="43"/>
  <c r="I125" i="43"/>
  <c r="M121" i="43"/>
  <c r="I121" i="43"/>
  <c r="M117" i="43"/>
  <c r="I117" i="43"/>
  <c r="M113" i="43"/>
  <c r="I113" i="43"/>
  <c r="M109" i="43"/>
  <c r="I109" i="43"/>
  <c r="M105" i="43"/>
  <c r="I105" i="43"/>
  <c r="M101" i="43"/>
  <c r="I101" i="43"/>
  <c r="M97" i="43"/>
  <c r="I97" i="43"/>
  <c r="M93" i="43"/>
  <c r="I93" i="43"/>
  <c r="M89" i="43"/>
  <c r="I89" i="43"/>
  <c r="M85" i="43"/>
  <c r="I85" i="43"/>
  <c r="M81" i="43"/>
  <c r="I81" i="43"/>
  <c r="M77" i="43"/>
  <c r="I77" i="43"/>
  <c r="M173" i="43"/>
  <c r="I173" i="43"/>
  <c r="M180" i="43"/>
  <c r="I180" i="43"/>
  <c r="M176" i="43"/>
  <c r="I176" i="43"/>
  <c r="M172" i="43"/>
  <c r="I172" i="43"/>
  <c r="M168" i="43"/>
  <c r="I168" i="43"/>
  <c r="M164" i="43"/>
  <c r="I164" i="43"/>
  <c r="M160" i="43"/>
  <c r="I160" i="43"/>
  <c r="M156" i="43"/>
  <c r="I156" i="43"/>
  <c r="M152" i="43"/>
  <c r="I152" i="43"/>
  <c r="M148" i="43"/>
  <c r="I148" i="43"/>
  <c r="M144" i="43"/>
  <c r="I144" i="43"/>
  <c r="M140" i="43"/>
  <c r="I140" i="43"/>
  <c r="M136" i="43"/>
  <c r="I136" i="43"/>
  <c r="M132" i="43"/>
  <c r="I132" i="43"/>
  <c r="M128" i="43"/>
  <c r="I128" i="43"/>
  <c r="M124" i="43"/>
  <c r="I124" i="43"/>
  <c r="M120" i="43"/>
  <c r="I120" i="43"/>
  <c r="M116" i="43"/>
  <c r="I116" i="43"/>
  <c r="M112" i="43"/>
  <c r="I112" i="43"/>
  <c r="M108" i="43"/>
  <c r="I108" i="43"/>
  <c r="M104" i="43"/>
  <c r="I104" i="43"/>
  <c r="M100" i="43"/>
  <c r="I100" i="43"/>
  <c r="M96" i="43"/>
  <c r="I96" i="43"/>
  <c r="M92" i="43"/>
  <c r="I92" i="43"/>
  <c r="M88" i="43"/>
  <c r="I88" i="43"/>
  <c r="M84" i="43"/>
  <c r="I84" i="43"/>
  <c r="M80" i="43"/>
  <c r="I80" i="43"/>
  <c r="M76" i="43"/>
  <c r="I76" i="43"/>
  <c r="D51" i="44"/>
  <c r="D52" i="44"/>
  <c r="D53" i="44"/>
  <c r="F51" i="44"/>
  <c r="F52" i="44"/>
  <c r="F53" i="44"/>
  <c r="H51" i="44"/>
  <c r="H52" i="44"/>
  <c r="G35" i="5"/>
  <c r="G34" i="5"/>
  <c r="G33" i="5"/>
  <c r="BP18" i="52"/>
  <c r="CC18" i="52"/>
  <c r="BC18" i="52"/>
  <c r="D154" i="44"/>
  <c r="G27" i="44"/>
  <c r="M27" i="44"/>
  <c r="D151" i="47"/>
  <c r="G28" i="47"/>
  <c r="M28" i="47"/>
  <c r="D150" i="47"/>
  <c r="G27" i="47"/>
  <c r="M27" i="47"/>
  <c r="D149" i="47"/>
  <c r="G26" i="47"/>
  <c r="M26" i="47"/>
  <c r="G27" i="45"/>
  <c r="M27" i="45"/>
  <c r="G28" i="45"/>
  <c r="M28" i="45"/>
  <c r="G26" i="45"/>
  <c r="M26" i="45"/>
  <c r="D150" i="46"/>
  <c r="G27" i="46"/>
  <c r="M27" i="46"/>
  <c r="D151" i="46"/>
  <c r="G28" i="46"/>
  <c r="M28" i="46"/>
  <c r="D149" i="46"/>
  <c r="G26" i="46"/>
  <c r="M26" i="46"/>
  <c r="D155" i="44"/>
  <c r="G28" i="44"/>
  <c r="M28" i="44"/>
  <c r="G26" i="44"/>
  <c r="M26" i="44"/>
  <c r="D136" i="47"/>
  <c r="H28" i="47"/>
  <c r="H28" i="44"/>
  <c r="H28" i="49"/>
  <c r="H27" i="49"/>
  <c r="H28" i="48"/>
  <c r="H27" i="48"/>
  <c r="H26" i="48"/>
  <c r="D135" i="46"/>
  <c r="H27" i="46"/>
  <c r="D136" i="46"/>
  <c r="H28" i="46"/>
  <c r="H28" i="45"/>
  <c r="H27" i="45"/>
  <c r="H26" i="45"/>
  <c r="H27" i="44"/>
  <c r="H26" i="44"/>
  <c r="E49" i="43" a="1"/>
  <c r="E49" i="43"/>
  <c r="E56" i="43" a="1"/>
  <c r="E56" i="43"/>
  <c r="E42" i="43" a="1"/>
  <c r="E42" i="43"/>
  <c r="M49" i="43" a="1"/>
  <c r="M49" i="43"/>
  <c r="M56" i="43" a="1"/>
  <c r="M56" i="43"/>
  <c r="K467" i="16"/>
  <c r="T456" i="16"/>
  <c r="K466" i="16"/>
  <c r="K456" i="16"/>
  <c r="M42" i="43" a="1"/>
  <c r="M42" i="43"/>
  <c r="E26" i="48"/>
  <c r="E27" i="48"/>
  <c r="E26" i="49"/>
  <c r="H26" i="49"/>
  <c r="E28" i="49"/>
  <c r="E27" i="49"/>
  <c r="E28" i="44"/>
  <c r="D124" i="46"/>
  <c r="E27" i="46"/>
  <c r="E28" i="48"/>
  <c r="D134" i="46"/>
  <c r="H26" i="46"/>
  <c r="D125" i="46"/>
  <c r="E28" i="46"/>
  <c r="D123" i="46"/>
  <c r="E26" i="46"/>
  <c r="D135" i="47"/>
  <c r="H27" i="47"/>
  <c r="D125" i="47"/>
  <c r="E28" i="47"/>
  <c r="D134" i="47"/>
  <c r="H26" i="47"/>
  <c r="D124" i="47"/>
  <c r="E27" i="47"/>
  <c r="D123" i="47"/>
  <c r="E26" i="47"/>
  <c r="E26" i="44"/>
  <c r="E27" i="44"/>
  <c r="E27" i="45"/>
  <c r="E26" i="45"/>
  <c r="E28" i="45"/>
  <c r="N130" i="43"/>
  <c r="N146" i="43"/>
  <c r="N134" i="43"/>
  <c r="N150" i="43"/>
  <c r="N131" i="43"/>
  <c r="N147" i="43"/>
  <c r="N135" i="43"/>
  <c r="N151" i="43"/>
  <c r="N133" i="43"/>
  <c r="N149" i="43"/>
  <c r="N137" i="43"/>
  <c r="N138" i="43"/>
  <c r="N142" i="43"/>
  <c r="N136" i="43"/>
  <c r="N140" i="43"/>
  <c r="N141" i="43"/>
  <c r="N129" i="43"/>
  <c r="N145" i="43"/>
  <c r="N139" i="43"/>
  <c r="N127" i="43"/>
  <c r="N143" i="43"/>
  <c r="N128" i="43"/>
  <c r="N144" i="43"/>
  <c r="N132" i="43"/>
  <c r="N148" i="43"/>
  <c r="D28" i="29"/>
  <c r="F28" i="29"/>
  <c r="D27" i="29"/>
  <c r="F27" i="29"/>
  <c r="D26" i="29"/>
  <c r="F26" i="29"/>
  <c r="M28" i="29"/>
  <c r="M27" i="29"/>
  <c r="M26" i="29"/>
  <c r="E84" i="29"/>
  <c r="Y343" i="16"/>
  <c r="U343" i="16"/>
  <c r="L343" i="16"/>
  <c r="P353" i="16"/>
  <c r="P350" i="16"/>
  <c r="P349" i="16"/>
  <c r="D344" i="16"/>
  <c r="J343" i="16"/>
  <c r="D28" i="28"/>
  <c r="F28" i="28"/>
  <c r="D27" i="28"/>
  <c r="D26" i="28"/>
  <c r="E84" i="28"/>
  <c r="M28" i="28"/>
  <c r="M27" i="28"/>
  <c r="M26" i="28"/>
  <c r="BC13" i="52"/>
  <c r="BP12" i="52"/>
  <c r="AX13" i="52"/>
  <c r="BO12" i="52"/>
  <c r="BK29" i="52"/>
  <c r="AX28" i="52"/>
  <c r="BK28" i="52"/>
  <c r="BP17" i="52"/>
  <c r="BC16" i="52"/>
  <c r="AY28" i="52"/>
  <c r="AX29" i="52"/>
  <c r="BO16" i="52"/>
  <c r="BK13" i="52"/>
  <c r="BC17" i="52"/>
  <c r="BP13" i="52"/>
  <c r="BL29" i="52"/>
  <c r="BC12" i="52"/>
  <c r="AY29" i="52"/>
  <c r="BL28" i="52"/>
  <c r="AX12" i="52"/>
  <c r="BK12" i="52"/>
  <c r="BP16" i="52"/>
  <c r="T360" i="16"/>
  <c r="AC343" i="16"/>
  <c r="T359" i="16"/>
  <c r="P343" i="16"/>
  <c r="E91" i="28"/>
  <c r="E28" i="28"/>
  <c r="E90" i="28"/>
  <c r="E27" i="28"/>
  <c r="E89" i="28"/>
  <c r="E26" i="28"/>
  <c r="E89" i="29"/>
  <c r="E26" i="29"/>
  <c r="E91" i="29"/>
  <c r="E28" i="29"/>
  <c r="E90" i="29"/>
  <c r="E27" i="29"/>
  <c r="J164" i="43"/>
  <c r="N164" i="43"/>
  <c r="J93" i="43"/>
  <c r="N93" i="43"/>
  <c r="J177" i="43"/>
  <c r="N177" i="43"/>
  <c r="J180" i="43"/>
  <c r="N180" i="43"/>
  <c r="J167" i="43"/>
  <c r="N167" i="43"/>
  <c r="J112" i="43"/>
  <c r="N112" i="43"/>
  <c r="J106" i="43"/>
  <c r="N106" i="43"/>
  <c r="J102" i="43"/>
  <c r="N102" i="43"/>
  <c r="J179" i="43"/>
  <c r="N179" i="43"/>
  <c r="J161" i="43"/>
  <c r="N161" i="43"/>
  <c r="J110" i="43"/>
  <c r="N110" i="43"/>
  <c r="J118" i="43"/>
  <c r="N118" i="43"/>
  <c r="J88" i="43"/>
  <c r="N88" i="43"/>
  <c r="J172" i="43"/>
  <c r="N172" i="43"/>
  <c r="J122" i="43"/>
  <c r="N122" i="43"/>
  <c r="J99" i="43"/>
  <c r="N99" i="43"/>
  <c r="J96" i="43"/>
  <c r="N96" i="43"/>
  <c r="J104" i="43"/>
  <c r="N104" i="43"/>
  <c r="J171" i="43"/>
  <c r="N171" i="43"/>
  <c r="J119" i="43"/>
  <c r="N119" i="43"/>
  <c r="J116" i="43"/>
  <c r="N116" i="43"/>
  <c r="J111" i="43"/>
  <c r="N111" i="43"/>
  <c r="J87" i="43"/>
  <c r="N87" i="43"/>
  <c r="J163" i="43"/>
  <c r="N163" i="43"/>
  <c r="J98" i="43"/>
  <c r="N98" i="43"/>
  <c r="J176" i="43"/>
  <c r="N176" i="43"/>
  <c r="J156" i="43"/>
  <c r="N156" i="43"/>
  <c r="J152" i="43"/>
  <c r="N152" i="43"/>
  <c r="J105" i="43"/>
  <c r="N105" i="43"/>
  <c r="J84" i="43"/>
  <c r="N84" i="43"/>
  <c r="J80" i="43"/>
  <c r="N80" i="43"/>
  <c r="J175" i="43"/>
  <c r="N175" i="43"/>
  <c r="J154" i="43"/>
  <c r="N154" i="43"/>
  <c r="J120" i="43"/>
  <c r="N120" i="43"/>
  <c r="J121" i="43"/>
  <c r="N121" i="43"/>
  <c r="J113" i="43"/>
  <c r="N113" i="43"/>
  <c r="J94" i="43"/>
  <c r="N94" i="43"/>
  <c r="J76" i="43"/>
  <c r="N76" i="43"/>
  <c r="J125" i="43"/>
  <c r="N125" i="43"/>
  <c r="J158" i="43"/>
  <c r="N158" i="43"/>
  <c r="J114" i="43"/>
  <c r="N114" i="43"/>
  <c r="J101" i="43"/>
  <c r="N101" i="43"/>
  <c r="J79" i="43"/>
  <c r="N79" i="43"/>
  <c r="J115" i="43"/>
  <c r="N115" i="43"/>
  <c r="J86" i="43"/>
  <c r="N86" i="43"/>
  <c r="J165" i="43"/>
  <c r="N165" i="43"/>
  <c r="J117" i="43"/>
  <c r="N117" i="43"/>
  <c r="J155" i="43"/>
  <c r="N155" i="43"/>
  <c r="J159" i="43"/>
  <c r="N159" i="43"/>
  <c r="J81" i="43"/>
  <c r="N81" i="43"/>
  <c r="J77" i="43"/>
  <c r="N77" i="43"/>
  <c r="J178" i="43"/>
  <c r="N178" i="43"/>
  <c r="J123" i="43"/>
  <c r="N123" i="43"/>
  <c r="J91" i="43"/>
  <c r="N91" i="43"/>
  <c r="J89" i="43"/>
  <c r="N89" i="43"/>
  <c r="J174" i="43"/>
  <c r="N174" i="43"/>
  <c r="J162" i="43"/>
  <c r="N162" i="43"/>
  <c r="J160" i="43"/>
  <c r="N160" i="43"/>
  <c r="J92" i="43"/>
  <c r="N92" i="43"/>
  <c r="J97" i="43"/>
  <c r="N97" i="43"/>
  <c r="J78" i="43"/>
  <c r="N78" i="43"/>
  <c r="J169" i="43"/>
  <c r="N169" i="43"/>
  <c r="J85" i="43"/>
  <c r="N85" i="43"/>
  <c r="J83" i="43"/>
  <c r="N83" i="43"/>
  <c r="J170" i="43"/>
  <c r="N170" i="43"/>
  <c r="J166" i="43"/>
  <c r="N166" i="43"/>
  <c r="J124" i="43"/>
  <c r="N124" i="43"/>
  <c r="J95" i="43"/>
  <c r="N95" i="43"/>
  <c r="J182" i="43"/>
  <c r="N182" i="43"/>
  <c r="J157" i="43"/>
  <c r="N157" i="43"/>
  <c r="J126" i="43"/>
  <c r="N126" i="43"/>
  <c r="J108" i="43"/>
  <c r="N108" i="43"/>
  <c r="J109" i="43"/>
  <c r="N109" i="43"/>
  <c r="J103" i="43"/>
  <c r="N103" i="43"/>
  <c r="J173" i="43"/>
  <c r="N173" i="43"/>
  <c r="J153" i="43"/>
  <c r="N153" i="43"/>
  <c r="J107" i="43"/>
  <c r="N107" i="43"/>
  <c r="J82" i="43"/>
  <c r="N82" i="43"/>
  <c r="J181" i="43"/>
  <c r="N181" i="43"/>
  <c r="J168" i="43"/>
  <c r="N168" i="43"/>
  <c r="J100" i="43"/>
  <c r="N100" i="43"/>
  <c r="J90" i="43"/>
  <c r="N90" i="43"/>
  <c r="J148" i="43"/>
  <c r="J132" i="43"/>
  <c r="J140" i="43"/>
  <c r="J136" i="43"/>
  <c r="J138" i="43"/>
  <c r="J135" i="43"/>
  <c r="J150" i="43"/>
  <c r="J146" i="43"/>
  <c r="J128" i="43"/>
  <c r="J143" i="43"/>
  <c r="J142" i="43"/>
  <c r="J149" i="43"/>
  <c r="J147" i="43"/>
  <c r="J134" i="43"/>
  <c r="J130" i="43"/>
  <c r="J129" i="43"/>
  <c r="J151" i="43"/>
  <c r="J139" i="43"/>
  <c r="J144" i="43"/>
  <c r="J127" i="43"/>
  <c r="J145" i="43"/>
  <c r="J141" i="43"/>
  <c r="J137" i="43"/>
  <c r="J133" i="43"/>
  <c r="J131" i="43"/>
  <c r="P360" i="16"/>
  <c r="AB343" i="16"/>
  <c r="P359" i="16"/>
  <c r="O343" i="16"/>
  <c r="F26" i="28"/>
  <c r="F27" i="28"/>
  <c r="G345" i="16"/>
  <c r="D355" i="16"/>
  <c r="D356" i="16"/>
  <c r="H345" i="16"/>
  <c r="G343" i="16"/>
  <c r="H343" i="16"/>
  <c r="H344" i="16"/>
  <c r="L148" i="43"/>
  <c r="H148" i="43"/>
  <c r="H163" i="43"/>
  <c r="L163" i="43"/>
  <c r="L98" i="43"/>
  <c r="H98" i="43"/>
  <c r="L176" i="43"/>
  <c r="H176" i="43"/>
  <c r="H156" i="43"/>
  <c r="L156" i="43"/>
  <c r="H165" i="43"/>
  <c r="L165" i="43"/>
  <c r="L117" i="43"/>
  <c r="H117" i="43"/>
  <c r="H159" i="43"/>
  <c r="L159" i="43"/>
  <c r="L77" i="43"/>
  <c r="H77" i="43"/>
  <c r="L123" i="43"/>
  <c r="H123" i="43"/>
  <c r="H136" i="43"/>
  <c r="L136" i="43"/>
  <c r="H89" i="43"/>
  <c r="L89" i="43"/>
  <c r="L162" i="43"/>
  <c r="H162" i="43"/>
  <c r="L160" i="43"/>
  <c r="H160" i="43"/>
  <c r="H92" i="43"/>
  <c r="L92" i="43"/>
  <c r="H97" i="43"/>
  <c r="L97" i="43"/>
  <c r="L78" i="43"/>
  <c r="H78" i="43"/>
  <c r="H169" i="43"/>
  <c r="L169" i="43"/>
  <c r="L135" i="43"/>
  <c r="H135" i="43"/>
  <c r="L150" i="43"/>
  <c r="H150" i="43"/>
  <c r="L146" i="43"/>
  <c r="H146" i="43"/>
  <c r="H85" i="43"/>
  <c r="L85" i="43"/>
  <c r="H83" i="43"/>
  <c r="L83" i="43"/>
  <c r="L79" i="43"/>
  <c r="H79" i="43"/>
  <c r="L164" i="43"/>
  <c r="H164" i="43"/>
  <c r="H124" i="43"/>
  <c r="L124" i="43"/>
  <c r="H143" i="43"/>
  <c r="L143" i="43"/>
  <c r="L139" i="43"/>
  <c r="H139" i="43"/>
  <c r="H93" i="43"/>
  <c r="L93" i="43"/>
  <c r="H95" i="43"/>
  <c r="L95" i="43"/>
  <c r="H177" i="43"/>
  <c r="L177" i="43"/>
  <c r="L182" i="43"/>
  <c r="H182" i="43"/>
  <c r="H157" i="43"/>
  <c r="L157" i="43"/>
  <c r="L126" i="43"/>
  <c r="H126" i="43"/>
  <c r="H108" i="43"/>
  <c r="L108" i="43"/>
  <c r="L109" i="43"/>
  <c r="H109" i="43"/>
  <c r="L103" i="43"/>
  <c r="H103" i="43"/>
  <c r="L173" i="43"/>
  <c r="H173" i="43"/>
  <c r="L142" i="43"/>
  <c r="H142" i="43"/>
  <c r="H153" i="43"/>
  <c r="L153" i="43"/>
  <c r="H149" i="43"/>
  <c r="L149" i="43"/>
  <c r="L107" i="43"/>
  <c r="H107" i="43"/>
  <c r="L82" i="43"/>
  <c r="H82" i="43"/>
  <c r="L181" i="43"/>
  <c r="H181" i="43"/>
  <c r="H168" i="43"/>
  <c r="L168" i="43"/>
  <c r="H147" i="43"/>
  <c r="L147" i="43"/>
  <c r="L134" i="43"/>
  <c r="H134" i="43"/>
  <c r="L130" i="43"/>
  <c r="H130" i="43"/>
  <c r="L100" i="43"/>
  <c r="H100" i="43"/>
  <c r="L90" i="43"/>
  <c r="H90" i="43"/>
  <c r="L170" i="43"/>
  <c r="H170" i="43"/>
  <c r="L166" i="43"/>
  <c r="H166" i="43"/>
  <c r="L128" i="43"/>
  <c r="H128" i="43"/>
  <c r="L115" i="43"/>
  <c r="H115" i="43"/>
  <c r="L86" i="43"/>
  <c r="H86" i="43"/>
  <c r="H129" i="43"/>
  <c r="L129" i="43"/>
  <c r="H152" i="43"/>
  <c r="L152" i="43"/>
  <c r="L132" i="43"/>
  <c r="H132" i="43"/>
  <c r="H155" i="43"/>
  <c r="L155" i="43"/>
  <c r="H81" i="43"/>
  <c r="L81" i="43"/>
  <c r="L178" i="43"/>
  <c r="H178" i="43"/>
  <c r="H140" i="43"/>
  <c r="L140" i="43"/>
  <c r="H91" i="43"/>
  <c r="L91" i="43"/>
  <c r="L174" i="43"/>
  <c r="H174" i="43"/>
  <c r="L138" i="43"/>
  <c r="H138" i="43"/>
  <c r="L180" i="43"/>
  <c r="H180" i="43"/>
  <c r="L167" i="43"/>
  <c r="H167" i="43"/>
  <c r="L144" i="43"/>
  <c r="H144" i="43"/>
  <c r="H127" i="43"/>
  <c r="L127" i="43"/>
  <c r="L112" i="43"/>
  <c r="H112" i="43"/>
  <c r="L106" i="43"/>
  <c r="H106" i="43"/>
  <c r="L102" i="43"/>
  <c r="H102" i="43"/>
  <c r="L179" i="43"/>
  <c r="H179" i="43"/>
  <c r="H145" i="43"/>
  <c r="L145" i="43"/>
  <c r="L141" i="43"/>
  <c r="H141" i="43"/>
  <c r="H161" i="43"/>
  <c r="L161" i="43"/>
  <c r="L110" i="43"/>
  <c r="H110" i="43"/>
  <c r="L118" i="43"/>
  <c r="H118" i="43"/>
  <c r="H88" i="43"/>
  <c r="L88" i="43"/>
  <c r="H172" i="43"/>
  <c r="L172" i="43"/>
  <c r="L122" i="43"/>
  <c r="H122" i="43"/>
  <c r="H137" i="43"/>
  <c r="L137" i="43"/>
  <c r="H133" i="43"/>
  <c r="L133" i="43"/>
  <c r="H99" i="43"/>
  <c r="L99" i="43"/>
  <c r="L96" i="43"/>
  <c r="H96" i="43"/>
  <c r="H104" i="43"/>
  <c r="L104" i="43"/>
  <c r="L171" i="43"/>
  <c r="H171" i="43"/>
  <c r="H131" i="43"/>
  <c r="L131" i="43"/>
  <c r="L119" i="43"/>
  <c r="H119" i="43"/>
  <c r="L116" i="43"/>
  <c r="H116" i="43"/>
  <c r="H111" i="43"/>
  <c r="L111" i="43"/>
  <c r="L87" i="43"/>
  <c r="H87" i="43"/>
  <c r="L105" i="43"/>
  <c r="H105" i="43"/>
  <c r="L84" i="43"/>
  <c r="H84" i="43"/>
  <c r="L80" i="43"/>
  <c r="H80" i="43"/>
  <c r="L175" i="43"/>
  <c r="H175" i="43"/>
  <c r="L154" i="43"/>
  <c r="H154" i="43"/>
  <c r="H120" i="43"/>
  <c r="L120" i="43"/>
  <c r="H121" i="43"/>
  <c r="L121" i="43"/>
  <c r="H113" i="43"/>
  <c r="L113" i="43"/>
  <c r="L94" i="43"/>
  <c r="H94" i="43"/>
  <c r="H76" i="43"/>
  <c r="L76" i="43"/>
  <c r="L151" i="43"/>
  <c r="H151" i="43"/>
  <c r="L125" i="43"/>
  <c r="H125" i="43"/>
  <c r="L158" i="43"/>
  <c r="H158" i="43"/>
  <c r="L114" i="43"/>
  <c r="H114" i="43"/>
  <c r="H101" i="43"/>
  <c r="L101" i="43"/>
  <c r="G344" i="16"/>
  <c r="H346" i="16"/>
  <c r="D345" i="16"/>
  <c r="D346" i="16"/>
  <c r="D347" i="16"/>
  <c r="D348" i="16"/>
  <c r="D349" i="16"/>
  <c r="G346" i="16"/>
  <c r="BO13" i="52"/>
  <c r="BO28" i="52"/>
  <c r="BB29" i="52"/>
  <c r="BO17" i="52"/>
  <c r="BB13" i="52"/>
  <c r="BB17" i="52"/>
  <c r="BB12" i="52"/>
  <c r="BB28" i="52"/>
  <c r="BB16" i="52"/>
  <c r="BO29" i="52"/>
  <c r="M64" i="43" a="1"/>
  <c r="M64" i="43"/>
  <c r="M63" i="43" a="1"/>
  <c r="M63" i="43"/>
  <c r="M65" i="43" a="1"/>
  <c r="M65" i="43"/>
  <c r="E64" i="43" a="1"/>
  <c r="E64" i="43"/>
  <c r="E63" i="43" a="1"/>
  <c r="E63" i="43"/>
  <c r="E65" i="43" a="1"/>
  <c r="E65" i="43"/>
  <c r="M58" i="43" a="1"/>
  <c r="M58" i="43"/>
  <c r="M50" i="43" a="1"/>
  <c r="M50" i="43"/>
  <c r="M57" i="43" a="1"/>
  <c r="M57" i="43"/>
  <c r="M52" i="43" a="1"/>
  <c r="M52" i="43"/>
  <c r="M59" i="43" a="1"/>
  <c r="M59" i="43"/>
  <c r="E69" i="43" a="1"/>
  <c r="E69" i="43"/>
  <c r="E51" i="43" a="1"/>
  <c r="E51" i="43"/>
  <c r="E57" i="43" a="1"/>
  <c r="E57" i="43"/>
  <c r="E50" i="43" a="1"/>
  <c r="E50" i="43"/>
  <c r="E58" i="43" a="1"/>
  <c r="E58" i="43"/>
  <c r="E52" i="43" a="1"/>
  <c r="E52" i="43"/>
  <c r="D86" i="54"/>
  <c r="E59" i="43" a="1"/>
  <c r="E59" i="43"/>
  <c r="D86" i="55"/>
  <c r="E70" i="43" a="1"/>
  <c r="E70" i="43"/>
  <c r="X343" i="16"/>
  <c r="M45" i="43" a="1"/>
  <c r="M45" i="43"/>
  <c r="M70" i="43" a="1"/>
  <c r="M70" i="43"/>
  <c r="M69" i="43" a="1"/>
  <c r="M69" i="43"/>
  <c r="E45" i="43" a="1"/>
  <c r="E45" i="43"/>
  <c r="M43" i="43" a="1"/>
  <c r="M43" i="43"/>
  <c r="M44" i="43" a="1"/>
  <c r="M44" i="43"/>
  <c r="E43" i="43" a="1"/>
  <c r="E43" i="43"/>
  <c r="E44" i="43" a="1"/>
  <c r="E44" i="43"/>
  <c r="W343" i="16"/>
  <c r="Y320" i="16"/>
  <c r="U320" i="16"/>
  <c r="L320" i="16"/>
  <c r="D77" i="63"/>
  <c r="J26" i="63"/>
  <c r="D78" i="63"/>
  <c r="J27" i="63"/>
  <c r="D79" i="63"/>
  <c r="J28" i="63"/>
  <c r="D78" i="62"/>
  <c r="J27" i="62"/>
  <c r="D77" i="62"/>
  <c r="J26" i="62"/>
  <c r="D79" i="62"/>
  <c r="J28" i="62"/>
  <c r="D87" i="55"/>
  <c r="D80" i="55"/>
  <c r="D78" i="55"/>
  <c r="D79" i="55"/>
  <c r="D78" i="54"/>
  <c r="D80" i="54"/>
  <c r="D79" i="54"/>
  <c r="D87" i="54"/>
  <c r="D321" i="16"/>
  <c r="P330" i="16"/>
  <c r="P327" i="16"/>
  <c r="P326" i="16"/>
  <c r="J320" i="16"/>
  <c r="U160" i="16"/>
  <c r="M28" i="21"/>
  <c r="M27" i="21"/>
  <c r="M26" i="21"/>
  <c r="D28" i="21"/>
  <c r="F28" i="21"/>
  <c r="D27" i="21"/>
  <c r="D26" i="21"/>
  <c r="D80" i="21"/>
  <c r="M28" i="38"/>
  <c r="M27" i="38"/>
  <c r="M26" i="38"/>
  <c r="D28" i="38"/>
  <c r="F28" i="38"/>
  <c r="D27" i="38"/>
  <c r="D26" i="38"/>
  <c r="D80" i="38"/>
  <c r="BL21" i="52"/>
  <c r="BS38" i="52"/>
  <c r="BZ39" i="52"/>
  <c r="AZ38" i="52"/>
  <c r="BZ38" i="52"/>
  <c r="BM38" i="52"/>
  <c r="AY21" i="52"/>
  <c r="BM39" i="52"/>
  <c r="BL20" i="52"/>
  <c r="AX20" i="52"/>
  <c r="BF38" i="52"/>
  <c r="AX21" i="52"/>
  <c r="AZ39" i="52"/>
  <c r="BK20" i="52"/>
  <c r="BK21" i="52"/>
  <c r="CF38" i="52"/>
  <c r="AY20" i="52"/>
  <c r="D103" i="54"/>
  <c r="D107" i="54"/>
  <c r="F28" i="54"/>
  <c r="J28" i="54"/>
  <c r="D101" i="54"/>
  <c r="D105" i="54"/>
  <c r="F26" i="54"/>
  <c r="J26" i="54"/>
  <c r="D104" i="55"/>
  <c r="D108" i="55"/>
  <c r="F28" i="55"/>
  <c r="J28" i="55"/>
  <c r="D103" i="55"/>
  <c r="D107" i="55"/>
  <c r="F27" i="55"/>
  <c r="J27" i="55"/>
  <c r="D102" i="54"/>
  <c r="D106" i="54"/>
  <c r="F27" i="54"/>
  <c r="J27" i="54"/>
  <c r="D102" i="55"/>
  <c r="D106" i="55"/>
  <c r="F26" i="55"/>
  <c r="J26" i="55"/>
  <c r="BU38" i="52"/>
  <c r="BH38" i="52"/>
  <c r="CH38" i="52"/>
  <c r="T337" i="16"/>
  <c r="AC320" i="16"/>
  <c r="T336" i="16"/>
  <c r="P320" i="16"/>
  <c r="D44" i="54"/>
  <c r="D39" i="55"/>
  <c r="D40" i="55"/>
  <c r="D38" i="55"/>
  <c r="D46" i="54"/>
  <c r="D45" i="54"/>
  <c r="E45" i="54"/>
  <c r="E46" i="54"/>
  <c r="E44" i="54"/>
  <c r="D87" i="21"/>
  <c r="E28" i="21"/>
  <c r="D86" i="21"/>
  <c r="E27" i="21"/>
  <c r="D85" i="21"/>
  <c r="E26" i="21"/>
  <c r="D87" i="38"/>
  <c r="E28" i="38"/>
  <c r="D86" i="38"/>
  <c r="E27" i="38"/>
  <c r="D85" i="38"/>
  <c r="E26" i="38"/>
  <c r="P337" i="16"/>
  <c r="AB320" i="16"/>
  <c r="P336" i="16"/>
  <c r="O320" i="16"/>
  <c r="U166" i="16"/>
  <c r="AB153" i="16"/>
  <c r="U165" i="16"/>
  <c r="O153" i="16"/>
  <c r="F26" i="38"/>
  <c r="F27" i="21"/>
  <c r="F27" i="38"/>
  <c r="F26" i="21"/>
  <c r="G321" i="16"/>
  <c r="D333" i="16"/>
  <c r="D332" i="16"/>
  <c r="H320" i="16"/>
  <c r="D325" i="16"/>
  <c r="D326" i="16"/>
  <c r="G322" i="16"/>
  <c r="H323" i="16"/>
  <c r="H322" i="16"/>
  <c r="G323" i="16"/>
  <c r="G320" i="16"/>
  <c r="H321" i="16"/>
  <c r="D322" i="16"/>
  <c r="D323" i="16"/>
  <c r="D324" i="16"/>
  <c r="BF36" i="52"/>
  <c r="BB21" i="52"/>
  <c r="BO21" i="52"/>
  <c r="CE37" i="52"/>
  <c r="BB20" i="52"/>
  <c r="BZ37" i="52"/>
  <c r="BE37" i="52"/>
  <c r="BS36" i="52"/>
  <c r="CF36" i="52"/>
  <c r="BM36" i="52"/>
  <c r="BR37" i="52"/>
  <c r="AZ36" i="52"/>
  <c r="BO20" i="52"/>
  <c r="AZ37" i="52"/>
  <c r="BM37" i="52"/>
  <c r="BZ36" i="52"/>
  <c r="D28" i="54"/>
  <c r="D27" i="55"/>
  <c r="D26" i="54"/>
  <c r="D26" i="55"/>
  <c r="D27" i="54"/>
  <c r="D28" i="55"/>
  <c r="BU37" i="52"/>
  <c r="CH37" i="52"/>
  <c r="BU36" i="52"/>
  <c r="BH36" i="52"/>
  <c r="CH36" i="52"/>
  <c r="BH37" i="52"/>
  <c r="E39" i="55"/>
  <c r="L27" i="55"/>
  <c r="E38" i="55"/>
  <c r="L26" i="55"/>
  <c r="E40" i="55"/>
  <c r="L28" i="55"/>
  <c r="L28" i="54"/>
  <c r="L27" i="54"/>
  <c r="L26" i="54"/>
  <c r="X320" i="16"/>
  <c r="W320" i="16"/>
  <c r="P183" i="16"/>
  <c r="P182" i="16"/>
  <c r="U182" i="16"/>
  <c r="BL36" i="52"/>
  <c r="AW36" i="52"/>
  <c r="AW37" i="52"/>
  <c r="AY37" i="52"/>
  <c r="BJ37" i="52"/>
  <c r="BL37" i="52"/>
  <c r="BY36" i="52"/>
  <c r="BY37" i="52"/>
  <c r="BW36" i="52"/>
  <c r="BJ36" i="52"/>
  <c r="AY36" i="52"/>
  <c r="BW37" i="52"/>
  <c r="CG36" i="52"/>
  <c r="BT37" i="52"/>
  <c r="BG36" i="52"/>
  <c r="BG37" i="52"/>
  <c r="CG37" i="52"/>
  <c r="BT36" i="52"/>
  <c r="IK37" i="52"/>
  <c r="IK36" i="52"/>
  <c r="U188" i="16"/>
  <c r="AB175" i="16"/>
  <c r="U187" i="16"/>
  <c r="O175" i="16"/>
  <c r="G27" i="41"/>
  <c r="M27" i="41"/>
  <c r="G26" i="41"/>
  <c r="M26" i="41"/>
  <c r="M28" i="41"/>
  <c r="L28" i="41"/>
  <c r="D45" i="41"/>
  <c r="D51" i="41"/>
  <c r="D16" i="41"/>
  <c r="D17" i="41"/>
  <c r="M28" i="30"/>
  <c r="M27" i="30"/>
  <c r="M26" i="30"/>
  <c r="D28" i="30"/>
  <c r="F28" i="30"/>
  <c r="D27" i="30"/>
  <c r="D26" i="30"/>
  <c r="E28" i="30"/>
  <c r="E27" i="30"/>
  <c r="E26" i="30"/>
  <c r="M28" i="31"/>
  <c r="M27" i="31"/>
  <c r="M26" i="31"/>
  <c r="E28" i="31"/>
  <c r="E27" i="31"/>
  <c r="E26" i="31"/>
  <c r="D28" i="31"/>
  <c r="F28" i="31"/>
  <c r="D27" i="31"/>
  <c r="D26" i="31"/>
  <c r="BL30" i="52"/>
  <c r="BK31" i="52"/>
  <c r="BO31" i="52"/>
  <c r="AY31" i="52"/>
  <c r="BO30" i="52"/>
  <c r="BL31" i="52"/>
  <c r="BK30" i="52"/>
  <c r="AX31" i="52"/>
  <c r="BB30" i="52"/>
  <c r="AX30" i="52"/>
  <c r="BS19" i="52"/>
  <c r="AY30" i="52"/>
  <c r="BK19" i="52"/>
  <c r="BB31" i="52"/>
  <c r="AX19" i="52"/>
  <c r="BU19" i="52"/>
  <c r="F26" i="31"/>
  <c r="F27" i="31"/>
  <c r="F26" i="30"/>
  <c r="E45" i="41"/>
  <c r="F27" i="30"/>
  <c r="E15" i="41"/>
  <c r="J52" i="41"/>
  <c r="D52" i="41"/>
  <c r="E14" i="41"/>
  <c r="D14" i="41"/>
  <c r="D15" i="41"/>
  <c r="D53" i="41"/>
  <c r="H51" i="41"/>
  <c r="F51" i="41"/>
  <c r="H52" i="41"/>
  <c r="J53" i="41"/>
  <c r="E16" i="41"/>
  <c r="E17" i="41"/>
  <c r="F52" i="41"/>
  <c r="H53" i="41"/>
  <c r="F53" i="41"/>
  <c r="J51" i="41"/>
  <c r="U366" i="16"/>
  <c r="D367" i="16"/>
  <c r="P373" i="16"/>
  <c r="P372" i="16"/>
  <c r="J366" i="16"/>
  <c r="G368" i="16"/>
  <c r="D379" i="16"/>
  <c r="D378" i="16"/>
  <c r="D371" i="16"/>
  <c r="D372" i="16"/>
  <c r="H368" i="16"/>
  <c r="D368" i="16"/>
  <c r="G369" i="16"/>
  <c r="H369" i="16"/>
  <c r="D369" i="16"/>
  <c r="G366" i="16"/>
  <c r="H366" i="16"/>
  <c r="D370" i="16"/>
  <c r="G367" i="16"/>
  <c r="H367" i="16"/>
  <c r="X366" i="16"/>
  <c r="W366" i="16"/>
  <c r="L28" i="35"/>
  <c r="D27" i="35"/>
  <c r="D26" i="35"/>
  <c r="E26" i="35"/>
  <c r="E27" i="35"/>
  <c r="M26" i="33"/>
  <c r="M27" i="32"/>
  <c r="M26" i="32"/>
  <c r="D27" i="34"/>
  <c r="D26" i="34"/>
  <c r="E27" i="34"/>
  <c r="E26" i="34"/>
  <c r="D27" i="33"/>
  <c r="D26" i="33"/>
  <c r="E27" i="33"/>
  <c r="E26" i="33"/>
  <c r="M28" i="32"/>
  <c r="L28" i="32"/>
  <c r="D27" i="32"/>
  <c r="D26" i="32"/>
  <c r="E27" i="32"/>
  <c r="E26" i="32"/>
  <c r="M28" i="33"/>
  <c r="L28" i="33"/>
  <c r="M27" i="33"/>
  <c r="U386" i="16"/>
  <c r="AX32" i="52"/>
  <c r="BB33" i="52"/>
  <c r="AY35" i="52"/>
  <c r="BL32" i="52"/>
  <c r="BL35" i="52"/>
  <c r="BK33" i="52"/>
  <c r="AX33" i="52"/>
  <c r="AY33" i="52"/>
  <c r="BO33" i="52"/>
  <c r="AY34" i="52"/>
  <c r="BO32" i="52"/>
  <c r="BB35" i="52"/>
  <c r="BL33" i="52"/>
  <c r="BL34" i="52"/>
  <c r="BB34" i="52"/>
  <c r="BB32" i="52"/>
  <c r="BO35" i="52"/>
  <c r="BK32" i="52"/>
  <c r="AY32" i="52"/>
  <c r="BO34" i="52"/>
  <c r="F26" i="33"/>
  <c r="F26" i="34"/>
  <c r="F26" i="32"/>
  <c r="F27" i="33"/>
  <c r="F27" i="34"/>
  <c r="F26" i="35"/>
  <c r="F27" i="35"/>
  <c r="F27" i="32"/>
  <c r="P393" i="16"/>
  <c r="P392" i="16"/>
  <c r="D387" i="16"/>
  <c r="J386" i="16"/>
  <c r="H386" i="16"/>
  <c r="D398" i="16"/>
  <c r="D399" i="16"/>
  <c r="H389" i="16"/>
  <c r="H387" i="16"/>
  <c r="G388" i="16"/>
  <c r="H388" i="16"/>
  <c r="G387" i="16"/>
  <c r="D390" i="16"/>
  <c r="D389" i="16"/>
  <c r="G386" i="16"/>
  <c r="D391" i="16"/>
  <c r="D392" i="16"/>
  <c r="D388" i="16"/>
  <c r="G389" i="16"/>
  <c r="CX19" i="52"/>
  <c r="X386" i="16"/>
  <c r="CX35" i="52"/>
  <c r="CX32" i="52"/>
  <c r="CX33" i="52"/>
  <c r="CX34" i="52"/>
  <c r="DB19" i="52"/>
  <c r="CI19" i="52"/>
  <c r="CB19" i="52"/>
  <c r="DF19" i="52"/>
  <c r="CY19" i="52"/>
  <c r="CF19" i="52"/>
  <c r="BY19" i="52"/>
  <c r="DE19" i="52"/>
  <c r="CE19" i="52"/>
  <c r="BX19" i="52"/>
  <c r="CD19" i="52"/>
  <c r="DD19" i="52"/>
  <c r="BW19" i="52"/>
  <c r="CW19" i="52"/>
  <c r="W386" i="16"/>
  <c r="DF34" i="52"/>
  <c r="DE33" i="52"/>
  <c r="DD34" i="52"/>
  <c r="DB35" i="52"/>
  <c r="CY34" i="52"/>
  <c r="CW32" i="52"/>
  <c r="CI35" i="52"/>
  <c r="CF34" i="52"/>
  <c r="CE33" i="52"/>
  <c r="CD32" i="52"/>
  <c r="CB35" i="52"/>
  <c r="BY34" i="52"/>
  <c r="BX33" i="52"/>
  <c r="BW32" i="52"/>
  <c r="DF35" i="52"/>
  <c r="DE34" i="52"/>
  <c r="DD33" i="52"/>
  <c r="DB34" i="52"/>
  <c r="CY35" i="52"/>
  <c r="CW33" i="52"/>
  <c r="CI32" i="52"/>
  <c r="CF35" i="52"/>
  <c r="CE34" i="52"/>
  <c r="CD33" i="52"/>
  <c r="CB32" i="52"/>
  <c r="BY35" i="52"/>
  <c r="BX34" i="52"/>
  <c r="BW33" i="52"/>
  <c r="DF32" i="52"/>
  <c r="DE35" i="52"/>
  <c r="DD32" i="52"/>
  <c r="DB33" i="52"/>
  <c r="CY32" i="52"/>
  <c r="CW34" i="52"/>
  <c r="CI33" i="52"/>
  <c r="CF32" i="52"/>
  <c r="CE35" i="52"/>
  <c r="CD34" i="52"/>
  <c r="CB33" i="52"/>
  <c r="BY32" i="52"/>
  <c r="BX35" i="52"/>
  <c r="BW34" i="52"/>
  <c r="DF33" i="52"/>
  <c r="DB32" i="52"/>
  <c r="CW35" i="52"/>
  <c r="BX32" i="52"/>
  <c r="BY33" i="52"/>
  <c r="DE32" i="52"/>
  <c r="CY33" i="52"/>
  <c r="CI34" i="52"/>
  <c r="CD35" i="52"/>
  <c r="DD35" i="52"/>
  <c r="CF33" i="52"/>
  <c r="CB34" i="52"/>
  <c r="BW35" i="52"/>
  <c r="CE32" i="52"/>
  <c r="D18" i="45"/>
  <c r="D68" i="45"/>
  <c r="H14" i="16"/>
  <c r="D19" i="45"/>
  <c r="D92" i="45"/>
  <c r="D18" i="46"/>
  <c r="D68" i="46"/>
  <c r="H15" i="16"/>
  <c r="D18" i="47"/>
  <c r="D68" i="47"/>
  <c r="H16" i="16"/>
  <c r="D18" i="48"/>
  <c r="D67" i="48"/>
  <c r="H17" i="16"/>
  <c r="D18" i="49"/>
  <c r="D67" i="49"/>
  <c r="H18" i="16"/>
  <c r="H19" i="16"/>
  <c r="D543" i="16"/>
  <c r="D18" i="41"/>
  <c r="H20" i="16"/>
  <c r="D19" i="41"/>
  <c r="D246" i="16"/>
  <c r="H21" i="16"/>
  <c r="D247" i="16"/>
  <c r="D268" i="16"/>
  <c r="H22" i="16"/>
  <c r="D269" i="16"/>
  <c r="H24" i="16"/>
  <c r="D328" i="16"/>
  <c r="H25" i="16"/>
  <c r="D329" i="16"/>
  <c r="H26" i="16"/>
  <c r="H27" i="16"/>
  <c r="D394" i="16"/>
  <c r="H28" i="16"/>
  <c r="D395" i="16"/>
  <c r="H29" i="16"/>
  <c r="H13" i="16"/>
  <c r="D19" i="44"/>
  <c r="D92" i="44"/>
  <c r="D18" i="44"/>
  <c r="D68" i="44"/>
  <c r="H53" i="38"/>
  <c r="D16" i="38"/>
  <c r="D17" i="38"/>
  <c r="BX23" i="52"/>
  <c r="CF25" i="52"/>
  <c r="CE14" i="52"/>
  <c r="BY26" i="52"/>
  <c r="BY20" i="52"/>
  <c r="CF20" i="52"/>
  <c r="BX22" i="52"/>
  <c r="CD15" i="52"/>
  <c r="CB28" i="52"/>
  <c r="BY22" i="52"/>
  <c r="CF23" i="52"/>
  <c r="BX21" i="52"/>
  <c r="BY30" i="52"/>
  <c r="CB30" i="52"/>
  <c r="CF22" i="52"/>
  <c r="CB26" i="52"/>
  <c r="CE23" i="52"/>
  <c r="BY25" i="52"/>
  <c r="BX20" i="52"/>
  <c r="CF28" i="52"/>
  <c r="CF14" i="52"/>
  <c r="BY27" i="52"/>
  <c r="CB25" i="52"/>
  <c r="BX28" i="52"/>
  <c r="CE28" i="52"/>
  <c r="CE31" i="52"/>
  <c r="BX30" i="52"/>
  <c r="CB31" i="52"/>
  <c r="CF27" i="52"/>
  <c r="CF26" i="52"/>
  <c r="BY24" i="52"/>
  <c r="BX18" i="52"/>
  <c r="CE18" i="52"/>
  <c r="CE29" i="52"/>
  <c r="CD14" i="52"/>
  <c r="CF31" i="52"/>
  <c r="BX27" i="52"/>
  <c r="CF18" i="52"/>
  <c r="CB20" i="52"/>
  <c r="CB21" i="52"/>
  <c r="CE15" i="52"/>
  <c r="BY29" i="52"/>
  <c r="CD18" i="52"/>
  <c r="CB24" i="52"/>
  <c r="CB22" i="52"/>
  <c r="BX31" i="52"/>
  <c r="BY21" i="52"/>
  <c r="CF29" i="52"/>
  <c r="CE24" i="52"/>
  <c r="CF24" i="52"/>
  <c r="CB29" i="52"/>
  <c r="CE20" i="52"/>
  <c r="CF21" i="52"/>
  <c r="CE30" i="52"/>
  <c r="CB23" i="52"/>
  <c r="CE27" i="52"/>
  <c r="BY28" i="52"/>
  <c r="CE26" i="52"/>
  <c r="BY23" i="52"/>
  <c r="CE25" i="52"/>
  <c r="CB27" i="52"/>
  <c r="CF15" i="52"/>
  <c r="BX29" i="52"/>
  <c r="BX26" i="52"/>
  <c r="BY31" i="52"/>
  <c r="CE21" i="52"/>
  <c r="CE22" i="52"/>
  <c r="CF30" i="52"/>
  <c r="P32" i="66"/>
  <c r="P34" i="66"/>
  <c r="P40" i="66"/>
  <c r="D19" i="64"/>
  <c r="D19" i="62"/>
  <c r="D83" i="62"/>
  <c r="D90" i="62"/>
  <c r="D19" i="63"/>
  <c r="D83" i="63"/>
  <c r="CG32" i="52"/>
  <c r="CG33" i="52"/>
  <c r="CG34" i="52"/>
  <c r="CG19" i="52"/>
  <c r="CG35" i="52"/>
  <c r="HR33" i="52"/>
  <c r="HV34" i="52"/>
  <c r="EG32" i="52"/>
  <c r="HQ32" i="52"/>
  <c r="HO32" i="52"/>
  <c r="HT32" i="52"/>
  <c r="HP32" i="52"/>
  <c r="HN32" i="52"/>
  <c r="HU32" i="52"/>
  <c r="HR34" i="52"/>
  <c r="HV33" i="52"/>
  <c r="HU19" i="52"/>
  <c r="HN19" i="52"/>
  <c r="HP19" i="52"/>
  <c r="HT19" i="52"/>
  <c r="HO19" i="52"/>
  <c r="HQ19" i="52"/>
  <c r="HV35" i="52"/>
  <c r="HO34" i="52"/>
  <c r="HN34" i="52"/>
  <c r="HP34" i="52"/>
  <c r="HU34" i="52"/>
  <c r="HT34" i="52"/>
  <c r="HQ34" i="52"/>
  <c r="HR32" i="52"/>
  <c r="HV32" i="52"/>
  <c r="HR19" i="52"/>
  <c r="EG33" i="52"/>
  <c r="HU33" i="52"/>
  <c r="HN33" i="52"/>
  <c r="HQ33" i="52"/>
  <c r="HO33" i="52"/>
  <c r="HT33" i="52"/>
  <c r="HP33" i="52"/>
  <c r="HT35" i="52"/>
  <c r="HU35" i="52"/>
  <c r="HQ35" i="52"/>
  <c r="HN35" i="52"/>
  <c r="HP35" i="52"/>
  <c r="HO35" i="52"/>
  <c r="HR35" i="52"/>
  <c r="HV19" i="52"/>
  <c r="GU33" i="52"/>
  <c r="GT33" i="52"/>
  <c r="GZ33" i="52"/>
  <c r="HA33" i="52"/>
  <c r="GW33" i="52"/>
  <c r="GV33" i="52"/>
  <c r="HA35" i="52"/>
  <c r="GW35" i="52"/>
  <c r="GZ35" i="52"/>
  <c r="GV35" i="52"/>
  <c r="GT35" i="52"/>
  <c r="GU35" i="52"/>
  <c r="FJ35" i="52"/>
  <c r="GX35" i="52"/>
  <c r="FJ19" i="52"/>
  <c r="GX19" i="52"/>
  <c r="FJ33" i="52"/>
  <c r="GX33" i="52"/>
  <c r="FN35" i="52"/>
  <c r="HB35" i="52"/>
  <c r="FN32" i="52"/>
  <c r="HB32" i="52"/>
  <c r="GZ34" i="52"/>
  <c r="GV34" i="52"/>
  <c r="GU34" i="52"/>
  <c r="GW34" i="52"/>
  <c r="GT34" i="52"/>
  <c r="HA34" i="52"/>
  <c r="FJ34" i="52"/>
  <c r="GX34" i="52"/>
  <c r="FN19" i="52"/>
  <c r="HB19" i="52"/>
  <c r="FN33" i="52"/>
  <c r="HB33" i="52"/>
  <c r="GT32" i="52"/>
  <c r="HA32" i="52"/>
  <c r="GW32" i="52"/>
  <c r="GU32" i="52"/>
  <c r="GZ32" i="52"/>
  <c r="GV32" i="52"/>
  <c r="FJ32" i="52"/>
  <c r="GX32" i="52"/>
  <c r="FN34" i="52"/>
  <c r="HB34" i="52"/>
  <c r="HA19" i="52"/>
  <c r="GW19" i="52"/>
  <c r="GZ19" i="52"/>
  <c r="GV19" i="52"/>
  <c r="GU19" i="52"/>
  <c r="GT19" i="52"/>
  <c r="D20" i="46"/>
  <c r="D19" i="48"/>
  <c r="D91" i="48"/>
  <c r="D99" i="48"/>
  <c r="I28" i="48"/>
  <c r="D491" i="16"/>
  <c r="D19" i="46"/>
  <c r="D92" i="46"/>
  <c r="D99" i="46"/>
  <c r="I27" i="46"/>
  <c r="D19" i="49"/>
  <c r="D91" i="49"/>
  <c r="D97" i="49"/>
  <c r="I26" i="49"/>
  <c r="D517" i="16"/>
  <c r="D19" i="47"/>
  <c r="D92" i="47"/>
  <c r="D99" i="47"/>
  <c r="I27" i="47"/>
  <c r="CH18" i="52"/>
  <c r="CH15" i="52"/>
  <c r="CH14" i="52"/>
  <c r="FM34" i="52"/>
  <c r="DG34" i="52"/>
  <c r="FM19" i="52"/>
  <c r="DG19" i="52"/>
  <c r="FM35" i="52"/>
  <c r="DG35" i="52"/>
  <c r="EG35" i="52"/>
  <c r="FM33" i="52"/>
  <c r="DG33" i="52"/>
  <c r="FM32" i="52"/>
  <c r="DG32" i="52"/>
  <c r="EG34" i="52"/>
  <c r="EG19" i="52"/>
  <c r="D78" i="44"/>
  <c r="J26" i="44"/>
  <c r="D79" i="44"/>
  <c r="J27" i="44"/>
  <c r="D80" i="44"/>
  <c r="D86" i="44"/>
  <c r="D87" i="44"/>
  <c r="D85" i="48"/>
  <c r="D86" i="48"/>
  <c r="D86" i="46"/>
  <c r="D44" i="46"/>
  <c r="D80" i="46"/>
  <c r="D79" i="46"/>
  <c r="J27" i="46"/>
  <c r="D78" i="46"/>
  <c r="J26" i="46"/>
  <c r="D85" i="49"/>
  <c r="D40" i="49"/>
  <c r="D77" i="49"/>
  <c r="J26" i="49"/>
  <c r="D78" i="49"/>
  <c r="J27" i="49"/>
  <c r="D79" i="49"/>
  <c r="J28" i="49"/>
  <c r="D86" i="47"/>
  <c r="D80" i="47"/>
  <c r="D79" i="47"/>
  <c r="J27" i="47"/>
  <c r="D78" i="47"/>
  <c r="J26" i="47"/>
  <c r="D86" i="45"/>
  <c r="D39" i="45"/>
  <c r="D80" i="45"/>
  <c r="D79" i="45"/>
  <c r="J27" i="45"/>
  <c r="D78" i="45"/>
  <c r="J26" i="45"/>
  <c r="FL34" i="52"/>
  <c r="FI34" i="52"/>
  <c r="FF34" i="52"/>
  <c r="FG34" i="52"/>
  <c r="FH34" i="52"/>
  <c r="FL19" i="52"/>
  <c r="FI19" i="52"/>
  <c r="FH19" i="52"/>
  <c r="FF19" i="52"/>
  <c r="FG19" i="52"/>
  <c r="FL35" i="52"/>
  <c r="FI35" i="52"/>
  <c r="FH35" i="52"/>
  <c r="FF35" i="52"/>
  <c r="FG35" i="52"/>
  <c r="FI33" i="52"/>
  <c r="FL33" i="52"/>
  <c r="FH33" i="52"/>
  <c r="FF33" i="52"/>
  <c r="FG33" i="52"/>
  <c r="FI32" i="52"/>
  <c r="FL32" i="52"/>
  <c r="FH32" i="52"/>
  <c r="FF32" i="52"/>
  <c r="FG32" i="52"/>
  <c r="D19" i="50"/>
  <c r="D92" i="50"/>
  <c r="D100" i="50"/>
  <c r="I28" i="50"/>
  <c r="D310" i="16"/>
  <c r="D18" i="50"/>
  <c r="D67" i="50"/>
  <c r="D309" i="16"/>
  <c r="D98" i="45"/>
  <c r="I26" i="45"/>
  <c r="D100" i="45"/>
  <c r="I28" i="45"/>
  <c r="D99" i="45"/>
  <c r="I27" i="45"/>
  <c r="D99" i="44"/>
  <c r="I27" i="44"/>
  <c r="D98" i="44"/>
  <c r="I26" i="44"/>
  <c r="D100" i="44"/>
  <c r="I28" i="44"/>
  <c r="D396" i="16"/>
  <c r="D19" i="29"/>
  <c r="D352" i="16"/>
  <c r="D18" i="29"/>
  <c r="E69" i="29"/>
  <c r="D351" i="16"/>
  <c r="D19" i="38"/>
  <c r="D375" i="16"/>
  <c r="D19" i="32"/>
  <c r="D374" i="16"/>
  <c r="D18" i="32"/>
  <c r="D20" i="44"/>
  <c r="D311" i="16"/>
  <c r="D270" i="16"/>
  <c r="K268" i="16"/>
  <c r="K271" i="16"/>
  <c r="D330" i="16"/>
  <c r="D20" i="63"/>
  <c r="D20" i="45"/>
  <c r="D292" i="16"/>
  <c r="D18" i="38"/>
  <c r="D66" i="38"/>
  <c r="D15" i="38"/>
  <c r="J51" i="38"/>
  <c r="J52" i="38"/>
  <c r="J53" i="38"/>
  <c r="E15" i="38"/>
  <c r="D51" i="38"/>
  <c r="D52" i="38"/>
  <c r="D53" i="38"/>
  <c r="D14" i="38"/>
  <c r="F51" i="38"/>
  <c r="F52" i="38"/>
  <c r="F53" i="38"/>
  <c r="E14" i="38"/>
  <c r="E16" i="38"/>
  <c r="E17" i="38"/>
  <c r="H51" i="38"/>
  <c r="H52" i="38"/>
  <c r="K208" i="16"/>
  <c r="P207" i="16"/>
  <c r="O197" i="16"/>
  <c r="AB197" i="16"/>
  <c r="AZ13" i="52"/>
  <c r="AZ12" i="52"/>
  <c r="CA18" i="52"/>
  <c r="BA17" i="52"/>
  <c r="BA13" i="52"/>
  <c r="BM17" i="52"/>
  <c r="BA12" i="52"/>
  <c r="BM13" i="52"/>
  <c r="BR13" i="52"/>
  <c r="AZ17" i="52"/>
  <c r="BM12" i="52"/>
  <c r="BN12" i="52"/>
  <c r="BN13" i="52"/>
  <c r="J28" i="47"/>
  <c r="J28" i="45"/>
  <c r="J28" i="46"/>
  <c r="J28" i="44"/>
  <c r="D94" i="62"/>
  <c r="D98" i="62"/>
  <c r="F27" i="62"/>
  <c r="L27" i="62"/>
  <c r="I27" i="62"/>
  <c r="D248" i="16"/>
  <c r="K246" i="16"/>
  <c r="AF238" i="16"/>
  <c r="D20" i="64"/>
  <c r="E70" i="64"/>
  <c r="D91" i="62"/>
  <c r="D89" i="62"/>
  <c r="D89" i="63"/>
  <c r="D90" i="63"/>
  <c r="D91" i="63"/>
  <c r="D20" i="62"/>
  <c r="AL92" i="61"/>
  <c r="AL107" i="61"/>
  <c r="AL108" i="61"/>
  <c r="AL106" i="61"/>
  <c r="AL105" i="61"/>
  <c r="HS34" i="52"/>
  <c r="HS33" i="52"/>
  <c r="D100" i="47"/>
  <c r="HS35" i="52"/>
  <c r="HW34" i="52"/>
  <c r="HW32" i="52"/>
  <c r="HW35" i="52"/>
  <c r="HW19" i="52"/>
  <c r="HS32" i="52"/>
  <c r="HW33" i="52"/>
  <c r="HS19" i="52"/>
  <c r="FO35" i="52"/>
  <c r="FK19" i="52"/>
  <c r="HC32" i="52"/>
  <c r="FK32" i="52"/>
  <c r="FO34" i="52"/>
  <c r="FO19" i="52"/>
  <c r="D492" i="16"/>
  <c r="GY19" i="52"/>
  <c r="HC19" i="52"/>
  <c r="GY32" i="52"/>
  <c r="FK33" i="52"/>
  <c r="FK35" i="52"/>
  <c r="FO33" i="52"/>
  <c r="FK34" i="52"/>
  <c r="FO32" i="52"/>
  <c r="GY35" i="52"/>
  <c r="HC34" i="52"/>
  <c r="HC33" i="52"/>
  <c r="HC35" i="52"/>
  <c r="GY34" i="52"/>
  <c r="GY33" i="52"/>
  <c r="D544" i="16"/>
  <c r="D98" i="47"/>
  <c r="D98" i="46"/>
  <c r="D100" i="46"/>
  <c r="I28" i="46"/>
  <c r="D98" i="49"/>
  <c r="D466" i="16"/>
  <c r="D20" i="55"/>
  <c r="D439" i="16"/>
  <c r="D20" i="54"/>
  <c r="D99" i="49"/>
  <c r="D102" i="45"/>
  <c r="D106" i="45"/>
  <c r="F26" i="45"/>
  <c r="D20" i="49"/>
  <c r="D518" i="16"/>
  <c r="D20" i="47"/>
  <c r="BU13" i="52"/>
  <c r="D85" i="50"/>
  <c r="D88" i="50"/>
  <c r="D79" i="50"/>
  <c r="D78" i="50"/>
  <c r="D77" i="50"/>
  <c r="D97" i="48"/>
  <c r="D46" i="48"/>
  <c r="D98" i="48"/>
  <c r="D38" i="49"/>
  <c r="D101" i="49"/>
  <c r="D44" i="48"/>
  <c r="D87" i="46"/>
  <c r="E46" i="46"/>
  <c r="D104" i="45"/>
  <c r="D28" i="45"/>
  <c r="D103" i="47"/>
  <c r="D27" i="47"/>
  <c r="D46" i="46"/>
  <c r="D46" i="44"/>
  <c r="D44" i="44"/>
  <c r="D39" i="49"/>
  <c r="E44" i="48"/>
  <c r="D87" i="45"/>
  <c r="E38" i="45"/>
  <c r="D86" i="49"/>
  <c r="E40" i="49"/>
  <c r="D45" i="46"/>
  <c r="D45" i="48"/>
  <c r="D45" i="44"/>
  <c r="D38" i="45"/>
  <c r="D40" i="45"/>
  <c r="D74" i="38"/>
  <c r="D34" i="38"/>
  <c r="D73" i="38"/>
  <c r="D33" i="38"/>
  <c r="D72" i="38"/>
  <c r="D32" i="38"/>
  <c r="E46" i="44"/>
  <c r="E44" i="44"/>
  <c r="E45" i="44"/>
  <c r="D40" i="47"/>
  <c r="D38" i="47"/>
  <c r="D39" i="47"/>
  <c r="D87" i="47"/>
  <c r="D98" i="50"/>
  <c r="I26" i="50"/>
  <c r="D99" i="50"/>
  <c r="I27" i="50"/>
  <c r="K267" i="16"/>
  <c r="K270" i="16"/>
  <c r="K260" i="16"/>
  <c r="K290" i="16"/>
  <c r="K293" i="16"/>
  <c r="K289" i="16"/>
  <c r="K292" i="16"/>
  <c r="K351" i="16"/>
  <c r="K350" i="16"/>
  <c r="K398" i="16"/>
  <c r="K401" i="16"/>
  <c r="K386" i="16"/>
  <c r="K399" i="16"/>
  <c r="K402" i="16"/>
  <c r="T386" i="16"/>
  <c r="K309" i="16"/>
  <c r="K308" i="16"/>
  <c r="AE260" i="16"/>
  <c r="T260" i="16"/>
  <c r="D20" i="50"/>
  <c r="D20" i="38"/>
  <c r="D20" i="48"/>
  <c r="D103" i="45"/>
  <c r="D107" i="45"/>
  <c r="F27" i="45"/>
  <c r="D103" i="46"/>
  <c r="D27" i="46"/>
  <c r="D104" i="44"/>
  <c r="D103" i="44"/>
  <c r="D102" i="44"/>
  <c r="D26" i="44"/>
  <c r="E80" i="41"/>
  <c r="D20" i="29"/>
  <c r="E70" i="29"/>
  <c r="E78" i="29"/>
  <c r="D353" i="16"/>
  <c r="K333" i="16"/>
  <c r="K334" i="16"/>
  <c r="D376" i="16"/>
  <c r="D20" i="32"/>
  <c r="E72" i="32"/>
  <c r="D207" i="16"/>
  <c r="D206" i="16"/>
  <c r="D205" i="16"/>
  <c r="D198" i="16"/>
  <c r="J197" i="16"/>
  <c r="D185" i="16"/>
  <c r="D184" i="16"/>
  <c r="D183" i="16"/>
  <c r="D176" i="16"/>
  <c r="J175" i="16"/>
  <c r="BR17" i="52"/>
  <c r="BN38" i="52"/>
  <c r="BE17" i="52"/>
  <c r="BS16" i="52"/>
  <c r="BA18" i="52"/>
  <c r="BE13" i="52"/>
  <c r="BQ20" i="52"/>
  <c r="BF16" i="52"/>
  <c r="BN18" i="52"/>
  <c r="AY12" i="52"/>
  <c r="BF12" i="52"/>
  <c r="BS12" i="52"/>
  <c r="BJ38" i="52"/>
  <c r="BD20" i="52"/>
  <c r="CD20" i="52"/>
  <c r="D27" i="62"/>
  <c r="J26" i="50"/>
  <c r="J27" i="50"/>
  <c r="J28" i="50"/>
  <c r="D94" i="63"/>
  <c r="D98" i="63"/>
  <c r="F27" i="63"/>
  <c r="L27" i="63"/>
  <c r="I27" i="63"/>
  <c r="D93" i="63"/>
  <c r="D26" i="63"/>
  <c r="I26" i="63"/>
  <c r="D102" i="46"/>
  <c r="D26" i="46"/>
  <c r="I26" i="46"/>
  <c r="D93" i="62"/>
  <c r="D97" i="62"/>
  <c r="F26" i="62"/>
  <c r="L26" i="62"/>
  <c r="I26" i="62"/>
  <c r="D102" i="49"/>
  <c r="D106" i="49"/>
  <c r="F27" i="49"/>
  <c r="I27" i="49"/>
  <c r="I27" i="48"/>
  <c r="I26" i="48"/>
  <c r="D103" i="49"/>
  <c r="D107" i="49"/>
  <c r="F28" i="49"/>
  <c r="L28" i="49"/>
  <c r="I28" i="49"/>
  <c r="D102" i="47"/>
  <c r="D26" i="47"/>
  <c r="I26" i="47"/>
  <c r="D104" i="47"/>
  <c r="D28" i="47"/>
  <c r="I28" i="47"/>
  <c r="D95" i="63"/>
  <c r="D99" i="63"/>
  <c r="F28" i="63"/>
  <c r="L28" i="63"/>
  <c r="I28" i="63"/>
  <c r="D95" i="62"/>
  <c r="D28" i="62"/>
  <c r="I28" i="62"/>
  <c r="K249" i="16"/>
  <c r="T238" i="16"/>
  <c r="K245" i="16"/>
  <c r="K248" i="16"/>
  <c r="K238" i="16"/>
  <c r="E76" i="64"/>
  <c r="D32" i="64"/>
  <c r="E78" i="64"/>
  <c r="D34" i="64"/>
  <c r="E77" i="64"/>
  <c r="D33" i="64"/>
  <c r="CG20" i="52"/>
  <c r="BT20" i="52"/>
  <c r="BG12" i="52"/>
  <c r="BG20" i="52"/>
  <c r="D26" i="45"/>
  <c r="D104" i="46"/>
  <c r="D28" i="46"/>
  <c r="E92" i="41"/>
  <c r="H26" i="41"/>
  <c r="E90" i="41"/>
  <c r="E26" i="41"/>
  <c r="E91" i="41"/>
  <c r="E27" i="41"/>
  <c r="E93" i="41"/>
  <c r="H27" i="41"/>
  <c r="D108" i="45"/>
  <c r="F28" i="45"/>
  <c r="D105" i="49"/>
  <c r="F26" i="49"/>
  <c r="D26" i="49"/>
  <c r="D104" i="50"/>
  <c r="BH20" i="52"/>
  <c r="BH16" i="52"/>
  <c r="CH20" i="52"/>
  <c r="BU16" i="52"/>
  <c r="BU17" i="52"/>
  <c r="BH12" i="52"/>
  <c r="BH17" i="52"/>
  <c r="BH13" i="52"/>
  <c r="BU12" i="52"/>
  <c r="BU20" i="52"/>
  <c r="D102" i="50"/>
  <c r="D103" i="50"/>
  <c r="E45" i="46"/>
  <c r="E44" i="46"/>
  <c r="K202" i="16"/>
  <c r="P201" i="16"/>
  <c r="E46" i="48"/>
  <c r="E40" i="45"/>
  <c r="D107" i="47"/>
  <c r="F27" i="47"/>
  <c r="E39" i="45"/>
  <c r="L27" i="45"/>
  <c r="E45" i="48"/>
  <c r="E39" i="49"/>
  <c r="E38" i="49"/>
  <c r="L26" i="45"/>
  <c r="E40" i="47"/>
  <c r="E38" i="47"/>
  <c r="E39" i="47"/>
  <c r="E32" i="38"/>
  <c r="L26" i="38"/>
  <c r="E33" i="38"/>
  <c r="L27" i="38"/>
  <c r="E34" i="38"/>
  <c r="L28" i="38"/>
  <c r="AE386" i="16"/>
  <c r="D187" i="16"/>
  <c r="D188" i="16"/>
  <c r="G200" i="16"/>
  <c r="D210" i="16"/>
  <c r="D209" i="16"/>
  <c r="D107" i="46"/>
  <c r="F27" i="46"/>
  <c r="R260" i="16"/>
  <c r="K183" i="16"/>
  <c r="K186" i="16"/>
  <c r="T175" i="16"/>
  <c r="K182" i="16"/>
  <c r="K185" i="16"/>
  <c r="K175" i="16"/>
  <c r="K377" i="16"/>
  <c r="K380" i="16"/>
  <c r="K366" i="16"/>
  <c r="K378" i="16"/>
  <c r="K381" i="16"/>
  <c r="K356" i="16"/>
  <c r="K359" i="16"/>
  <c r="K357" i="16"/>
  <c r="K360" i="16"/>
  <c r="K311" i="16"/>
  <c r="K301" i="16"/>
  <c r="R301" i="16"/>
  <c r="AE301" i="16"/>
  <c r="K312" i="16"/>
  <c r="T301" i="16"/>
  <c r="AF282" i="16"/>
  <c r="T282" i="16"/>
  <c r="S282" i="16"/>
  <c r="K282" i="16"/>
  <c r="G177" i="16"/>
  <c r="G176" i="16"/>
  <c r="G178" i="16"/>
  <c r="D27" i="45"/>
  <c r="R386" i="16"/>
  <c r="D106" i="44"/>
  <c r="F26" i="44"/>
  <c r="L26" i="44"/>
  <c r="D27" i="44"/>
  <c r="D107" i="44"/>
  <c r="F27" i="44"/>
  <c r="L27" i="44"/>
  <c r="D28" i="44"/>
  <c r="D108" i="44"/>
  <c r="F28" i="44"/>
  <c r="L28" i="44"/>
  <c r="E76" i="29"/>
  <c r="D32" i="29"/>
  <c r="E77" i="29"/>
  <c r="D33" i="29"/>
  <c r="E77" i="32"/>
  <c r="E78" i="32"/>
  <c r="D34" i="29"/>
  <c r="G175" i="16"/>
  <c r="H175" i="16"/>
  <c r="H178" i="16"/>
  <c r="H177" i="16"/>
  <c r="H176" i="16"/>
  <c r="D26" i="41"/>
  <c r="D27" i="41"/>
  <c r="G198" i="16"/>
  <c r="H199" i="16"/>
  <c r="D201" i="16"/>
  <c r="H200" i="16"/>
  <c r="H198" i="16"/>
  <c r="D200" i="16"/>
  <c r="D202" i="16"/>
  <c r="D203" i="16"/>
  <c r="H197" i="16"/>
  <c r="G199" i="16"/>
  <c r="G197" i="16"/>
  <c r="D199" i="16"/>
  <c r="D179" i="16"/>
  <c r="D178" i="16"/>
  <c r="D180" i="16"/>
  <c r="D181" i="16"/>
  <c r="D177" i="16"/>
  <c r="D163" i="16"/>
  <c r="D162" i="16"/>
  <c r="D161" i="16"/>
  <c r="D154" i="16"/>
  <c r="J153" i="16"/>
  <c r="L28" i="34"/>
  <c r="BZ18" i="52"/>
  <c r="AW12" i="52"/>
  <c r="BC19" i="52"/>
  <c r="BY38" i="52"/>
  <c r="BD40" i="52"/>
  <c r="BD29" i="52"/>
  <c r="BO19" i="52"/>
  <c r="AY19" i="52"/>
  <c r="AZ18" i="52"/>
  <c r="AY17" i="52"/>
  <c r="BN39" i="52"/>
  <c r="BL19" i="52"/>
  <c r="BP19" i="52"/>
  <c r="BA38" i="52"/>
  <c r="CD29" i="52"/>
  <c r="AW20" i="52"/>
  <c r="BL38" i="52"/>
  <c r="BA16" i="52"/>
  <c r="BJ39" i="52"/>
  <c r="AY39" i="52"/>
  <c r="BJ13" i="52"/>
  <c r="CA39" i="52"/>
  <c r="CA38" i="52"/>
  <c r="AW13" i="52"/>
  <c r="BW20" i="52"/>
  <c r="BJ20" i="52"/>
  <c r="AW38" i="52"/>
  <c r="BJ12" i="52"/>
  <c r="BN16" i="52"/>
  <c r="BL13" i="52"/>
  <c r="BB19" i="52"/>
  <c r="BL12" i="52"/>
  <c r="BM18" i="52"/>
  <c r="CD40" i="52"/>
  <c r="BQ29" i="52"/>
  <c r="BA39" i="52"/>
  <c r="BQ40" i="52"/>
  <c r="AY13" i="52"/>
  <c r="BN17" i="52"/>
  <c r="BW39" i="52"/>
  <c r="L197" i="16"/>
  <c r="Y197" i="16"/>
  <c r="Z197" i="16"/>
  <c r="M197" i="16"/>
  <c r="D108" i="47"/>
  <c r="F28" i="47"/>
  <c r="L28" i="47"/>
  <c r="D28" i="49"/>
  <c r="BV38" i="52"/>
  <c r="BT38" i="52"/>
  <c r="D97" i="63"/>
  <c r="F26" i="63"/>
  <c r="L26" i="63"/>
  <c r="D27" i="49"/>
  <c r="D27" i="63"/>
  <c r="D28" i="63"/>
  <c r="D106" i="47"/>
  <c r="F26" i="47"/>
  <c r="L26" i="47"/>
  <c r="D106" i="46"/>
  <c r="F26" i="46"/>
  <c r="L26" i="46"/>
  <c r="D26" i="62"/>
  <c r="CI38" i="52"/>
  <c r="CG38" i="52"/>
  <c r="IK38" i="52"/>
  <c r="U53" i="60"/>
  <c r="D99" i="62"/>
  <c r="F28" i="62"/>
  <c r="L28" i="62"/>
  <c r="S238" i="16"/>
  <c r="BU40" i="52"/>
  <c r="BV40" i="52"/>
  <c r="BT40" i="52"/>
  <c r="CH40" i="52"/>
  <c r="CI40" i="52"/>
  <c r="CG40" i="52"/>
  <c r="BH40" i="52"/>
  <c r="BI40" i="52"/>
  <c r="BG40" i="52"/>
  <c r="E33" i="64"/>
  <c r="L27" i="64"/>
  <c r="E34" i="64"/>
  <c r="L28" i="64"/>
  <c r="E32" i="64"/>
  <c r="L26" i="64"/>
  <c r="BI39" i="52"/>
  <c r="BG39" i="52"/>
  <c r="IK13" i="52"/>
  <c r="IK12" i="52"/>
  <c r="IK20" i="52"/>
  <c r="U21" i="60"/>
  <c r="CG29" i="52"/>
  <c r="BT13" i="52"/>
  <c r="BT29" i="52"/>
  <c r="BT12" i="52"/>
  <c r="BT19" i="52"/>
  <c r="BG19" i="52"/>
  <c r="BG13" i="52"/>
  <c r="BG29" i="52"/>
  <c r="BG17" i="52"/>
  <c r="D108" i="46"/>
  <c r="F28" i="46"/>
  <c r="L28" i="46"/>
  <c r="W197" i="16"/>
  <c r="L28" i="45"/>
  <c r="W175" i="16"/>
  <c r="D106" i="50"/>
  <c r="F26" i="50"/>
  <c r="L26" i="50"/>
  <c r="D26" i="50"/>
  <c r="D107" i="50"/>
  <c r="F27" i="50"/>
  <c r="D27" i="50"/>
  <c r="D108" i="50"/>
  <c r="F28" i="50"/>
  <c r="L28" i="50"/>
  <c r="D28" i="50"/>
  <c r="K518" i="16"/>
  <c r="K508" i="16"/>
  <c r="K519" i="16"/>
  <c r="T508" i="16"/>
  <c r="BH29" i="52"/>
  <c r="BU29" i="52"/>
  <c r="CH29" i="52"/>
  <c r="P203" i="16"/>
  <c r="K197" i="16"/>
  <c r="T197" i="16"/>
  <c r="K161" i="16"/>
  <c r="K164" i="16"/>
  <c r="T153" i="16"/>
  <c r="K160" i="16"/>
  <c r="AF366" i="16"/>
  <c r="L27" i="47"/>
  <c r="E32" i="29"/>
  <c r="L26" i="29"/>
  <c r="F26" i="41"/>
  <c r="L26" i="41"/>
  <c r="E34" i="29"/>
  <c r="L28" i="29"/>
  <c r="E33" i="29"/>
  <c r="L27" i="29"/>
  <c r="S366" i="16"/>
  <c r="D166" i="16"/>
  <c r="D165" i="16"/>
  <c r="L27" i="49"/>
  <c r="L26" i="49"/>
  <c r="L27" i="46"/>
  <c r="T366" i="16"/>
  <c r="K328" i="16"/>
  <c r="K327" i="16"/>
  <c r="D157" i="16"/>
  <c r="H156" i="16"/>
  <c r="H155" i="16"/>
  <c r="H154" i="16"/>
  <c r="R175" i="16"/>
  <c r="AE175" i="16"/>
  <c r="E81" i="32"/>
  <c r="E33" i="32"/>
  <c r="L27" i="32"/>
  <c r="D33" i="32"/>
  <c r="E80" i="32"/>
  <c r="E32" i="32"/>
  <c r="L26" i="32"/>
  <c r="D32" i="32"/>
  <c r="F27" i="41"/>
  <c r="L27" i="41"/>
  <c r="G153" i="16"/>
  <c r="D156" i="16"/>
  <c r="H153" i="16"/>
  <c r="D155" i="16"/>
  <c r="G156" i="16"/>
  <c r="D158" i="16"/>
  <c r="D159" i="16"/>
  <c r="G155" i="16"/>
  <c r="G154" i="16"/>
  <c r="BY39" i="52"/>
  <c r="AW40" i="52"/>
  <c r="BW38" i="52"/>
  <c r="AW18" i="52"/>
  <c r="BJ29" i="52"/>
  <c r="AW32" i="52"/>
  <c r="BW40" i="52"/>
  <c r="BD32" i="52"/>
  <c r="BY18" i="52"/>
  <c r="AW19" i="52"/>
  <c r="AW29" i="52"/>
  <c r="BL17" i="52"/>
  <c r="AW17" i="52"/>
  <c r="AY38" i="52"/>
  <c r="BW29" i="52"/>
  <c r="AW39" i="52"/>
  <c r="BL18" i="52"/>
  <c r="BJ17" i="52"/>
  <c r="BL39" i="52"/>
  <c r="BW18" i="52"/>
  <c r="AY18" i="52"/>
  <c r="BJ19" i="52"/>
  <c r="BJ40" i="52"/>
  <c r="BQ32" i="52"/>
  <c r="BJ32" i="52"/>
  <c r="DW39" i="52"/>
  <c r="AD112" i="61"/>
  <c r="IK39" i="52"/>
  <c r="U55" i="60"/>
  <c r="BT17" i="52"/>
  <c r="BV39" i="52"/>
  <c r="BT39" i="52"/>
  <c r="BI38" i="52"/>
  <c r="BG38" i="52"/>
  <c r="CI39" i="52"/>
  <c r="CG39" i="52"/>
  <c r="DW38" i="52"/>
  <c r="AD111" i="61"/>
  <c r="IK40" i="52"/>
  <c r="U57" i="60"/>
  <c r="DW40" i="52"/>
  <c r="AD113" i="61"/>
  <c r="IK19" i="52"/>
  <c r="U19" i="60"/>
  <c r="IK29" i="52"/>
  <c r="U39" i="60"/>
  <c r="IK17" i="52"/>
  <c r="IK32" i="52"/>
  <c r="U45" i="60"/>
  <c r="CG18" i="52"/>
  <c r="BT18" i="52"/>
  <c r="BT32" i="52"/>
  <c r="BG18" i="52"/>
  <c r="BG32" i="52"/>
  <c r="W153" i="16"/>
  <c r="K163" i="16"/>
  <c r="K153" i="16"/>
  <c r="S153" i="16"/>
  <c r="K493" i="16"/>
  <c r="T482" i="16"/>
  <c r="K492" i="16"/>
  <c r="K482" i="16"/>
  <c r="BH32" i="52"/>
  <c r="BU32" i="52"/>
  <c r="L27" i="50"/>
  <c r="AE343" i="16"/>
  <c r="T343" i="16"/>
  <c r="R343" i="16"/>
  <c r="K343" i="16"/>
  <c r="K336" i="16"/>
  <c r="K320" i="16"/>
  <c r="S320" i="16"/>
  <c r="AF153" i="16"/>
  <c r="K337" i="16"/>
  <c r="T320" i="16"/>
  <c r="AF320" i="16"/>
  <c r="F21" i="16"/>
  <c r="E21" i="16"/>
  <c r="J219" i="16"/>
  <c r="J20" i="16"/>
  <c r="D228" i="16"/>
  <c r="D227" i="16"/>
  <c r="D220" i="16"/>
  <c r="D229" i="16"/>
  <c r="M28" i="34"/>
  <c r="M27" i="34"/>
  <c r="M26" i="34"/>
  <c r="E15" i="35"/>
  <c r="D14" i="35"/>
  <c r="D18" i="35"/>
  <c r="BJ18" i="52"/>
  <c r="AX34" i="52"/>
  <c r="BK34" i="52"/>
  <c r="IK18" i="52"/>
  <c r="D231" i="16"/>
  <c r="D232" i="16"/>
  <c r="K227" i="16"/>
  <c r="K226" i="16"/>
  <c r="H220" i="16"/>
  <c r="H222" i="16"/>
  <c r="D15" i="35"/>
  <c r="D16" i="35"/>
  <c r="D17" i="35"/>
  <c r="E16" i="35"/>
  <c r="D223" i="16"/>
  <c r="H221" i="16"/>
  <c r="G221" i="16"/>
  <c r="D224" i="16"/>
  <c r="D225" i="16"/>
  <c r="D221" i="16"/>
  <c r="G219" i="16"/>
  <c r="H219" i="16"/>
  <c r="D19" i="35"/>
  <c r="G222" i="16"/>
  <c r="D222" i="16"/>
  <c r="G220" i="16"/>
  <c r="E14" i="35"/>
  <c r="X219" i="16"/>
  <c r="W219" i="16"/>
  <c r="S219" i="16"/>
  <c r="K229" i="16"/>
  <c r="K219" i="16"/>
  <c r="K230" i="16"/>
  <c r="T219" i="16"/>
  <c r="AF219" i="16"/>
  <c r="L407" i="16"/>
  <c r="P414" i="16"/>
  <c r="P413" i="16"/>
  <c r="D417" i="16"/>
  <c r="D20" i="35"/>
  <c r="E72" i="35"/>
  <c r="J407" i="16"/>
  <c r="D416" i="16"/>
  <c r="D415" i="16"/>
  <c r="D408" i="16"/>
  <c r="D420" i="16"/>
  <c r="D419" i="16"/>
  <c r="D409" i="16"/>
  <c r="H409" i="16"/>
  <c r="K419" i="16"/>
  <c r="K422" i="16"/>
  <c r="K420" i="16"/>
  <c r="K423" i="16"/>
  <c r="E78" i="35"/>
  <c r="E81" i="35"/>
  <c r="E77" i="35"/>
  <c r="E80" i="35"/>
  <c r="H410" i="16"/>
  <c r="G409" i="16"/>
  <c r="G407" i="16"/>
  <c r="H407" i="16"/>
  <c r="D410" i="16"/>
  <c r="G408" i="16"/>
  <c r="H408" i="16"/>
  <c r="D411" i="16"/>
  <c r="D412" i="16"/>
  <c r="D413" i="16"/>
  <c r="G410" i="16"/>
  <c r="X407" i="16"/>
  <c r="W407" i="16"/>
  <c r="E33" i="35"/>
  <c r="L27" i="35"/>
  <c r="D33" i="35"/>
  <c r="E32" i="35"/>
  <c r="L26" i="35"/>
  <c r="D32" i="35"/>
  <c r="T407" i="16"/>
  <c r="AE407" i="16"/>
  <c r="K407" i="16"/>
  <c r="R407" i="16"/>
  <c r="AW35" i="52"/>
  <c r="BQ35" i="52"/>
  <c r="BD35" i="52"/>
  <c r="BJ35" i="52"/>
  <c r="IK35" i="52"/>
  <c r="U51" i="60"/>
  <c r="BT35" i="52"/>
  <c r="BG35" i="52"/>
  <c r="BU35" i="52"/>
  <c r="BH35" i="52"/>
  <c r="M26" i="35"/>
  <c r="F51" i="35"/>
  <c r="AX35" i="52"/>
  <c r="M28" i="35"/>
  <c r="M27" i="35"/>
  <c r="D52" i="35"/>
  <c r="D16" i="34"/>
  <c r="D17" i="34"/>
  <c r="D18" i="34"/>
  <c r="F53" i="33"/>
  <c r="D16" i="33"/>
  <c r="D17" i="33"/>
  <c r="D18" i="33"/>
  <c r="F53" i="32"/>
  <c r="D16" i="32"/>
  <c r="D17" i="32"/>
  <c r="F53" i="31"/>
  <c r="D16" i="31"/>
  <c r="D17" i="31"/>
  <c r="D18" i="31"/>
  <c r="D16" i="30"/>
  <c r="D17" i="30"/>
  <c r="D18" i="30"/>
  <c r="F53" i="29"/>
  <c r="D16" i="29"/>
  <c r="D17" i="29"/>
  <c r="D16" i="28"/>
  <c r="D17" i="28"/>
  <c r="H53" i="27"/>
  <c r="D16" i="27"/>
  <c r="D17" i="27"/>
  <c r="D19" i="27"/>
  <c r="D16" i="26"/>
  <c r="D17" i="26"/>
  <c r="M28" i="25"/>
  <c r="M27" i="25"/>
  <c r="M26" i="25"/>
  <c r="H53" i="25"/>
  <c r="D16" i="25"/>
  <c r="D17" i="25"/>
  <c r="D19" i="25"/>
  <c r="M28" i="24"/>
  <c r="M27" i="24"/>
  <c r="M26" i="24"/>
  <c r="H53" i="24"/>
  <c r="D15" i="24"/>
  <c r="D20" i="24"/>
  <c r="H53" i="23"/>
  <c r="D14" i="23"/>
  <c r="D20" i="23"/>
  <c r="E70" i="23"/>
  <c r="H53" i="22"/>
  <c r="D16" i="22"/>
  <c r="D17" i="22"/>
  <c r="D19" i="22"/>
  <c r="F51" i="21"/>
  <c r="D19" i="21"/>
  <c r="AX25" i="52"/>
  <c r="BX24" i="52"/>
  <c r="AX24" i="52"/>
  <c r="BK25" i="52"/>
  <c r="BX25" i="52"/>
  <c r="BK24" i="52"/>
  <c r="BK35" i="52"/>
  <c r="P36" i="66"/>
  <c r="P38" i="66"/>
  <c r="H53" i="26"/>
  <c r="F51" i="26"/>
  <c r="F53" i="26"/>
  <c r="F52" i="26"/>
  <c r="F52" i="28"/>
  <c r="F51" i="28"/>
  <c r="F53" i="28"/>
  <c r="D18" i="21"/>
  <c r="D66" i="21"/>
  <c r="E14" i="26"/>
  <c r="E16" i="26"/>
  <c r="E17" i="26"/>
  <c r="D51" i="26"/>
  <c r="E14" i="22"/>
  <c r="J52" i="22"/>
  <c r="J52" i="26"/>
  <c r="F51" i="22"/>
  <c r="J52" i="24"/>
  <c r="D53" i="22"/>
  <c r="E16" i="23"/>
  <c r="E17" i="23"/>
  <c r="J51" i="23"/>
  <c r="D53" i="24"/>
  <c r="E16" i="25"/>
  <c r="E17" i="25"/>
  <c r="F51" i="25"/>
  <c r="D53" i="26"/>
  <c r="F52" i="27"/>
  <c r="D52" i="31"/>
  <c r="F52" i="32"/>
  <c r="J52" i="23"/>
  <c r="F51" i="24"/>
  <c r="F52" i="25"/>
  <c r="J51" i="26"/>
  <c r="J53" i="26"/>
  <c r="E14" i="27"/>
  <c r="D51" i="27"/>
  <c r="J52" i="27"/>
  <c r="E14" i="31"/>
  <c r="F52" i="31"/>
  <c r="D20" i="21"/>
  <c r="J51" i="22"/>
  <c r="D53" i="23"/>
  <c r="E16" i="24"/>
  <c r="E17" i="24"/>
  <c r="J51" i="24"/>
  <c r="J52" i="25"/>
  <c r="E16" i="27"/>
  <c r="E17" i="27"/>
  <c r="F51" i="27"/>
  <c r="F53" i="27"/>
  <c r="F51" i="23"/>
  <c r="D51" i="25"/>
  <c r="J53" i="25"/>
  <c r="D52" i="27"/>
  <c r="J53" i="27"/>
  <c r="D15" i="21"/>
  <c r="D14" i="21"/>
  <c r="H53" i="30"/>
  <c r="D53" i="30"/>
  <c r="J51" i="30"/>
  <c r="J52" i="30"/>
  <c r="F51" i="30"/>
  <c r="E16" i="30"/>
  <c r="E17" i="30"/>
  <c r="D51" i="30"/>
  <c r="J53" i="30"/>
  <c r="H53" i="34"/>
  <c r="D53" i="34"/>
  <c r="J51" i="34"/>
  <c r="J52" i="34"/>
  <c r="F51" i="34"/>
  <c r="E16" i="34"/>
  <c r="E17" i="34"/>
  <c r="J53" i="34"/>
  <c r="F52" i="34"/>
  <c r="D51" i="34"/>
  <c r="E14" i="34"/>
  <c r="F53" i="34"/>
  <c r="H53" i="21"/>
  <c r="J53" i="21"/>
  <c r="F52" i="21"/>
  <c r="D51" i="21"/>
  <c r="E14" i="21"/>
  <c r="F53" i="21"/>
  <c r="D52" i="21"/>
  <c r="J51" i="21"/>
  <c r="D15" i="22"/>
  <c r="D14" i="22"/>
  <c r="D20" i="22"/>
  <c r="E70" i="22"/>
  <c r="H53" i="29"/>
  <c r="D53" i="29"/>
  <c r="J51" i="29"/>
  <c r="J52" i="29"/>
  <c r="F51" i="29"/>
  <c r="E16" i="29"/>
  <c r="E17" i="29"/>
  <c r="D51" i="29"/>
  <c r="J53" i="29"/>
  <c r="E14" i="30"/>
  <c r="D52" i="30"/>
  <c r="H53" i="33"/>
  <c r="D53" i="33"/>
  <c r="J51" i="33"/>
  <c r="J52" i="33"/>
  <c r="F51" i="33"/>
  <c r="E16" i="33"/>
  <c r="E17" i="33"/>
  <c r="D51" i="33"/>
  <c r="J53" i="33"/>
  <c r="D16" i="21"/>
  <c r="D17" i="21"/>
  <c r="J52" i="21"/>
  <c r="H53" i="28"/>
  <c r="D53" i="28"/>
  <c r="J51" i="28"/>
  <c r="J52" i="28"/>
  <c r="E16" i="28"/>
  <c r="E17" i="28"/>
  <c r="D51" i="28"/>
  <c r="J53" i="28"/>
  <c r="E14" i="29"/>
  <c r="D52" i="29"/>
  <c r="F52" i="30"/>
  <c r="H53" i="32"/>
  <c r="D53" i="32"/>
  <c r="J51" i="32"/>
  <c r="J52" i="32"/>
  <c r="F51" i="32"/>
  <c r="E16" i="32"/>
  <c r="E17" i="32"/>
  <c r="D51" i="32"/>
  <c r="J53" i="32"/>
  <c r="E14" i="33"/>
  <c r="D52" i="33"/>
  <c r="E16" i="21"/>
  <c r="E17" i="21"/>
  <c r="D53" i="21"/>
  <c r="E14" i="28"/>
  <c r="D52" i="28"/>
  <c r="F52" i="29"/>
  <c r="F53" i="30"/>
  <c r="H53" i="31"/>
  <c r="D53" i="31"/>
  <c r="J51" i="31"/>
  <c r="J52" i="31"/>
  <c r="F51" i="31"/>
  <c r="E16" i="31"/>
  <c r="E17" i="31"/>
  <c r="D51" i="31"/>
  <c r="J53" i="31"/>
  <c r="E14" i="32"/>
  <c r="D52" i="32"/>
  <c r="F52" i="33"/>
  <c r="D52" i="34"/>
  <c r="H53" i="35"/>
  <c r="J53" i="35"/>
  <c r="J51" i="35"/>
  <c r="J52" i="35"/>
  <c r="E17" i="35"/>
  <c r="F52" i="35"/>
  <c r="D51" i="35"/>
  <c r="E16" i="22"/>
  <c r="E17" i="22"/>
  <c r="D52" i="22"/>
  <c r="F53" i="22"/>
  <c r="D52" i="23"/>
  <c r="F53" i="23"/>
  <c r="D52" i="24"/>
  <c r="F53" i="24"/>
  <c r="J51" i="25"/>
  <c r="D53" i="25"/>
  <c r="D51" i="22"/>
  <c r="F52" i="22"/>
  <c r="J53" i="22"/>
  <c r="E14" i="23"/>
  <c r="D51" i="23"/>
  <c r="F52" i="23"/>
  <c r="J53" i="23"/>
  <c r="E14" i="24"/>
  <c r="D51" i="24"/>
  <c r="F52" i="24"/>
  <c r="J53" i="24"/>
  <c r="E14" i="25"/>
  <c r="D52" i="25"/>
  <c r="F53" i="25"/>
  <c r="D52" i="26"/>
  <c r="J51" i="27"/>
  <c r="D53" i="27"/>
  <c r="D16" i="24"/>
  <c r="D17" i="24"/>
  <c r="D18" i="26"/>
  <c r="E69" i="26"/>
  <c r="D20" i="26"/>
  <c r="E70" i="26"/>
  <c r="D15" i="23"/>
  <c r="D18" i="23"/>
  <c r="E69" i="23"/>
  <c r="D19" i="26"/>
  <c r="D18" i="27"/>
  <c r="E69" i="27"/>
  <c r="D20" i="27"/>
  <c r="E70" i="27"/>
  <c r="D18" i="22"/>
  <c r="E69" i="22"/>
  <c r="D16" i="23"/>
  <c r="D17" i="23"/>
  <c r="D19" i="23"/>
  <c r="D14" i="24"/>
  <c r="D18" i="24"/>
  <c r="E69" i="24"/>
  <c r="D18" i="28"/>
  <c r="D20" i="28"/>
  <c r="E70" i="28"/>
  <c r="D19" i="28"/>
  <c r="D19" i="24"/>
  <c r="D18" i="25"/>
  <c r="E69" i="25"/>
  <c r="D20" i="25"/>
  <c r="D19" i="30"/>
  <c r="D19" i="31"/>
  <c r="D19" i="33"/>
  <c r="D19" i="34"/>
  <c r="D53" i="35"/>
  <c r="D15" i="25"/>
  <c r="D15" i="28"/>
  <c r="D15" i="29"/>
  <c r="D15" i="30"/>
  <c r="D20" i="30"/>
  <c r="E71" i="30"/>
  <c r="D15" i="31"/>
  <c r="D20" i="31"/>
  <c r="E71" i="31"/>
  <c r="D15" i="32"/>
  <c r="D15" i="33"/>
  <c r="D20" i="33"/>
  <c r="E72" i="33"/>
  <c r="D15" i="34"/>
  <c r="D20" i="34"/>
  <c r="E72" i="34"/>
  <c r="F53" i="35"/>
  <c r="D15" i="26"/>
  <c r="D15" i="27"/>
  <c r="E15" i="21"/>
  <c r="H51" i="21"/>
  <c r="H52" i="21"/>
  <c r="E15" i="22"/>
  <c r="H51" i="22"/>
  <c r="H52" i="22"/>
  <c r="E15" i="23"/>
  <c r="H51" i="23"/>
  <c r="H52" i="23"/>
  <c r="E15" i="24"/>
  <c r="H51" i="24"/>
  <c r="H52" i="24"/>
  <c r="E15" i="25"/>
  <c r="H51" i="25"/>
  <c r="H52" i="25"/>
  <c r="E15" i="26"/>
  <c r="H51" i="26"/>
  <c r="H52" i="26"/>
  <c r="E15" i="27"/>
  <c r="H51" i="27"/>
  <c r="H52" i="27"/>
  <c r="E15" i="28"/>
  <c r="H51" i="28"/>
  <c r="H52" i="28"/>
  <c r="E15" i="29"/>
  <c r="H51" i="29"/>
  <c r="H52" i="29"/>
  <c r="E15" i="30"/>
  <c r="H51" i="30"/>
  <c r="H52" i="30"/>
  <c r="E15" i="31"/>
  <c r="H51" i="31"/>
  <c r="H52" i="31"/>
  <c r="E15" i="32"/>
  <c r="H51" i="32"/>
  <c r="H52" i="32"/>
  <c r="E15" i="33"/>
  <c r="H51" i="33"/>
  <c r="H52" i="33"/>
  <c r="E15" i="34"/>
  <c r="H51" i="34"/>
  <c r="H52" i="34"/>
  <c r="H51" i="35"/>
  <c r="H52" i="35"/>
  <c r="D14" i="25"/>
  <c r="D14" i="26"/>
  <c r="D14" i="27"/>
  <c r="D14" i="28"/>
  <c r="D14" i="29"/>
  <c r="D14" i="30"/>
  <c r="D14" i="31"/>
  <c r="D14" i="32"/>
  <c r="D14" i="33"/>
  <c r="D14" i="34"/>
  <c r="D115" i="19"/>
  <c r="D114" i="19"/>
  <c r="D98" i="19"/>
  <c r="D99" i="19"/>
  <c r="H53" i="19"/>
  <c r="D16" i="19"/>
  <c r="D17" i="19"/>
  <c r="D19" i="19"/>
  <c r="D80" i="19"/>
  <c r="D118" i="18"/>
  <c r="D124" i="18"/>
  <c r="D117" i="18"/>
  <c r="D123" i="18"/>
  <c r="H53" i="18"/>
  <c r="D15" i="18"/>
  <c r="D19" i="18"/>
  <c r="D80" i="18"/>
  <c r="P95" i="16"/>
  <c r="AB75" i="16"/>
  <c r="D85" i="16"/>
  <c r="D84" i="16"/>
  <c r="D83" i="16"/>
  <c r="D76" i="16"/>
  <c r="J75" i="16"/>
  <c r="D137" i="16"/>
  <c r="D136" i="16"/>
  <c r="D135" i="16"/>
  <c r="Y127" i="16"/>
  <c r="L127" i="16"/>
  <c r="D128" i="16"/>
  <c r="J127" i="16"/>
  <c r="D89" i="16"/>
  <c r="D90" i="16"/>
  <c r="D136" i="18"/>
  <c r="G27" i="18"/>
  <c r="M27" i="18"/>
  <c r="G26" i="18"/>
  <c r="M26" i="18"/>
  <c r="D121" i="19"/>
  <c r="H28" i="19"/>
  <c r="D134" i="19"/>
  <c r="G28" i="19"/>
  <c r="M28" i="19"/>
  <c r="D133" i="19"/>
  <c r="G27" i="19"/>
  <c r="M27" i="19"/>
  <c r="D132" i="19"/>
  <c r="G26" i="19"/>
  <c r="M26" i="19"/>
  <c r="D137" i="18"/>
  <c r="G28" i="18"/>
  <c r="M28" i="18"/>
  <c r="H28" i="18"/>
  <c r="E81" i="22"/>
  <c r="D32" i="22"/>
  <c r="E83" i="22"/>
  <c r="D34" i="22"/>
  <c r="E82" i="22"/>
  <c r="D33" i="22"/>
  <c r="E83" i="23"/>
  <c r="D34" i="23"/>
  <c r="E82" i="23"/>
  <c r="D33" i="23"/>
  <c r="E81" i="23"/>
  <c r="D32" i="23"/>
  <c r="P146" i="16"/>
  <c r="O127" i="16"/>
  <c r="P82" i="16"/>
  <c r="P94" i="16"/>
  <c r="O75" i="16"/>
  <c r="P135" i="16"/>
  <c r="P147" i="16"/>
  <c r="AB127" i="16"/>
  <c r="P83" i="16"/>
  <c r="D130" i="16"/>
  <c r="D139" i="16"/>
  <c r="D140" i="16"/>
  <c r="D80" i="16"/>
  <c r="D81" i="16"/>
  <c r="D87" i="16"/>
  <c r="D88" i="16"/>
  <c r="E76" i="27"/>
  <c r="D32" i="27"/>
  <c r="E77" i="27"/>
  <c r="D33" i="27"/>
  <c r="E78" i="27"/>
  <c r="D34" i="27"/>
  <c r="E77" i="26"/>
  <c r="D33" i="26"/>
  <c r="E78" i="26"/>
  <c r="D34" i="26"/>
  <c r="E76" i="26"/>
  <c r="D32" i="26"/>
  <c r="K135" i="16"/>
  <c r="K138" i="16"/>
  <c r="K134" i="16"/>
  <c r="K83" i="16"/>
  <c r="AE75" i="16"/>
  <c r="K82" i="16"/>
  <c r="E79" i="24"/>
  <c r="D34" i="24"/>
  <c r="E78" i="24"/>
  <c r="D33" i="24"/>
  <c r="E77" i="24"/>
  <c r="D32" i="24"/>
  <c r="H27" i="18"/>
  <c r="D120" i="19"/>
  <c r="H27" i="19"/>
  <c r="E79" i="25"/>
  <c r="D34" i="25"/>
  <c r="E78" i="25"/>
  <c r="D33" i="25"/>
  <c r="E77" i="25"/>
  <c r="D32" i="25"/>
  <c r="D74" i="21"/>
  <c r="D34" i="21"/>
  <c r="D73" i="21"/>
  <c r="D33" i="21"/>
  <c r="D72" i="21"/>
  <c r="D32" i="21"/>
  <c r="E79" i="30"/>
  <c r="D34" i="30"/>
  <c r="E78" i="30"/>
  <c r="D33" i="30"/>
  <c r="E77" i="30"/>
  <c r="D32" i="30"/>
  <c r="E77" i="34"/>
  <c r="E78" i="34"/>
  <c r="E79" i="31"/>
  <c r="D34" i="31"/>
  <c r="E78" i="31"/>
  <c r="D33" i="31"/>
  <c r="E77" i="31"/>
  <c r="D32" i="31"/>
  <c r="E78" i="33"/>
  <c r="E77" i="33"/>
  <c r="E69" i="28"/>
  <c r="E78" i="28"/>
  <c r="P134" i="16"/>
  <c r="D20" i="18"/>
  <c r="J51" i="18"/>
  <c r="J52" i="18"/>
  <c r="D132" i="16"/>
  <c r="D133" i="16"/>
  <c r="J53" i="19"/>
  <c r="D129" i="16"/>
  <c r="H75" i="16"/>
  <c r="D77" i="16"/>
  <c r="J53" i="18"/>
  <c r="D20" i="19"/>
  <c r="J51" i="19"/>
  <c r="H127" i="16"/>
  <c r="G130" i="16"/>
  <c r="G78" i="16"/>
  <c r="J52" i="19"/>
  <c r="D87" i="19"/>
  <c r="I27" i="19"/>
  <c r="D86" i="19"/>
  <c r="I26" i="19"/>
  <c r="D88" i="19"/>
  <c r="I28" i="19"/>
  <c r="D15" i="19"/>
  <c r="E15" i="19"/>
  <c r="D51" i="19"/>
  <c r="D52" i="19"/>
  <c r="D53" i="19"/>
  <c r="D108" i="19"/>
  <c r="E26" i="19"/>
  <c r="D14" i="19"/>
  <c r="D18" i="19"/>
  <c r="D66" i="19"/>
  <c r="F51" i="19"/>
  <c r="F52" i="19"/>
  <c r="F53" i="19"/>
  <c r="D109" i="19"/>
  <c r="E27" i="19"/>
  <c r="D119" i="19"/>
  <c r="H26" i="19"/>
  <c r="E14" i="19"/>
  <c r="E16" i="19"/>
  <c r="E17" i="19"/>
  <c r="H51" i="19"/>
  <c r="H52" i="19"/>
  <c r="D110" i="19"/>
  <c r="E28" i="19"/>
  <c r="D87" i="18"/>
  <c r="I27" i="18"/>
  <c r="D88" i="18"/>
  <c r="I28" i="18"/>
  <c r="D86" i="18"/>
  <c r="I26" i="18"/>
  <c r="E15" i="18"/>
  <c r="D51" i="18"/>
  <c r="D52" i="18"/>
  <c r="D53" i="18"/>
  <c r="E26" i="18"/>
  <c r="D14" i="18"/>
  <c r="D16" i="18"/>
  <c r="D17" i="18"/>
  <c r="D18" i="18"/>
  <c r="D66" i="18"/>
  <c r="F51" i="18"/>
  <c r="F52" i="18"/>
  <c r="F53" i="18"/>
  <c r="E27" i="18"/>
  <c r="H26" i="18"/>
  <c r="E14" i="18"/>
  <c r="E16" i="18"/>
  <c r="E17" i="18"/>
  <c r="H51" i="18"/>
  <c r="H52" i="18"/>
  <c r="E28" i="18"/>
  <c r="H78" i="16"/>
  <c r="G76" i="16"/>
  <c r="D79" i="16"/>
  <c r="G75" i="16"/>
  <c r="H76" i="16"/>
  <c r="D78" i="16"/>
  <c r="G128" i="16"/>
  <c r="H129" i="16"/>
  <c r="D131" i="16"/>
  <c r="G129" i="16"/>
  <c r="H130" i="16"/>
  <c r="G127" i="16"/>
  <c r="H128" i="16"/>
  <c r="D118" i="17"/>
  <c r="D124" i="17"/>
  <c r="D117" i="17"/>
  <c r="D123" i="17"/>
  <c r="F53" i="17"/>
  <c r="D16" i="17"/>
  <c r="D17" i="17"/>
  <c r="D18" i="17"/>
  <c r="D66" i="17"/>
  <c r="BQ23" i="52"/>
  <c r="CD30" i="52"/>
  <c r="CD23" i="52"/>
  <c r="CD21" i="52"/>
  <c r="BD30" i="52"/>
  <c r="CD27" i="52"/>
  <c r="BQ30" i="52"/>
  <c r="CD22" i="52"/>
  <c r="CD26" i="52"/>
  <c r="BC15" i="52"/>
  <c r="BD31" i="52"/>
  <c r="BQ31" i="52"/>
  <c r="BQ27" i="52"/>
  <c r="AX15" i="52"/>
  <c r="CC15" i="52"/>
  <c r="BA15" i="52"/>
  <c r="CD31" i="52"/>
  <c r="BQ26" i="52"/>
  <c r="BX15" i="52"/>
  <c r="CA15" i="52"/>
  <c r="BP15" i="52"/>
  <c r="BK15" i="52"/>
  <c r="BD22" i="52"/>
  <c r="BQ24" i="52"/>
  <c r="BQ22" i="52"/>
  <c r="BN15" i="52"/>
  <c r="BD23" i="52"/>
  <c r="BD21" i="52"/>
  <c r="BD27" i="52"/>
  <c r="BQ21" i="52"/>
  <c r="BQ25" i="52"/>
  <c r="BD24" i="52"/>
  <c r="CD25" i="52"/>
  <c r="BD25" i="52"/>
  <c r="BD26" i="52"/>
  <c r="CD24" i="52"/>
  <c r="P15" i="66"/>
  <c r="K85" i="16"/>
  <c r="K75" i="16"/>
  <c r="R75" i="16"/>
  <c r="CG22" i="52"/>
  <c r="CG23" i="52"/>
  <c r="CG30" i="52"/>
  <c r="CG27" i="52"/>
  <c r="CG31" i="52"/>
  <c r="CG25" i="52"/>
  <c r="CG21" i="52"/>
  <c r="CG26" i="52"/>
  <c r="CG24" i="52"/>
  <c r="BT25" i="52"/>
  <c r="BT23" i="52"/>
  <c r="BT21" i="52"/>
  <c r="BT24" i="52"/>
  <c r="BT22" i="52"/>
  <c r="BT31" i="52"/>
  <c r="BT30" i="52"/>
  <c r="BT26" i="52"/>
  <c r="BT27" i="52"/>
  <c r="BG21" i="52"/>
  <c r="BG27" i="52"/>
  <c r="BG22" i="52"/>
  <c r="BG31" i="52"/>
  <c r="BG23" i="52"/>
  <c r="BG24" i="52"/>
  <c r="BG25" i="52"/>
  <c r="BG30" i="52"/>
  <c r="BG26" i="52"/>
  <c r="G26" i="17"/>
  <c r="M26" i="17"/>
  <c r="G27" i="17"/>
  <c r="M27" i="17"/>
  <c r="G28" i="17"/>
  <c r="M28" i="17"/>
  <c r="H28" i="17"/>
  <c r="W127" i="16"/>
  <c r="T127" i="16"/>
  <c r="K137" i="16"/>
  <c r="K127" i="16"/>
  <c r="R127" i="16"/>
  <c r="X75" i="16"/>
  <c r="CH22" i="52"/>
  <c r="BH30" i="52"/>
  <c r="BU21" i="52"/>
  <c r="CH21" i="52"/>
  <c r="BU31" i="52"/>
  <c r="BH23" i="52"/>
  <c r="BU27" i="52"/>
  <c r="BH25" i="52"/>
  <c r="BH31" i="52"/>
  <c r="CH26" i="52"/>
  <c r="BH21" i="52"/>
  <c r="CH27" i="52"/>
  <c r="BH27" i="52"/>
  <c r="BU23" i="52"/>
  <c r="BU26" i="52"/>
  <c r="CH31" i="52"/>
  <c r="BH22" i="52"/>
  <c r="CH30" i="52"/>
  <c r="BH24" i="52"/>
  <c r="CH23" i="52"/>
  <c r="BH26" i="52"/>
  <c r="BU22" i="52"/>
  <c r="BU25" i="52"/>
  <c r="CH24" i="52"/>
  <c r="CH25" i="52"/>
  <c r="BU30" i="52"/>
  <c r="BU24" i="52"/>
  <c r="D78" i="19"/>
  <c r="J28" i="19"/>
  <c r="D76" i="19"/>
  <c r="D77" i="19"/>
  <c r="D77" i="18"/>
  <c r="D78" i="18"/>
  <c r="J28" i="18"/>
  <c r="D76" i="18"/>
  <c r="D78" i="17"/>
  <c r="D76" i="17"/>
  <c r="J26" i="17"/>
  <c r="D77" i="17"/>
  <c r="J27" i="17"/>
  <c r="E32" i="27"/>
  <c r="L26" i="27"/>
  <c r="E32" i="25"/>
  <c r="L26" i="25"/>
  <c r="E32" i="31"/>
  <c r="L26" i="31"/>
  <c r="E32" i="21"/>
  <c r="L26" i="21"/>
  <c r="E32" i="24"/>
  <c r="L26" i="24"/>
  <c r="E32" i="22"/>
  <c r="L26" i="22"/>
  <c r="E32" i="23"/>
  <c r="L26" i="23"/>
  <c r="E32" i="30"/>
  <c r="L26" i="30"/>
  <c r="E32" i="26"/>
  <c r="L26" i="26"/>
  <c r="AE127" i="16"/>
  <c r="K86" i="16"/>
  <c r="T75" i="16"/>
  <c r="E33" i="21"/>
  <c r="L27" i="21"/>
  <c r="E33" i="24"/>
  <c r="L27" i="24"/>
  <c r="E34" i="21"/>
  <c r="L28" i="21"/>
  <c r="E34" i="24"/>
  <c r="L28" i="24"/>
  <c r="E34" i="25"/>
  <c r="L28" i="25"/>
  <c r="E33" i="25"/>
  <c r="L27" i="25"/>
  <c r="W75" i="16"/>
  <c r="E33" i="23"/>
  <c r="L27" i="23"/>
  <c r="E34" i="23"/>
  <c r="L28" i="23"/>
  <c r="E34" i="26"/>
  <c r="L28" i="26"/>
  <c r="E33" i="26"/>
  <c r="L27" i="26"/>
  <c r="E34" i="27"/>
  <c r="L28" i="27"/>
  <c r="E33" i="27"/>
  <c r="L27" i="27"/>
  <c r="E34" i="22"/>
  <c r="L28" i="22"/>
  <c r="E33" i="22"/>
  <c r="L27" i="22"/>
  <c r="E77" i="28"/>
  <c r="D33" i="28"/>
  <c r="E76" i="28"/>
  <c r="D32" i="28"/>
  <c r="D34" i="28"/>
  <c r="E33" i="30"/>
  <c r="L27" i="30"/>
  <c r="E34" i="30"/>
  <c r="L28" i="30"/>
  <c r="E33" i="31"/>
  <c r="E34" i="31"/>
  <c r="L28" i="31"/>
  <c r="D33" i="33"/>
  <c r="E81" i="33"/>
  <c r="E33" i="33"/>
  <c r="L27" i="33"/>
  <c r="D32" i="33"/>
  <c r="E80" i="33"/>
  <c r="E32" i="33"/>
  <c r="L26" i="33"/>
  <c r="D33" i="34"/>
  <c r="E81" i="34"/>
  <c r="E33" i="34"/>
  <c r="L27" i="34"/>
  <c r="D32" i="34"/>
  <c r="E80" i="34"/>
  <c r="E32" i="34"/>
  <c r="L26" i="34"/>
  <c r="H53" i="17"/>
  <c r="E14" i="17"/>
  <c r="E16" i="17"/>
  <c r="E17" i="17"/>
  <c r="H51" i="17"/>
  <c r="H52" i="17"/>
  <c r="H26" i="17"/>
  <c r="E27" i="17"/>
  <c r="E28" i="17"/>
  <c r="E26" i="17"/>
  <c r="H27" i="17"/>
  <c r="D19" i="17"/>
  <c r="D80" i="17"/>
  <c r="D15" i="17"/>
  <c r="D20" i="17"/>
  <c r="J51" i="17"/>
  <c r="J52" i="17"/>
  <c r="J53" i="17"/>
  <c r="E15" i="17"/>
  <c r="D51" i="17"/>
  <c r="D52" i="17"/>
  <c r="D53" i="17"/>
  <c r="D14" i="17"/>
  <c r="F51" i="17"/>
  <c r="F52" i="17"/>
  <c r="E13" i="16"/>
  <c r="E17" i="16"/>
  <c r="D18" i="15"/>
  <c r="D66" i="15"/>
  <c r="BJ25" i="52"/>
  <c r="BW31" i="52"/>
  <c r="BZ15" i="52"/>
  <c r="AW34" i="52"/>
  <c r="BB15" i="52"/>
  <c r="BX14" i="52"/>
  <c r="BJ22" i="52"/>
  <c r="AW25" i="52"/>
  <c r="BQ33" i="52"/>
  <c r="CD28" i="52"/>
  <c r="AW31" i="52"/>
  <c r="AW26" i="52"/>
  <c r="BW25" i="52"/>
  <c r="AW30" i="52"/>
  <c r="BJ26" i="52"/>
  <c r="AW21" i="52"/>
  <c r="BO15" i="52"/>
  <c r="BK14" i="52"/>
  <c r="BD34" i="52"/>
  <c r="AW22" i="52"/>
  <c r="BW24" i="52"/>
  <c r="AW24" i="52"/>
  <c r="BW21" i="52"/>
  <c r="BJ23" i="52"/>
  <c r="BW23" i="52"/>
  <c r="AZ14" i="52"/>
  <c r="BD33" i="52"/>
  <c r="BW22" i="52"/>
  <c r="BJ21" i="52"/>
  <c r="BW27" i="52"/>
  <c r="CC14" i="52"/>
  <c r="BP14" i="52"/>
  <c r="BW26" i="52"/>
  <c r="AW27" i="52"/>
  <c r="CB15" i="52"/>
  <c r="BM14" i="52"/>
  <c r="BQ34" i="52"/>
  <c r="BD28" i="52"/>
  <c r="BJ30" i="52"/>
  <c r="BC14" i="52"/>
  <c r="BJ27" i="52"/>
  <c r="AW33" i="52"/>
  <c r="BJ24" i="52"/>
  <c r="AW23" i="52"/>
  <c r="AX14" i="52"/>
  <c r="BJ34" i="52"/>
  <c r="BQ28" i="52"/>
  <c r="BJ33" i="52"/>
  <c r="BW30" i="52"/>
  <c r="P13" i="66"/>
  <c r="D91" i="18"/>
  <c r="D27" i="18"/>
  <c r="J27" i="18"/>
  <c r="D91" i="19"/>
  <c r="D27" i="19"/>
  <c r="J27" i="19"/>
  <c r="J28" i="17"/>
  <c r="D90" i="18"/>
  <c r="D94" i="18"/>
  <c r="F26" i="18"/>
  <c r="L26" i="18"/>
  <c r="J26" i="18"/>
  <c r="D90" i="19"/>
  <c r="D26" i="19"/>
  <c r="J26" i="19"/>
  <c r="IK34" i="52"/>
  <c r="U49" i="60"/>
  <c r="IK24" i="52"/>
  <c r="U29" i="60"/>
  <c r="IK21" i="52"/>
  <c r="U23" i="60"/>
  <c r="IK30" i="52"/>
  <c r="U41" i="60"/>
  <c r="IK33" i="52"/>
  <c r="U47" i="60"/>
  <c r="IK22" i="52"/>
  <c r="U25" i="60"/>
  <c r="IK23" i="52"/>
  <c r="U27" i="60"/>
  <c r="IK25" i="52"/>
  <c r="U31" i="60"/>
  <c r="IK26" i="52"/>
  <c r="U33" i="60"/>
  <c r="IK27" i="52"/>
  <c r="U35" i="60"/>
  <c r="CG28" i="52"/>
  <c r="BT33" i="52"/>
  <c r="BT28" i="52"/>
  <c r="BT34" i="52"/>
  <c r="BG28" i="52"/>
  <c r="BG34" i="52"/>
  <c r="BG33" i="52"/>
  <c r="D92" i="18"/>
  <c r="D28" i="18"/>
  <c r="D92" i="19"/>
  <c r="D28" i="19"/>
  <c r="BH33" i="52"/>
  <c r="BU28" i="52"/>
  <c r="CH28" i="52"/>
  <c r="BH34" i="52"/>
  <c r="BH28" i="52"/>
  <c r="BU33" i="52"/>
  <c r="BU34" i="52"/>
  <c r="D76" i="15"/>
  <c r="J26" i="15"/>
  <c r="D77" i="15"/>
  <c r="J27" i="15"/>
  <c r="D78" i="15"/>
  <c r="E32" i="28"/>
  <c r="L26" i="28"/>
  <c r="E33" i="28"/>
  <c r="L27" i="28"/>
  <c r="E34" i="28"/>
  <c r="L28" i="28"/>
  <c r="L27" i="31"/>
  <c r="D86" i="17"/>
  <c r="D87" i="17"/>
  <c r="D88" i="17"/>
  <c r="I28" i="17"/>
  <c r="D19" i="15"/>
  <c r="D80" i="15"/>
  <c r="D20" i="15"/>
  <c r="D15" i="15"/>
  <c r="AW28" i="52"/>
  <c r="CB14" i="52"/>
  <c r="BW28" i="52"/>
  <c r="BO14" i="52"/>
  <c r="BZ14" i="52"/>
  <c r="AZ15" i="52"/>
  <c r="CA14" i="52"/>
  <c r="BB14" i="52"/>
  <c r="BJ31" i="52"/>
  <c r="AW15" i="52"/>
  <c r="BL15" i="52"/>
  <c r="BM15" i="52"/>
  <c r="BY15" i="52"/>
  <c r="BJ28" i="52"/>
  <c r="D94" i="19"/>
  <c r="F26" i="19"/>
  <c r="D95" i="19"/>
  <c r="F27" i="19"/>
  <c r="L27" i="19"/>
  <c r="D95" i="18"/>
  <c r="F27" i="18"/>
  <c r="L27" i="18"/>
  <c r="D26" i="18"/>
  <c r="D90" i="17"/>
  <c r="D94" i="17"/>
  <c r="F26" i="17"/>
  <c r="L26" i="17"/>
  <c r="I26" i="17"/>
  <c r="J28" i="15"/>
  <c r="D91" i="17"/>
  <c r="D95" i="17"/>
  <c r="F27" i="17"/>
  <c r="L27" i="17"/>
  <c r="I27" i="17"/>
  <c r="IK31" i="52"/>
  <c r="U43" i="60"/>
  <c r="IK28" i="52"/>
  <c r="U37" i="60"/>
  <c r="CG15" i="52"/>
  <c r="BT15" i="52"/>
  <c r="D96" i="18"/>
  <c r="F28" i="18"/>
  <c r="L28" i="18"/>
  <c r="D96" i="19"/>
  <c r="F28" i="19"/>
  <c r="L28" i="19"/>
  <c r="D92" i="17"/>
  <c r="D28" i="17"/>
  <c r="D26" i="17"/>
  <c r="L26" i="19"/>
  <c r="E16" i="15"/>
  <c r="E17" i="15"/>
  <c r="J53" i="15"/>
  <c r="J52" i="15"/>
  <c r="J51" i="15"/>
  <c r="D52" i="15"/>
  <c r="H53" i="15"/>
  <c r="H52" i="15"/>
  <c r="H51" i="15"/>
  <c r="D51" i="15"/>
  <c r="F53" i="15"/>
  <c r="F52" i="15"/>
  <c r="F51" i="15"/>
  <c r="D53" i="15"/>
  <c r="D16" i="15"/>
  <c r="D17" i="15"/>
  <c r="E14" i="15"/>
  <c r="D14" i="15"/>
  <c r="E15" i="15"/>
  <c r="D52" i="16"/>
  <c r="D51" i="16"/>
  <c r="D50" i="16"/>
  <c r="P62" i="16"/>
  <c r="O42" i="16"/>
  <c r="D43" i="16"/>
  <c r="J42" i="16"/>
  <c r="BW15" i="52"/>
  <c r="AY14" i="52"/>
  <c r="BJ14" i="52"/>
  <c r="AW14" i="52"/>
  <c r="BJ15" i="52"/>
  <c r="BA14" i="52"/>
  <c r="BY14" i="52"/>
  <c r="AY15" i="52"/>
  <c r="BN14" i="52"/>
  <c r="D56" i="16"/>
  <c r="D57" i="16"/>
  <c r="AA14" i="16"/>
  <c r="Z14" i="16"/>
  <c r="Z13" i="16"/>
  <c r="N13" i="16"/>
  <c r="M14" i="16"/>
  <c r="M13" i="16"/>
  <c r="N14" i="16"/>
  <c r="D27" i="17"/>
  <c r="IK15" i="52"/>
  <c r="U17" i="60"/>
  <c r="BG15" i="52"/>
  <c r="V13" i="16"/>
  <c r="IK14" i="52"/>
  <c r="U15" i="60"/>
  <c r="CG14" i="52"/>
  <c r="BG14" i="52"/>
  <c r="D96" i="17"/>
  <c r="F28" i="17"/>
  <c r="L28" i="17"/>
  <c r="AC14" i="16"/>
  <c r="P14" i="16"/>
  <c r="X14" i="16"/>
  <c r="V14" i="16"/>
  <c r="P51" i="16"/>
  <c r="P63" i="16"/>
  <c r="AB42" i="16"/>
  <c r="L14" i="16"/>
  <c r="U14" i="16"/>
  <c r="W14" i="16"/>
  <c r="D55" i="16"/>
  <c r="D54" i="16"/>
  <c r="K50" i="16"/>
  <c r="K49" i="16"/>
  <c r="AC13" i="16"/>
  <c r="P13" i="16"/>
  <c r="P50" i="16"/>
  <c r="G42" i="16"/>
  <c r="G43" i="16"/>
  <c r="D46" i="16"/>
  <c r="H42" i="16"/>
  <c r="H43" i="16"/>
  <c r="D47" i="16"/>
  <c r="D48" i="16"/>
  <c r="D45" i="16"/>
  <c r="H44" i="16"/>
  <c r="D44" i="16"/>
  <c r="G44" i="16"/>
  <c r="J101" i="16"/>
  <c r="W16" i="16"/>
  <c r="Y101" i="16"/>
  <c r="L101" i="16"/>
  <c r="BW14" i="52"/>
  <c r="BL14" i="52"/>
  <c r="W42" i="16"/>
  <c r="X42" i="16"/>
  <c r="K52" i="16"/>
  <c r="K42" i="16"/>
  <c r="S42" i="16"/>
  <c r="K53" i="16"/>
  <c r="T42" i="16"/>
  <c r="AF42" i="16"/>
  <c r="U13" i="16"/>
  <c r="AJ14" i="52"/>
  <c r="N34" i="16"/>
  <c r="X18" i="52"/>
  <c r="N16" i="16"/>
  <c r="X25" i="52"/>
  <c r="M19" i="16"/>
  <c r="N26" i="16"/>
  <c r="X29" i="52"/>
  <c r="N24" i="16"/>
  <c r="X27" i="52"/>
  <c r="M29" i="16"/>
  <c r="W35" i="52"/>
  <c r="M32" i="16"/>
  <c r="W16" i="52"/>
  <c r="M18" i="16"/>
  <c r="M30" i="16"/>
  <c r="W36" i="52"/>
  <c r="X14" i="52"/>
  <c r="X12" i="52"/>
  <c r="N29" i="16"/>
  <c r="X35" i="52"/>
  <c r="N21" i="16"/>
  <c r="Z34" i="16"/>
  <c r="AM18" i="52"/>
  <c r="AA16" i="16"/>
  <c r="AN25" i="52"/>
  <c r="AM12" i="52"/>
  <c r="AM14" i="52"/>
  <c r="Z21" i="16"/>
  <c r="AA33" i="16"/>
  <c r="AN17" i="52"/>
  <c r="AA19" i="16"/>
  <c r="Z20" i="16"/>
  <c r="Z29" i="16"/>
  <c r="AM35" i="52"/>
  <c r="Z17" i="16"/>
  <c r="AA25" i="16"/>
  <c r="AN28" i="52"/>
  <c r="M33" i="16"/>
  <c r="W17" i="52"/>
  <c r="M15" i="16"/>
  <c r="W24" i="52"/>
  <c r="N22" i="16"/>
  <c r="X23" i="52"/>
  <c r="M27" i="16"/>
  <c r="M25" i="16"/>
  <c r="W28" i="52"/>
  <c r="M28" i="16"/>
  <c r="W13" i="52"/>
  <c r="W15" i="52"/>
  <c r="M26" i="16"/>
  <c r="W29" i="52"/>
  <c r="N33" i="16"/>
  <c r="X17" i="52"/>
  <c r="N27" i="16"/>
  <c r="N19" i="16"/>
  <c r="Z32" i="16"/>
  <c r="AM16" i="52"/>
  <c r="Z28" i="16"/>
  <c r="AA28" i="16"/>
  <c r="Z27" i="16"/>
  <c r="Z18" i="16"/>
  <c r="AA31" i="16"/>
  <c r="AN37" i="52"/>
  <c r="AA15" i="16"/>
  <c r="AN24" i="52"/>
  <c r="AA32" i="16"/>
  <c r="AN16" i="52"/>
  <c r="Z24" i="16"/>
  <c r="AM27" i="52"/>
  <c r="Z15" i="16"/>
  <c r="AM24" i="52"/>
  <c r="AA21" i="16"/>
  <c r="AA13" i="16"/>
  <c r="N28" i="16"/>
  <c r="M31" i="16"/>
  <c r="W37" i="52"/>
  <c r="N32" i="16"/>
  <c r="X16" i="52"/>
  <c r="N18" i="16"/>
  <c r="W14" i="52"/>
  <c r="W12" i="52"/>
  <c r="M21" i="16"/>
  <c r="M22" i="16"/>
  <c r="W23" i="52"/>
  <c r="M34" i="16"/>
  <c r="W18" i="52"/>
  <c r="M24" i="16"/>
  <c r="W27" i="52"/>
  <c r="N25" i="16"/>
  <c r="X28" i="52"/>
  <c r="N17" i="16"/>
  <c r="AA22" i="16"/>
  <c r="AN23" i="52"/>
  <c r="Z26" i="16"/>
  <c r="AM29" i="52"/>
  <c r="AA24" i="16"/>
  <c r="AN27" i="52"/>
  <c r="AA30" i="16"/>
  <c r="AN36" i="52"/>
  <c r="Z30" i="16"/>
  <c r="AM36" i="52"/>
  <c r="Z16" i="16"/>
  <c r="AM25" i="52"/>
  <c r="AA27" i="16"/>
  <c r="AN15" i="52"/>
  <c r="AN13" i="52"/>
  <c r="AA18" i="16"/>
  <c r="Z22" i="16"/>
  <c r="AM23" i="52"/>
  <c r="AA17" i="16"/>
  <c r="N20" i="16"/>
  <c r="M23" i="16"/>
  <c r="W26" i="52"/>
  <c r="N30" i="16"/>
  <c r="X36" i="52"/>
  <c r="X15" i="52"/>
  <c r="X13" i="52"/>
  <c r="M17" i="16"/>
  <c r="M20" i="16"/>
  <c r="M16" i="16"/>
  <c r="W25" i="52"/>
  <c r="N31" i="16"/>
  <c r="X37" i="52"/>
  <c r="N23" i="16"/>
  <c r="X26" i="52"/>
  <c r="N15" i="16"/>
  <c r="X24" i="52"/>
  <c r="Z33" i="16"/>
  <c r="AM17" i="52"/>
  <c r="AA34" i="16"/>
  <c r="AN18" i="52"/>
  <c r="AA20" i="16"/>
  <c r="AA26" i="16"/>
  <c r="AN29" i="52"/>
  <c r="Z23" i="16"/>
  <c r="AM26" i="52"/>
  <c r="AM15" i="52"/>
  <c r="AM13" i="52"/>
  <c r="AA23" i="16"/>
  <c r="AN26" i="52"/>
  <c r="Z25" i="16"/>
  <c r="AM28" i="52"/>
  <c r="Z31" i="16"/>
  <c r="AM37" i="52"/>
  <c r="Z19" i="16"/>
  <c r="AA29" i="16"/>
  <c r="AN35" i="52"/>
  <c r="BT14" i="52"/>
  <c r="AJ12" i="52"/>
  <c r="DK12" i="52"/>
  <c r="T85" i="61"/>
  <c r="AJ13" i="52"/>
  <c r="DK13" i="52"/>
  <c r="T86" i="61"/>
  <c r="AJ15" i="52"/>
  <c r="AK12" i="52"/>
  <c r="AK14" i="52"/>
  <c r="AK13" i="52"/>
  <c r="AK15" i="52"/>
  <c r="AC31" i="16"/>
  <c r="P33" i="16"/>
  <c r="P34" i="16"/>
  <c r="P21" i="16"/>
  <c r="Z40" i="52"/>
  <c r="AC18" i="16"/>
  <c r="P16" i="16"/>
  <c r="AC17" i="16"/>
  <c r="P15" i="16"/>
  <c r="AC16" i="16"/>
  <c r="AC27" i="16"/>
  <c r="P31" i="16"/>
  <c r="P32" i="16"/>
  <c r="AC33" i="16"/>
  <c r="P17" i="16"/>
  <c r="P28" i="16"/>
  <c r="AC29" i="16"/>
  <c r="P27" i="16"/>
  <c r="AC28" i="16"/>
  <c r="P26" i="16"/>
  <c r="AC23" i="16"/>
  <c r="Z15" i="52"/>
  <c r="Z13" i="52"/>
  <c r="AC30" i="16"/>
  <c r="AC32" i="16"/>
  <c r="P29" i="16"/>
  <c r="AC26" i="16"/>
  <c r="P24" i="16"/>
  <c r="AC25" i="16"/>
  <c r="P23" i="16"/>
  <c r="AC24" i="16"/>
  <c r="P22" i="16"/>
  <c r="AC19" i="16"/>
  <c r="AP15" i="52"/>
  <c r="EO15" i="52"/>
  <c r="AP13" i="52"/>
  <c r="EO13" i="52"/>
  <c r="P30" i="16"/>
  <c r="AC34" i="16"/>
  <c r="P25" i="16"/>
  <c r="AC22" i="16"/>
  <c r="P20" i="16"/>
  <c r="AC21" i="16"/>
  <c r="AP40" i="52"/>
  <c r="EO40" i="52"/>
  <c r="P19" i="16"/>
  <c r="AC20" i="16"/>
  <c r="P18" i="16"/>
  <c r="AC15" i="16"/>
  <c r="AP12" i="52"/>
  <c r="EO12" i="52"/>
  <c r="AP14" i="52"/>
  <c r="EO14" i="52"/>
  <c r="Z12" i="52"/>
  <c r="Z14" i="52"/>
  <c r="W34" i="16"/>
  <c r="L34" i="16"/>
  <c r="R32" i="16"/>
  <c r="S32" i="16"/>
  <c r="O32" i="16"/>
  <c r="Y32" i="16"/>
  <c r="AE32" i="16"/>
  <c r="AB32" i="16"/>
  <c r="X32" i="16"/>
  <c r="Y34" i="16"/>
  <c r="W33" i="16"/>
  <c r="L32" i="16"/>
  <c r="L33" i="16"/>
  <c r="AF32" i="16"/>
  <c r="Q33" i="16"/>
  <c r="V34" i="16"/>
  <c r="S34" i="16"/>
  <c r="O34" i="16"/>
  <c r="AD33" i="16"/>
  <c r="Q32" i="16"/>
  <c r="T34" i="16"/>
  <c r="W32" i="16"/>
  <c r="R34" i="16"/>
  <c r="U34" i="16"/>
  <c r="S33" i="16"/>
  <c r="X33" i="16"/>
  <c r="Y33" i="16"/>
  <c r="R33" i="16"/>
  <c r="AB34" i="16"/>
  <c r="AD34" i="16"/>
  <c r="X34" i="16"/>
  <c r="U32" i="16"/>
  <c r="K34" i="16"/>
  <c r="O33" i="16"/>
  <c r="AB33" i="16"/>
  <c r="T33" i="16"/>
  <c r="U33" i="16"/>
  <c r="K33" i="16"/>
  <c r="AF34" i="16"/>
  <c r="K32" i="16"/>
  <c r="AE34" i="16"/>
  <c r="V32" i="16"/>
  <c r="AD32" i="16"/>
  <c r="T32" i="16"/>
  <c r="AE33" i="16"/>
  <c r="AF33" i="16"/>
  <c r="V33" i="16"/>
  <c r="Q34" i="16"/>
  <c r="P121" i="16"/>
  <c r="AB101" i="16"/>
  <c r="W13" i="16"/>
  <c r="S30" i="16"/>
  <c r="U30" i="16"/>
  <c r="R31" i="16"/>
  <c r="AB30" i="16"/>
  <c r="AD30" i="16"/>
  <c r="L31" i="16"/>
  <c r="X30" i="16"/>
  <c r="W31" i="16"/>
  <c r="AF30" i="16"/>
  <c r="V30" i="16"/>
  <c r="AE30" i="16"/>
  <c r="T31" i="16"/>
  <c r="AB31" i="16"/>
  <c r="X31" i="16"/>
  <c r="O30" i="16"/>
  <c r="O31" i="16"/>
  <c r="L30" i="16"/>
  <c r="AE31" i="16"/>
  <c r="Q30" i="16"/>
  <c r="Y31" i="16"/>
  <c r="R30" i="16"/>
  <c r="S31" i="16"/>
  <c r="Q31" i="16"/>
  <c r="AD31" i="16"/>
  <c r="Y30" i="16"/>
  <c r="U31" i="16"/>
  <c r="W30" i="16"/>
  <c r="AF31" i="16"/>
  <c r="K31" i="16"/>
  <c r="V31" i="16"/>
  <c r="X13" i="16"/>
  <c r="AI13" i="52"/>
  <c r="M12" i="66"/>
  <c r="AI15" i="52"/>
  <c r="X19" i="16"/>
  <c r="X25" i="16"/>
  <c r="X23" i="16"/>
  <c r="X28" i="16"/>
  <c r="X22" i="16"/>
  <c r="X21" i="16"/>
  <c r="AI40" i="52"/>
  <c r="X24" i="16"/>
  <c r="X17" i="16"/>
  <c r="X26" i="16"/>
  <c r="X20" i="16"/>
  <c r="X27" i="16"/>
  <c r="X29" i="16"/>
  <c r="X18" i="16"/>
  <c r="X16" i="16"/>
  <c r="V15" i="16"/>
  <c r="V25" i="16"/>
  <c r="V27" i="16"/>
  <c r="V28" i="16"/>
  <c r="V26" i="16"/>
  <c r="V21" i="16"/>
  <c r="AK40" i="52"/>
  <c r="V19" i="16"/>
  <c r="V24" i="16"/>
  <c r="V18" i="16"/>
  <c r="AK39" i="52"/>
  <c r="V17" i="16"/>
  <c r="V22" i="16"/>
  <c r="V20" i="16"/>
  <c r="V23" i="16"/>
  <c r="V29" i="16"/>
  <c r="V16" i="16"/>
  <c r="P120" i="16"/>
  <c r="O101" i="16"/>
  <c r="O15" i="16"/>
  <c r="U25" i="16"/>
  <c r="U20" i="16"/>
  <c r="T19" i="16"/>
  <c r="U19" i="16"/>
  <c r="U22" i="16"/>
  <c r="U27" i="16"/>
  <c r="AH15" i="52"/>
  <c r="M15" i="66"/>
  <c r="AH13" i="52"/>
  <c r="AH25" i="52"/>
  <c r="M38" i="66"/>
  <c r="W29" i="16"/>
  <c r="U15" i="16"/>
  <c r="U18" i="16"/>
  <c r="AJ39" i="52"/>
  <c r="U21" i="16"/>
  <c r="AJ40" i="52"/>
  <c r="U29" i="16"/>
  <c r="U16" i="16"/>
  <c r="W19" i="16"/>
  <c r="Q17" i="16"/>
  <c r="U17" i="16"/>
  <c r="U28" i="16"/>
  <c r="U26" i="16"/>
  <c r="U23" i="16"/>
  <c r="U24" i="16"/>
  <c r="W26" i="16"/>
  <c r="W24" i="16"/>
  <c r="W22" i="16"/>
  <c r="W21" i="16"/>
  <c r="AH40" i="52"/>
  <c r="M42" i="66"/>
  <c r="W27" i="16"/>
  <c r="W28" i="16"/>
  <c r="W18" i="16"/>
  <c r="AH39" i="52"/>
  <c r="M21" i="66"/>
  <c r="W25" i="16"/>
  <c r="W20" i="16"/>
  <c r="W17" i="16"/>
  <c r="W23" i="16"/>
  <c r="AE21" i="16"/>
  <c r="AR40" i="52"/>
  <c r="EQ40" i="52"/>
  <c r="V42" i="66"/>
  <c r="O23" i="16"/>
  <c r="Y21" i="16"/>
  <c r="AL40" i="52"/>
  <c r="EK40" i="52"/>
  <c r="AD22" i="16"/>
  <c r="AE23" i="16"/>
  <c r="K22" i="16"/>
  <c r="O21" i="16"/>
  <c r="Y40" i="52"/>
  <c r="R22" i="16"/>
  <c r="S23" i="16"/>
  <c r="L24" i="16"/>
  <c r="O24" i="16"/>
  <c r="K21" i="16"/>
  <c r="U40" i="52"/>
  <c r="T23" i="16"/>
  <c r="AF21" i="16"/>
  <c r="AS40" i="52"/>
  <c r="ER40" i="52"/>
  <c r="W42" i="66"/>
  <c r="K23" i="16"/>
  <c r="L21" i="16"/>
  <c r="V40" i="52"/>
  <c r="Q22" i="16"/>
  <c r="R23" i="16"/>
  <c r="T21" i="16"/>
  <c r="Y22" i="16"/>
  <c r="AB23" i="16"/>
  <c r="R24" i="16"/>
  <c r="S24" i="16"/>
  <c r="T24" i="16"/>
  <c r="Q21" i="16"/>
  <c r="AA40" i="52"/>
  <c r="O22" i="16"/>
  <c r="Q23" i="16"/>
  <c r="S21" i="16"/>
  <c r="AC40" i="52"/>
  <c r="Y23" i="16"/>
  <c r="AD21" i="16"/>
  <c r="AQ40" i="52"/>
  <c r="EP40" i="52"/>
  <c r="AF22" i="16"/>
  <c r="AB22" i="16"/>
  <c r="K24" i="16"/>
  <c r="Y24" i="16"/>
  <c r="AB24" i="16"/>
  <c r="AD24" i="16"/>
  <c r="L22" i="16"/>
  <c r="S22" i="16"/>
  <c r="R21" i="16"/>
  <c r="AB40" i="52"/>
  <c r="T22" i="16"/>
  <c r="AB21" i="16"/>
  <c r="AO40" i="52"/>
  <c r="EN40" i="52"/>
  <c r="AE22" i="16"/>
  <c r="AF23" i="16"/>
  <c r="L23" i="16"/>
  <c r="AD23" i="16"/>
  <c r="AE24" i="16"/>
  <c r="AF24" i="16"/>
  <c r="Q24" i="16"/>
  <c r="AD20" i="16"/>
  <c r="T20" i="16"/>
  <c r="L20" i="16"/>
  <c r="AB20" i="16"/>
  <c r="R20" i="16"/>
  <c r="AF20" i="16"/>
  <c r="Y20" i="16"/>
  <c r="Q20" i="16"/>
  <c r="AE20" i="16"/>
  <c r="O20" i="16"/>
  <c r="AE27" i="16"/>
  <c r="L27" i="16"/>
  <c r="AD27" i="16"/>
  <c r="R27" i="16"/>
  <c r="AB27" i="16"/>
  <c r="Q27" i="16"/>
  <c r="Y27" i="16"/>
  <c r="O27" i="16"/>
  <c r="T27" i="16"/>
  <c r="AF27" i="16"/>
  <c r="S27" i="16"/>
  <c r="K27" i="16"/>
  <c r="S20" i="16"/>
  <c r="K20" i="16"/>
  <c r="O28" i="16"/>
  <c r="AE28" i="16"/>
  <c r="Q28" i="16"/>
  <c r="T28" i="16"/>
  <c r="L28" i="16"/>
  <c r="AD28" i="16"/>
  <c r="S28" i="16"/>
  <c r="AB28" i="16"/>
  <c r="R28" i="16"/>
  <c r="K28" i="16"/>
  <c r="Y28" i="16"/>
  <c r="O14" i="16"/>
  <c r="AB29" i="16"/>
  <c r="S29" i="16"/>
  <c r="L29" i="16"/>
  <c r="AF29" i="16"/>
  <c r="Y29" i="16"/>
  <c r="AE29" i="16"/>
  <c r="Q29" i="16"/>
  <c r="T29" i="16"/>
  <c r="R29" i="16"/>
  <c r="K29" i="16"/>
  <c r="AD29" i="16"/>
  <c r="O29" i="16"/>
  <c r="AD26" i="16"/>
  <c r="O26" i="16"/>
  <c r="AD18" i="16"/>
  <c r="AQ39" i="52"/>
  <c r="EP39" i="52"/>
  <c r="R16" i="16"/>
  <c r="AD14" i="16"/>
  <c r="P109" i="16"/>
  <c r="Y15" i="16"/>
  <c r="AB26" i="16"/>
  <c r="AE25" i="16"/>
  <c r="AB19" i="16"/>
  <c r="T18" i="16"/>
  <c r="T14" i="16"/>
  <c r="K17" i="16"/>
  <c r="K19" i="16"/>
  <c r="AF28" i="16"/>
  <c r="T26" i="16"/>
  <c r="S19" i="16"/>
  <c r="O18" i="16"/>
  <c r="AE13" i="16"/>
  <c r="Q14" i="16"/>
  <c r="AE14" i="16"/>
  <c r="Q15" i="16"/>
  <c r="AB15" i="16"/>
  <c r="L16" i="16"/>
  <c r="AB16" i="16"/>
  <c r="R17" i="16"/>
  <c r="AB38" i="52"/>
  <c r="Y17" i="16"/>
  <c r="AF17" i="16"/>
  <c r="AS38" i="52"/>
  <c r="ER38" i="52"/>
  <c r="W19" i="66"/>
  <c r="Q18" i="16"/>
  <c r="AA39" i="52"/>
  <c r="AE18" i="16"/>
  <c r="O19" i="16"/>
  <c r="D87" i="50"/>
  <c r="AD19" i="16"/>
  <c r="R25" i="16"/>
  <c r="Y25" i="16"/>
  <c r="AF25" i="16"/>
  <c r="Q26" i="16"/>
  <c r="AE26" i="16"/>
  <c r="O13" i="16"/>
  <c r="R14" i="16"/>
  <c r="Y14" i="16"/>
  <c r="AF14" i="16"/>
  <c r="AD15" i="16"/>
  <c r="O16" i="16"/>
  <c r="AD16" i="16"/>
  <c r="L17" i="16"/>
  <c r="S17" i="16"/>
  <c r="AC38" i="52"/>
  <c r="AB17" i="16"/>
  <c r="R18" i="16"/>
  <c r="Y18" i="16"/>
  <c r="AL39" i="52"/>
  <c r="EK39" i="52"/>
  <c r="AF18" i="16"/>
  <c r="Q19" i="16"/>
  <c r="AE19" i="16"/>
  <c r="L25" i="16"/>
  <c r="S25" i="16"/>
  <c r="AB25" i="16"/>
  <c r="R26" i="16"/>
  <c r="Y26" i="16"/>
  <c r="AF26" i="16"/>
  <c r="Q13" i="16"/>
  <c r="AB13" i="16"/>
  <c r="S14" i="16"/>
  <c r="AB14" i="16"/>
  <c r="AE15" i="16"/>
  <c r="Q16" i="16"/>
  <c r="AE16" i="16"/>
  <c r="O17" i="16"/>
  <c r="T17" i="16"/>
  <c r="AD17" i="16"/>
  <c r="AQ38" i="52"/>
  <c r="EP38" i="52"/>
  <c r="L18" i="16"/>
  <c r="V39" i="52"/>
  <c r="S18" i="16"/>
  <c r="AB18" i="16"/>
  <c r="AO39" i="52"/>
  <c r="EN39" i="52"/>
  <c r="R19" i="16"/>
  <c r="Y19" i="16"/>
  <c r="AF19" i="16"/>
  <c r="AS18" i="52"/>
  <c r="ER18" i="52"/>
  <c r="O25" i="16"/>
  <c r="T25" i="16"/>
  <c r="AD25" i="16"/>
  <c r="L26" i="16"/>
  <c r="K25" i="16"/>
  <c r="K14" i="16"/>
  <c r="K26" i="16"/>
  <c r="K18" i="16"/>
  <c r="S26" i="16"/>
  <c r="Q25" i="16"/>
  <c r="L19" i="16"/>
  <c r="AE17" i="16"/>
  <c r="AR38" i="52"/>
  <c r="EQ38" i="52"/>
  <c r="V19" i="66"/>
  <c r="Y16" i="16"/>
  <c r="AD13" i="16"/>
  <c r="P108" i="16"/>
  <c r="AC39" i="52"/>
  <c r="Y38" i="52"/>
  <c r="CO38" i="52"/>
  <c r="AR39" i="52"/>
  <c r="EQ39" i="52"/>
  <c r="V21" i="66"/>
  <c r="AO18" i="52"/>
  <c r="AI38" i="52"/>
  <c r="AL38" i="52"/>
  <c r="EK38" i="52"/>
  <c r="AH38" i="52"/>
  <c r="M19" i="66"/>
  <c r="U39" i="52"/>
  <c r="CW39" i="52"/>
  <c r="AS39" i="52"/>
  <c r="ER39" i="52"/>
  <c r="W21" i="66"/>
  <c r="Y39" i="52"/>
  <c r="DB39" i="52"/>
  <c r="AI39" i="52"/>
  <c r="AK38" i="52"/>
  <c r="Z39" i="52"/>
  <c r="DC39" i="52"/>
  <c r="AB39" i="52"/>
  <c r="AF39" i="52"/>
  <c r="AA38" i="52"/>
  <c r="DD38" i="52"/>
  <c r="AG38" i="52"/>
  <c r="IX38" i="52"/>
  <c r="AF53" i="60"/>
  <c r="AO38" i="52"/>
  <c r="EN38" i="52"/>
  <c r="AG39" i="52"/>
  <c r="EJ39" i="52"/>
  <c r="V38" i="52"/>
  <c r="AF38" i="52"/>
  <c r="U38" i="52"/>
  <c r="CW38" i="52"/>
  <c r="AJ38" i="52"/>
  <c r="DX38" i="52"/>
  <c r="AE111" i="61"/>
  <c r="AP39" i="52"/>
  <c r="EO39" i="52"/>
  <c r="Z38" i="52"/>
  <c r="DC38" i="52"/>
  <c r="AP38" i="52"/>
  <c r="EO38" i="52"/>
  <c r="Q16" i="66"/>
  <c r="Q43" i="66"/>
  <c r="Q20" i="66"/>
  <c r="Q22" i="66"/>
  <c r="AG40" i="52"/>
  <c r="EJ40" i="52"/>
  <c r="EM35" i="52"/>
  <c r="IO35" i="52"/>
  <c r="DN35" i="52"/>
  <c r="DN26" i="52"/>
  <c r="EM26" i="52"/>
  <c r="IO26" i="52"/>
  <c r="JB26" i="52"/>
  <c r="EA26" i="52"/>
  <c r="IO29" i="52"/>
  <c r="DN29" i="52"/>
  <c r="EM29" i="52"/>
  <c r="JB29" i="52"/>
  <c r="EA29" i="52"/>
  <c r="CN24" i="52"/>
  <c r="IB24" i="52"/>
  <c r="DA24" i="52"/>
  <c r="IB13" i="52"/>
  <c r="CN13" i="52"/>
  <c r="X34" i="52"/>
  <c r="X19" i="52"/>
  <c r="AN21" i="52"/>
  <c r="AN39" i="52"/>
  <c r="IN25" i="52"/>
  <c r="EL25" i="52"/>
  <c r="JA25" i="52"/>
  <c r="DZ25" i="52"/>
  <c r="DM25" i="52"/>
  <c r="EL29" i="52"/>
  <c r="DM29" i="52"/>
  <c r="IN29" i="52"/>
  <c r="JA29" i="52"/>
  <c r="DZ29" i="52"/>
  <c r="W40" i="52"/>
  <c r="W22" i="52"/>
  <c r="IB16" i="52"/>
  <c r="CN16" i="52"/>
  <c r="IO16" i="52"/>
  <c r="DN16" i="52"/>
  <c r="EM16" i="52"/>
  <c r="IA29" i="52"/>
  <c r="CM29" i="52"/>
  <c r="CZ29" i="52"/>
  <c r="CM28" i="52"/>
  <c r="IA28" i="52"/>
  <c r="CZ28" i="52"/>
  <c r="IA17" i="52"/>
  <c r="CM17" i="52"/>
  <c r="IN35" i="52"/>
  <c r="EL35" i="52"/>
  <c r="DM35" i="52"/>
  <c r="AM40" i="52"/>
  <c r="AM22" i="52"/>
  <c r="CN35" i="52"/>
  <c r="IB35" i="52"/>
  <c r="W39" i="52"/>
  <c r="W21" i="52"/>
  <c r="IB29" i="52"/>
  <c r="CN29" i="52"/>
  <c r="DA29" i="52"/>
  <c r="DM13" i="52"/>
  <c r="IN13" i="52"/>
  <c r="EL13" i="52"/>
  <c r="AN19" i="52"/>
  <c r="AN34" i="52"/>
  <c r="CN26" i="52"/>
  <c r="IB26" i="52"/>
  <c r="DA26" i="52"/>
  <c r="W19" i="52"/>
  <c r="W34" i="52"/>
  <c r="IB15" i="52"/>
  <c r="Y16" i="66"/>
  <c r="CN15" i="52"/>
  <c r="DA15" i="52"/>
  <c r="AN38" i="52"/>
  <c r="AN20" i="52"/>
  <c r="IO13" i="52"/>
  <c r="DN13" i="52"/>
  <c r="EM13" i="52"/>
  <c r="JA36" i="52"/>
  <c r="DZ36" i="52"/>
  <c r="EL36" i="52"/>
  <c r="IN36" i="52"/>
  <c r="DM36" i="52"/>
  <c r="IO23" i="52"/>
  <c r="DN23" i="52"/>
  <c r="EM23" i="52"/>
  <c r="JB23" i="52"/>
  <c r="EA23" i="52"/>
  <c r="IA27" i="52"/>
  <c r="CM27" i="52"/>
  <c r="CZ27" i="52"/>
  <c r="IA12" i="52"/>
  <c r="CM12" i="52"/>
  <c r="IA37" i="52"/>
  <c r="CZ37" i="52"/>
  <c r="CM37" i="52"/>
  <c r="AN22" i="52"/>
  <c r="AN40" i="52"/>
  <c r="IO24" i="52"/>
  <c r="DN24" i="52"/>
  <c r="EM24" i="52"/>
  <c r="JB24" i="52"/>
  <c r="EA24" i="52"/>
  <c r="AM30" i="52"/>
  <c r="AM32" i="52"/>
  <c r="IA15" i="52"/>
  <c r="X16" i="66"/>
  <c r="CZ15" i="52"/>
  <c r="CM15" i="52"/>
  <c r="W32" i="52"/>
  <c r="W30" i="52"/>
  <c r="AM34" i="52"/>
  <c r="AM19" i="52"/>
  <c r="DM14" i="52"/>
  <c r="EL14" i="52"/>
  <c r="IN14" i="52"/>
  <c r="JA14" i="52"/>
  <c r="X13" i="66"/>
  <c r="DZ14" i="52"/>
  <c r="CN12" i="52"/>
  <c r="IA16" i="52"/>
  <c r="JA37" i="52"/>
  <c r="DZ37" i="52"/>
  <c r="EL37" i="52"/>
  <c r="IN37" i="52"/>
  <c r="DM37" i="52"/>
  <c r="JA15" i="52"/>
  <c r="X15" i="66"/>
  <c r="DZ15" i="52"/>
  <c r="EL15" i="52"/>
  <c r="IN15" i="52"/>
  <c r="DM15" i="52"/>
  <c r="JB18" i="52"/>
  <c r="EA18" i="52"/>
  <c r="DN18" i="52"/>
  <c r="IO18" i="52"/>
  <c r="EM18" i="52"/>
  <c r="IB37" i="52"/>
  <c r="CN37" i="52"/>
  <c r="DA37" i="52"/>
  <c r="W38" i="52"/>
  <c r="W20" i="52"/>
  <c r="IB36" i="52"/>
  <c r="CN36" i="52"/>
  <c r="DA36" i="52"/>
  <c r="IO15" i="52"/>
  <c r="DN15" i="52"/>
  <c r="JB15" i="52"/>
  <c r="Y15" i="66"/>
  <c r="EA15" i="52"/>
  <c r="EM15" i="52"/>
  <c r="IO36" i="52"/>
  <c r="DN36" i="52"/>
  <c r="EM36" i="52"/>
  <c r="JB36" i="52"/>
  <c r="EA36" i="52"/>
  <c r="X20" i="52"/>
  <c r="X38" i="52"/>
  <c r="IA18" i="52"/>
  <c r="CZ18" i="52"/>
  <c r="CM18" i="52"/>
  <c r="IA14" i="52"/>
  <c r="X14" i="66"/>
  <c r="CM14" i="52"/>
  <c r="CZ14" i="52"/>
  <c r="X31" i="52"/>
  <c r="X33" i="52"/>
  <c r="IN24" i="52"/>
  <c r="EL24" i="52"/>
  <c r="JA24" i="52"/>
  <c r="DM24" i="52"/>
  <c r="DZ24" i="52"/>
  <c r="IO37" i="52"/>
  <c r="DN37" i="52"/>
  <c r="EA37" i="52"/>
  <c r="EM37" i="52"/>
  <c r="JB37" i="52"/>
  <c r="AN31" i="52"/>
  <c r="AN33" i="52"/>
  <c r="X30" i="52"/>
  <c r="X32" i="52"/>
  <c r="IA13" i="52"/>
  <c r="CM13" i="52"/>
  <c r="IB23" i="52"/>
  <c r="CN23" i="52"/>
  <c r="DA23" i="52"/>
  <c r="DN28" i="52"/>
  <c r="IO28" i="52"/>
  <c r="EM28" i="52"/>
  <c r="JB28" i="52"/>
  <c r="EA28" i="52"/>
  <c r="EL12" i="52"/>
  <c r="IN12" i="52"/>
  <c r="DM12" i="52"/>
  <c r="EL18" i="52"/>
  <c r="DZ18" i="52"/>
  <c r="DM18" i="52"/>
  <c r="JA18" i="52"/>
  <c r="IN18" i="52"/>
  <c r="DA14" i="52"/>
  <c r="CN14" i="52"/>
  <c r="CM35" i="52"/>
  <c r="IA35" i="52"/>
  <c r="IB25" i="52"/>
  <c r="CN25" i="52"/>
  <c r="DA25" i="52"/>
  <c r="DM28" i="52"/>
  <c r="IN28" i="52"/>
  <c r="EL28" i="52"/>
  <c r="JA28" i="52"/>
  <c r="DZ28" i="52"/>
  <c r="IN26" i="52"/>
  <c r="DM26" i="52"/>
  <c r="EL26" i="52"/>
  <c r="JA26" i="52"/>
  <c r="DZ26" i="52"/>
  <c r="IN17" i="52"/>
  <c r="DM17" i="52"/>
  <c r="EL17" i="52"/>
  <c r="IA25" i="52"/>
  <c r="CM25" i="52"/>
  <c r="CZ25" i="52"/>
  <c r="IA26" i="52"/>
  <c r="CM26" i="52"/>
  <c r="CZ26" i="52"/>
  <c r="IN23" i="52"/>
  <c r="DM23" i="52"/>
  <c r="EL23" i="52"/>
  <c r="JA23" i="52"/>
  <c r="DZ23" i="52"/>
  <c r="AN30" i="52"/>
  <c r="AN32" i="52"/>
  <c r="DN27" i="52"/>
  <c r="IO27" i="52"/>
  <c r="EM27" i="52"/>
  <c r="JB27" i="52"/>
  <c r="EA27" i="52"/>
  <c r="IB28" i="52"/>
  <c r="CN28" i="52"/>
  <c r="DA28" i="52"/>
  <c r="IA23" i="52"/>
  <c r="CM23" i="52"/>
  <c r="CZ23" i="52"/>
  <c r="X39" i="52"/>
  <c r="X21" i="52"/>
  <c r="AN12" i="52"/>
  <c r="IB12" i="52"/>
  <c r="AN14" i="52"/>
  <c r="IN27" i="52"/>
  <c r="DM27" i="52"/>
  <c r="EL27" i="52"/>
  <c r="JA27" i="52"/>
  <c r="DZ27" i="52"/>
  <c r="AM21" i="52"/>
  <c r="AM39" i="52"/>
  <c r="AM33" i="52"/>
  <c r="AM31" i="52"/>
  <c r="IB17" i="52"/>
  <c r="CN17" i="52"/>
  <c r="W33" i="52"/>
  <c r="W31" i="52"/>
  <c r="IA24" i="52"/>
  <c r="CM24" i="52"/>
  <c r="CZ24" i="52"/>
  <c r="AM20" i="52"/>
  <c r="AM38" i="52"/>
  <c r="EM17" i="52"/>
  <c r="IO17" i="52"/>
  <c r="DN17" i="52"/>
  <c r="DN25" i="52"/>
  <c r="IO25" i="52"/>
  <c r="EM25" i="52"/>
  <c r="JB25" i="52"/>
  <c r="EA25" i="52"/>
  <c r="X22" i="52"/>
  <c r="X40" i="52"/>
  <c r="IA36" i="52"/>
  <c r="CZ36" i="52"/>
  <c r="CM36" i="52"/>
  <c r="CN27" i="52"/>
  <c r="IB27" i="52"/>
  <c r="DA27" i="52"/>
  <c r="IB18" i="52"/>
  <c r="DA18" i="52"/>
  <c r="CN18" i="52"/>
  <c r="DJ38" i="52"/>
  <c r="S111" i="61"/>
  <c r="ED40" i="52"/>
  <c r="AI113" i="61"/>
  <c r="IR40" i="52"/>
  <c r="JE40" i="52"/>
  <c r="AK57" i="60"/>
  <c r="AU40" i="52"/>
  <c r="ET40" i="52"/>
  <c r="DQ40" i="52"/>
  <c r="X113" i="61"/>
  <c r="JG40" i="52"/>
  <c r="AM57" i="60"/>
  <c r="IT40" i="52"/>
  <c r="EF40" i="52"/>
  <c r="AK113" i="61"/>
  <c r="DS40" i="52"/>
  <c r="Z113" i="61"/>
  <c r="CP40" i="52"/>
  <c r="DC40" i="52"/>
  <c r="JC40" i="52"/>
  <c r="AI57" i="60"/>
  <c r="IP40" i="52"/>
  <c r="EB40" i="52"/>
  <c r="AG113" i="61"/>
  <c r="DO40" i="52"/>
  <c r="V113" i="61"/>
  <c r="AD40" i="52"/>
  <c r="IE40" i="52"/>
  <c r="AE40" i="52"/>
  <c r="CQ40" i="52"/>
  <c r="DD40" i="52"/>
  <c r="JF40" i="52"/>
  <c r="AL57" i="60"/>
  <c r="DR40" i="52"/>
  <c r="Y113" i="61"/>
  <c r="EE40" i="52"/>
  <c r="AJ113" i="61"/>
  <c r="IS40" i="52"/>
  <c r="AA57" i="60"/>
  <c r="CK40" i="52"/>
  <c r="CX40" i="52"/>
  <c r="IY40" i="52"/>
  <c r="AG57" i="60"/>
  <c r="IL40" i="52"/>
  <c r="V57" i="60"/>
  <c r="ID40" i="52"/>
  <c r="AJ58" i="60"/>
  <c r="JD40" i="52"/>
  <c r="AJ57" i="60"/>
  <c r="DP40" i="52"/>
  <c r="EC40" i="52"/>
  <c r="AH113" i="61"/>
  <c r="IQ40" i="52"/>
  <c r="IG40" i="52"/>
  <c r="DF40" i="52"/>
  <c r="CS40" i="52"/>
  <c r="HZ40" i="52"/>
  <c r="AF40" i="52"/>
  <c r="CY40" i="52"/>
  <c r="CL40" i="52"/>
  <c r="CW40" i="52"/>
  <c r="CJ40" i="52"/>
  <c r="DX40" i="52"/>
  <c r="AE113" i="61"/>
  <c r="DK40" i="52"/>
  <c r="T113" i="61"/>
  <c r="IF40" i="52"/>
  <c r="DE40" i="52"/>
  <c r="CR40" i="52"/>
  <c r="IC40" i="52"/>
  <c r="AI58" i="60"/>
  <c r="CO40" i="52"/>
  <c r="DB40" i="52"/>
  <c r="AV40" i="52"/>
  <c r="EU40" i="52"/>
  <c r="AT40" i="52"/>
  <c r="ES40" i="52"/>
  <c r="T57" i="60"/>
  <c r="IM40" i="52"/>
  <c r="W57" i="60"/>
  <c r="IZ40" i="52"/>
  <c r="AH57" i="60"/>
  <c r="DY40" i="52"/>
  <c r="AF113" i="61"/>
  <c r="DL40" i="52"/>
  <c r="U113" i="61"/>
  <c r="JC39" i="52"/>
  <c r="DO39" i="52"/>
  <c r="V112" i="61"/>
  <c r="EB39" i="52"/>
  <c r="AG112" i="61"/>
  <c r="IP39" i="52"/>
  <c r="ED39" i="52"/>
  <c r="AI112" i="61"/>
  <c r="JE39" i="52"/>
  <c r="AK55" i="60"/>
  <c r="DQ39" i="52"/>
  <c r="X112" i="61"/>
  <c r="IR39" i="52"/>
  <c r="CS39" i="52"/>
  <c r="DF39" i="52"/>
  <c r="JG39" i="52"/>
  <c r="AM55" i="60"/>
  <c r="IS39" i="52"/>
  <c r="AA55" i="60"/>
  <c r="EE39" i="52"/>
  <c r="AJ112" i="61"/>
  <c r="IC39" i="52"/>
  <c r="HZ39" i="52"/>
  <c r="AD39" i="52"/>
  <c r="CL39" i="52"/>
  <c r="CY39" i="52"/>
  <c r="DY39" i="52"/>
  <c r="AF112" i="61"/>
  <c r="DL39" i="52"/>
  <c r="U112" i="61"/>
  <c r="IZ39" i="52"/>
  <c r="IM39" i="52"/>
  <c r="IE39" i="52"/>
  <c r="DD39" i="52"/>
  <c r="CQ39" i="52"/>
  <c r="IY39" i="52"/>
  <c r="AG55" i="60"/>
  <c r="IL39" i="52"/>
  <c r="CK39" i="52"/>
  <c r="CX39" i="52"/>
  <c r="ID39" i="52"/>
  <c r="CR39" i="52"/>
  <c r="DX39" i="52"/>
  <c r="AE112" i="61"/>
  <c r="DK39" i="52"/>
  <c r="T112" i="61"/>
  <c r="JD39" i="52"/>
  <c r="IQ39" i="52"/>
  <c r="IG38" i="52"/>
  <c r="DF38" i="52"/>
  <c r="CS38" i="52"/>
  <c r="CY38" i="52"/>
  <c r="DS38" i="52"/>
  <c r="Z111" i="61"/>
  <c r="EF38" i="52"/>
  <c r="AK111" i="61"/>
  <c r="AU38" i="52"/>
  <c r="ET38" i="52"/>
  <c r="EE38" i="52"/>
  <c r="AJ111" i="61"/>
  <c r="DR38" i="52"/>
  <c r="Y111" i="61"/>
  <c r="JF38" i="52"/>
  <c r="AL53" i="60"/>
  <c r="IS38" i="52"/>
  <c r="AA53" i="60"/>
  <c r="ED38" i="52"/>
  <c r="AI111" i="61"/>
  <c r="DQ38" i="52"/>
  <c r="X111" i="61"/>
  <c r="IR38" i="52"/>
  <c r="JE38" i="52"/>
  <c r="AK53" i="60"/>
  <c r="DB38" i="52"/>
  <c r="JC38" i="52"/>
  <c r="JG38" i="52"/>
  <c r="AM53" i="60"/>
  <c r="IT38" i="52"/>
  <c r="AV38" i="52"/>
  <c r="EU38" i="52"/>
  <c r="AT38" i="52"/>
  <c r="ES38" i="52"/>
  <c r="T53" i="60"/>
  <c r="DE38" i="52"/>
  <c r="CR38" i="52"/>
  <c r="CX38" i="52"/>
  <c r="IY38" i="52"/>
  <c r="AG53" i="60"/>
  <c r="IE38" i="52"/>
  <c r="CP38" i="52"/>
  <c r="AD38" i="52"/>
  <c r="IF38" i="52"/>
  <c r="IY15" i="52"/>
  <c r="AG17" i="60"/>
  <c r="IL15" i="52"/>
  <c r="ID14" i="52"/>
  <c r="IL25" i="52"/>
  <c r="V31" i="60"/>
  <c r="IY25" i="52"/>
  <c r="AG31" i="60"/>
  <c r="IL13" i="52"/>
  <c r="T90" i="56"/>
  <c r="IQ15" i="52"/>
  <c r="Y17" i="60"/>
  <c r="JD15" i="52"/>
  <c r="AJ17" i="60"/>
  <c r="IT18" i="52"/>
  <c r="JY18" i="52"/>
  <c r="JG18" i="52"/>
  <c r="KI18" i="52"/>
  <c r="IQ14" i="52"/>
  <c r="Y15" i="60"/>
  <c r="JD14" i="52"/>
  <c r="AJ15" i="60"/>
  <c r="DP12" i="52"/>
  <c r="IQ12" i="52"/>
  <c r="DP13" i="52"/>
  <c r="IQ13" i="52"/>
  <c r="ID12" i="52"/>
  <c r="ID15" i="52"/>
  <c r="CP13" i="52"/>
  <c r="W90" i="56"/>
  <c r="ID13" i="52"/>
  <c r="AO35" i="52"/>
  <c r="EN35" i="52"/>
  <c r="AQ26" i="52"/>
  <c r="EP26" i="52"/>
  <c r="AO26" i="52"/>
  <c r="AR22" i="52"/>
  <c r="EQ22" i="52"/>
  <c r="AJ27" i="52"/>
  <c r="AH35" i="52"/>
  <c r="AK20" i="52"/>
  <c r="AK28" i="52"/>
  <c r="U37" i="52"/>
  <c r="CW37" i="52"/>
  <c r="AD95" i="56"/>
  <c r="AO37" i="52"/>
  <c r="EN37" i="52"/>
  <c r="AQ36" i="52"/>
  <c r="ED36" i="52"/>
  <c r="AI109" i="61"/>
  <c r="AQ28" i="52"/>
  <c r="AL29" i="52"/>
  <c r="EK29" i="52"/>
  <c r="AR28" i="52"/>
  <c r="EE28" i="52"/>
  <c r="AJ101" i="61"/>
  <c r="AS35" i="52"/>
  <c r="ER35" i="52"/>
  <c r="AG28" i="52"/>
  <c r="EJ28" i="52"/>
  <c r="AG29" i="52"/>
  <c r="DJ29" i="52"/>
  <c r="S102" i="61"/>
  <c r="AO29" i="52"/>
  <c r="EN29" i="52"/>
  <c r="AQ35" i="52"/>
  <c r="EP35" i="52"/>
  <c r="AS27" i="52"/>
  <c r="AS26" i="52"/>
  <c r="ER26" i="52"/>
  <c r="AO27" i="52"/>
  <c r="EN27" i="52"/>
  <c r="AS23" i="52"/>
  <c r="AG22" i="52"/>
  <c r="EJ22" i="52"/>
  <c r="AL22" i="52"/>
  <c r="EK22" i="52"/>
  <c r="AH27" i="52"/>
  <c r="M40" i="66"/>
  <c r="AJ29" i="52"/>
  <c r="DK29" i="52"/>
  <c r="T102" i="61"/>
  <c r="AJ21" i="52"/>
  <c r="AK27" i="52"/>
  <c r="AI22" i="52"/>
  <c r="AI28" i="52"/>
  <c r="AI12" i="52"/>
  <c r="M11" i="66"/>
  <c r="AH36" i="52"/>
  <c r="AA37" i="52"/>
  <c r="DD37" i="52"/>
  <c r="AI95" i="56"/>
  <c r="AA36" i="52"/>
  <c r="Y36" i="52"/>
  <c r="AR36" i="52"/>
  <c r="EQ36" i="52"/>
  <c r="AI36" i="52"/>
  <c r="CK36" i="52"/>
  <c r="AB37" i="52"/>
  <c r="AK17" i="52"/>
  <c r="AJ17" i="52"/>
  <c r="DK17" i="52"/>
  <c r="T90" i="61"/>
  <c r="AP23" i="52"/>
  <c r="Z36" i="52"/>
  <c r="Z23" i="52"/>
  <c r="CP23" i="52"/>
  <c r="Z27" i="52"/>
  <c r="DC27" i="52"/>
  <c r="AP16" i="52"/>
  <c r="EO16" i="52"/>
  <c r="AP26" i="52"/>
  <c r="AP35" i="52"/>
  <c r="EO35" i="52"/>
  <c r="AP17" i="52"/>
  <c r="EO17" i="52"/>
  <c r="AP25" i="52"/>
  <c r="AP21" i="52"/>
  <c r="Z17" i="52"/>
  <c r="AL28" i="52"/>
  <c r="EK28" i="52"/>
  <c r="AL35" i="52"/>
  <c r="AL26" i="52"/>
  <c r="EK26" i="52"/>
  <c r="AH28" i="52"/>
  <c r="CX28" i="52"/>
  <c r="AJ20" i="52"/>
  <c r="AK22" i="52"/>
  <c r="AC36" i="52"/>
  <c r="AK16" i="52"/>
  <c r="AR29" i="52"/>
  <c r="AQ29" i="52"/>
  <c r="AG35" i="52"/>
  <c r="AO28" i="52"/>
  <c r="EB28" i="52"/>
  <c r="AS28" i="52"/>
  <c r="EF28" i="52"/>
  <c r="AK101" i="61"/>
  <c r="AR35" i="52"/>
  <c r="EQ35" i="52"/>
  <c r="AR27" i="52"/>
  <c r="AR23" i="52"/>
  <c r="EQ23" i="52"/>
  <c r="AL27" i="52"/>
  <c r="EK27" i="52"/>
  <c r="AQ22" i="52"/>
  <c r="AS22" i="52"/>
  <c r="AH29" i="52"/>
  <c r="AJ25" i="52"/>
  <c r="AJ24" i="52"/>
  <c r="AK25" i="52"/>
  <c r="AK23" i="52"/>
  <c r="AI29" i="52"/>
  <c r="AI23" i="52"/>
  <c r="AK37" i="52"/>
  <c r="AJ37" i="52"/>
  <c r="DK37" i="52"/>
  <c r="T110" i="61"/>
  <c r="AC37" i="52"/>
  <c r="DF37" i="52"/>
  <c r="AK95" i="56"/>
  <c r="AR37" i="52"/>
  <c r="AI37" i="52"/>
  <c r="AK36" i="52"/>
  <c r="V37" i="52"/>
  <c r="CL37" i="52"/>
  <c r="U95" i="56"/>
  <c r="AJ36" i="52"/>
  <c r="DK36" i="52"/>
  <c r="T109" i="61"/>
  <c r="AK18" i="52"/>
  <c r="Z28" i="52"/>
  <c r="CP28" i="52"/>
  <c r="AP27" i="52"/>
  <c r="EC27" i="52"/>
  <c r="AP29" i="52"/>
  <c r="AP36" i="52"/>
  <c r="Z29" i="52"/>
  <c r="CP29" i="52"/>
  <c r="Z16" i="52"/>
  <c r="Z24" i="52"/>
  <c r="Z22" i="52"/>
  <c r="AP37" i="52"/>
  <c r="AO22" i="52"/>
  <c r="EN22" i="52"/>
  <c r="AG26" i="52"/>
  <c r="EJ26" i="52"/>
  <c r="AR26" i="52"/>
  <c r="AH22" i="52"/>
  <c r="CX22" i="52"/>
  <c r="AJ35" i="52"/>
  <c r="DK35" i="52"/>
  <c r="T108" i="61"/>
  <c r="AK35" i="52"/>
  <c r="AI35" i="52"/>
  <c r="AL36" i="52"/>
  <c r="EK36" i="52"/>
  <c r="V36" i="52"/>
  <c r="CL36" i="52"/>
  <c r="U94" i="56"/>
  <c r="AS36" i="52"/>
  <c r="AJ18" i="52"/>
  <c r="DK18" i="52"/>
  <c r="T91" i="61"/>
  <c r="AP24" i="52"/>
  <c r="AP22" i="52"/>
  <c r="EC22" i="52"/>
  <c r="Z26" i="52"/>
  <c r="Z35" i="52"/>
  <c r="Z20" i="52"/>
  <c r="Z37" i="52"/>
  <c r="DC37" i="52"/>
  <c r="AH95" i="56"/>
  <c r="AP20" i="52"/>
  <c r="AS29" i="52"/>
  <c r="AB36" i="52"/>
  <c r="AG23" i="52"/>
  <c r="EJ23" i="52"/>
  <c r="AQ27" i="52"/>
  <c r="AO23" i="52"/>
  <c r="AG27" i="52"/>
  <c r="EJ27" i="52"/>
  <c r="AL23" i="52"/>
  <c r="EK23" i="52"/>
  <c r="AQ23" i="52"/>
  <c r="AH26" i="52"/>
  <c r="AH23" i="52"/>
  <c r="CX23" i="52"/>
  <c r="AJ26" i="52"/>
  <c r="DK26" i="52"/>
  <c r="T99" i="61"/>
  <c r="AJ22" i="52"/>
  <c r="DX22" i="52"/>
  <c r="AE95" i="61"/>
  <c r="AJ23" i="52"/>
  <c r="DK23" i="52"/>
  <c r="T96" i="61"/>
  <c r="AJ28" i="52"/>
  <c r="DX28" i="52"/>
  <c r="AE101" i="61"/>
  <c r="AK26" i="52"/>
  <c r="AK21" i="52"/>
  <c r="AK29" i="52"/>
  <c r="AK24" i="52"/>
  <c r="AI27" i="52"/>
  <c r="AI26" i="52"/>
  <c r="AS37" i="52"/>
  <c r="AQ37" i="52"/>
  <c r="AL37" i="52"/>
  <c r="EK37" i="52"/>
  <c r="Y37" i="52"/>
  <c r="DB37" i="52"/>
  <c r="AG95" i="56"/>
  <c r="AG37" i="52"/>
  <c r="EJ37" i="52"/>
  <c r="AH37" i="52"/>
  <c r="AO36" i="52"/>
  <c r="DO36" i="52"/>
  <c r="V109" i="61"/>
  <c r="AJ16" i="52"/>
  <c r="DK16" i="52"/>
  <c r="T89" i="61"/>
  <c r="Z21" i="52"/>
  <c r="AP18" i="52"/>
  <c r="AP28" i="52"/>
  <c r="DP28" i="52"/>
  <c r="Z25" i="52"/>
  <c r="Z18" i="52"/>
  <c r="AJ32" i="52"/>
  <c r="DK32" i="52"/>
  <c r="T105" i="61"/>
  <c r="AJ30" i="52"/>
  <c r="AJ34" i="52"/>
  <c r="DK34" i="52"/>
  <c r="T107" i="61"/>
  <c r="AJ19" i="52"/>
  <c r="DK19" i="52"/>
  <c r="T92" i="61"/>
  <c r="DK15" i="52"/>
  <c r="T88" i="61"/>
  <c r="DX15" i="52"/>
  <c r="AE88" i="61"/>
  <c r="AK34" i="52"/>
  <c r="AK19" i="52"/>
  <c r="AK31" i="52"/>
  <c r="AK33" i="52"/>
  <c r="DX14" i="52"/>
  <c r="AE87" i="61"/>
  <c r="DK14" i="52"/>
  <c r="T87" i="61"/>
  <c r="AJ33" i="52"/>
  <c r="DK33" i="52"/>
  <c r="T106" i="61"/>
  <c r="AJ31" i="52"/>
  <c r="AK30" i="52"/>
  <c r="AK32" i="52"/>
  <c r="DS18" i="52"/>
  <c r="Z91" i="61"/>
  <c r="EF18" i="52"/>
  <c r="AK91" i="61"/>
  <c r="EC14" i="52"/>
  <c r="AH87" i="61"/>
  <c r="DP14" i="52"/>
  <c r="EC15" i="52"/>
  <c r="AH88" i="61"/>
  <c r="DP15" i="52"/>
  <c r="CK13" i="52"/>
  <c r="AH18" i="52"/>
  <c r="AP31" i="52"/>
  <c r="EO31" i="52"/>
  <c r="AP33" i="52"/>
  <c r="EO33" i="52"/>
  <c r="Z34" i="52"/>
  <c r="Z19" i="52"/>
  <c r="CP15" i="52"/>
  <c r="DC15" i="52"/>
  <c r="Z30" i="52"/>
  <c r="Z32" i="52"/>
  <c r="AP30" i="52"/>
  <c r="EO30" i="52"/>
  <c r="AP32" i="52"/>
  <c r="EO32" i="52"/>
  <c r="AP19" i="52"/>
  <c r="EO19" i="52"/>
  <c r="AP34" i="52"/>
  <c r="EO34" i="52"/>
  <c r="Z33" i="52"/>
  <c r="Z31" i="52"/>
  <c r="CP14" i="52"/>
  <c r="DC14" i="52"/>
  <c r="CP12" i="52"/>
  <c r="W89" i="56"/>
  <c r="AL18" i="52"/>
  <c r="AQ18" i="52"/>
  <c r="EP18" i="52"/>
  <c r="AG18" i="52"/>
  <c r="AI18" i="52"/>
  <c r="AR18" i="52"/>
  <c r="EQ18" i="52"/>
  <c r="D148" i="50"/>
  <c r="E28" i="50"/>
  <c r="D146" i="50"/>
  <c r="E26" i="50"/>
  <c r="D147" i="50"/>
  <c r="E27" i="50"/>
  <c r="T30" i="16"/>
  <c r="K30" i="16"/>
  <c r="AI14" i="52"/>
  <c r="CX25" i="52"/>
  <c r="CK25" i="52"/>
  <c r="AI16" i="52"/>
  <c r="M17" i="66"/>
  <c r="AI20" i="52"/>
  <c r="AI31" i="52"/>
  <c r="AI33" i="52"/>
  <c r="AI32" i="52"/>
  <c r="AI30" i="52"/>
  <c r="CX15" i="52"/>
  <c r="CK15" i="52"/>
  <c r="AI25" i="52"/>
  <c r="AI34" i="52"/>
  <c r="AI19" i="52"/>
  <c r="AI17" i="52"/>
  <c r="M18" i="66"/>
  <c r="AI21" i="52"/>
  <c r="AH33" i="52"/>
  <c r="AH31" i="52"/>
  <c r="AR16" i="52"/>
  <c r="EQ16" i="52"/>
  <c r="V17" i="66"/>
  <c r="AR20" i="52"/>
  <c r="EQ20" i="52"/>
  <c r="V32" i="66"/>
  <c r="AO13" i="52"/>
  <c r="EN13" i="52"/>
  <c r="AO15" i="52"/>
  <c r="EN15" i="52"/>
  <c r="AS17" i="52"/>
  <c r="ER17" i="52"/>
  <c r="W18" i="66"/>
  <c r="AS21" i="52"/>
  <c r="ER21" i="52"/>
  <c r="W34" i="66"/>
  <c r="AQ24" i="52"/>
  <c r="EP24" i="52"/>
  <c r="AR17" i="52"/>
  <c r="EQ17" i="52"/>
  <c r="V18" i="66"/>
  <c r="AR21" i="52"/>
  <c r="EQ21" i="52"/>
  <c r="V34" i="66"/>
  <c r="AL30" i="52"/>
  <c r="EK30" i="52"/>
  <c r="AL32" i="52"/>
  <c r="AQ30" i="52"/>
  <c r="EP30" i="52"/>
  <c r="AQ32" i="52"/>
  <c r="EP32" i="52"/>
  <c r="AR19" i="52"/>
  <c r="EQ19" i="52"/>
  <c r="AR34" i="52"/>
  <c r="EQ34" i="52"/>
  <c r="AQ34" i="52"/>
  <c r="EP34" i="52"/>
  <c r="AQ19" i="52"/>
  <c r="EP19" i="52"/>
  <c r="AH34" i="52"/>
  <c r="AH19" i="52"/>
  <c r="IL19" i="52"/>
  <c r="V19" i="60"/>
  <c r="AH30" i="52"/>
  <c r="AH32" i="52"/>
  <c r="AL25" i="52"/>
  <c r="EK25" i="52"/>
  <c r="AO17" i="52"/>
  <c r="EN17" i="52"/>
  <c r="AO21" i="52"/>
  <c r="EN21" i="52"/>
  <c r="AO16" i="52"/>
  <c r="EN16" i="52"/>
  <c r="AO20" i="52"/>
  <c r="EN20" i="52"/>
  <c r="AL16" i="52"/>
  <c r="AL20" i="52"/>
  <c r="EK20" i="52"/>
  <c r="AO24" i="52"/>
  <c r="EN24" i="52"/>
  <c r="AR12" i="52"/>
  <c r="EQ12" i="52"/>
  <c r="V11" i="66"/>
  <c r="AR14" i="52"/>
  <c r="EQ14" i="52"/>
  <c r="V13" i="66"/>
  <c r="AG17" i="52"/>
  <c r="AG21" i="52"/>
  <c r="AQ21" i="52"/>
  <c r="EP21" i="52"/>
  <c r="AQ17" i="52"/>
  <c r="EP17" i="52"/>
  <c r="AR33" i="52"/>
  <c r="EQ33" i="52"/>
  <c r="AR31" i="52"/>
  <c r="EQ31" i="52"/>
  <c r="AS34" i="52"/>
  <c r="ER34" i="52"/>
  <c r="AS19" i="52"/>
  <c r="ER19" i="52"/>
  <c r="AG34" i="52"/>
  <c r="AG19" i="52"/>
  <c r="AH16" i="52"/>
  <c r="AH20" i="52"/>
  <c r="M32" i="66"/>
  <c r="AL17" i="52"/>
  <c r="AL21" i="52"/>
  <c r="EK21" i="52"/>
  <c r="AS13" i="52"/>
  <c r="ER13" i="52"/>
  <c r="W12" i="66"/>
  <c r="AS15" i="52"/>
  <c r="ER15" i="52"/>
  <c r="W15" i="66"/>
  <c r="AO25" i="52"/>
  <c r="EN25" i="52"/>
  <c r="AR13" i="52"/>
  <c r="EQ13" i="52"/>
  <c r="V12" i="66"/>
  <c r="AR15" i="52"/>
  <c r="EQ15" i="52"/>
  <c r="V15" i="66"/>
  <c r="AQ13" i="52"/>
  <c r="EP13" i="52"/>
  <c r="AQ15" i="52"/>
  <c r="EP15" i="52"/>
  <c r="AO33" i="52"/>
  <c r="EN33" i="52"/>
  <c r="AO31" i="52"/>
  <c r="EN31" i="52"/>
  <c r="AG33" i="52"/>
  <c r="AG31" i="52"/>
  <c r="AS30" i="52"/>
  <c r="ER30" i="52"/>
  <c r="AS32" i="52"/>
  <c r="ER32" i="52"/>
  <c r="AO34" i="52"/>
  <c r="EN34" i="52"/>
  <c r="AO19" i="52"/>
  <c r="EN19" i="52"/>
  <c r="AH12" i="52"/>
  <c r="AH14" i="52"/>
  <c r="M13" i="66"/>
  <c r="AG16" i="52"/>
  <c r="AG20" i="52"/>
  <c r="AR24" i="52"/>
  <c r="EQ24" i="52"/>
  <c r="V36" i="66"/>
  <c r="AS33" i="52"/>
  <c r="ER33" i="52"/>
  <c r="AS31" i="52"/>
  <c r="ER31" i="52"/>
  <c r="AL24" i="52"/>
  <c r="EK24" i="52"/>
  <c r="AQ33" i="52"/>
  <c r="EP33" i="52"/>
  <c r="AQ31" i="52"/>
  <c r="EP31" i="52"/>
  <c r="AQ12" i="52"/>
  <c r="EP12" i="52"/>
  <c r="AQ14" i="52"/>
  <c r="EP14" i="52"/>
  <c r="AR25" i="52"/>
  <c r="EQ25" i="52"/>
  <c r="V38" i="66"/>
  <c r="AQ16" i="52"/>
  <c r="EP16" i="52"/>
  <c r="AQ20" i="52"/>
  <c r="EP20" i="52"/>
  <c r="AO12" i="52"/>
  <c r="EN12" i="52"/>
  <c r="AO14" i="52"/>
  <c r="EN14" i="52"/>
  <c r="AQ25" i="52"/>
  <c r="EP25" i="52"/>
  <c r="AL13" i="52"/>
  <c r="AL15" i="52"/>
  <c r="EK15" i="52"/>
  <c r="AS16" i="52"/>
  <c r="ER16" i="52"/>
  <c r="W17" i="66"/>
  <c r="AS20" i="52"/>
  <c r="ER20" i="52"/>
  <c r="W32" i="66"/>
  <c r="AG13" i="52"/>
  <c r="AG15" i="52"/>
  <c r="AL31" i="52"/>
  <c r="EK31" i="52"/>
  <c r="AL33" i="52"/>
  <c r="AG30" i="52"/>
  <c r="AG32" i="52"/>
  <c r="AO30" i="52"/>
  <c r="EN30" i="52"/>
  <c r="AO32" i="52"/>
  <c r="EN32" i="52"/>
  <c r="AR30" i="52"/>
  <c r="EQ30" i="52"/>
  <c r="AR32" i="52"/>
  <c r="EQ32" i="52"/>
  <c r="AL34" i="52"/>
  <c r="AL19" i="52"/>
  <c r="AH17" i="52"/>
  <c r="AH21" i="52"/>
  <c r="M34" i="66"/>
  <c r="L15" i="16"/>
  <c r="L13" i="16"/>
  <c r="U28" i="52"/>
  <c r="AC16" i="52"/>
  <c r="AC20" i="52"/>
  <c r="AB13" i="52"/>
  <c r="AB15" i="52"/>
  <c r="U17" i="52"/>
  <c r="U21" i="52"/>
  <c r="V16" i="52"/>
  <c r="V20" i="52"/>
  <c r="AA29" i="52"/>
  <c r="V25" i="52"/>
  <c r="AC35" i="52"/>
  <c r="AC33" i="52"/>
  <c r="AC31" i="52"/>
  <c r="AA27" i="52"/>
  <c r="AA26" i="52"/>
  <c r="U29" i="52"/>
  <c r="Y16" i="52"/>
  <c r="Y20" i="52"/>
  <c r="AA18" i="52"/>
  <c r="Y12" i="52"/>
  <c r="Y14" i="52"/>
  <c r="AB16" i="52"/>
  <c r="AB20" i="52"/>
  <c r="AA13" i="52"/>
  <c r="AA15" i="52"/>
  <c r="Y17" i="52"/>
  <c r="Y21" i="52"/>
  <c r="AA35" i="52"/>
  <c r="AB33" i="52"/>
  <c r="AB31" i="52"/>
  <c r="IF31" i="52"/>
  <c r="AC34" i="52"/>
  <c r="AC19" i="52"/>
  <c r="AA32" i="52"/>
  <c r="AA30" i="52"/>
  <c r="V32" i="52"/>
  <c r="V30" i="52"/>
  <c r="V34" i="52"/>
  <c r="V19" i="52"/>
  <c r="V23" i="52"/>
  <c r="U27" i="52"/>
  <c r="Y23" i="52"/>
  <c r="V22" i="52"/>
  <c r="U22" i="52"/>
  <c r="AC26" i="52"/>
  <c r="U23" i="52"/>
  <c r="Y26" i="52"/>
  <c r="AC29" i="52"/>
  <c r="AA12" i="52"/>
  <c r="AA14" i="52"/>
  <c r="V29" i="52"/>
  <c r="AA25" i="52"/>
  <c r="AC13" i="52"/>
  <c r="AC15" i="52"/>
  <c r="AB17" i="52"/>
  <c r="AB21" i="52"/>
  <c r="AB25" i="52"/>
  <c r="Y35" i="52"/>
  <c r="U33" i="52"/>
  <c r="U31" i="52"/>
  <c r="AA33" i="52"/>
  <c r="AA31" i="52"/>
  <c r="U34" i="52"/>
  <c r="U19" i="52"/>
  <c r="Y34" i="52"/>
  <c r="Y19" i="52"/>
  <c r="V26" i="52"/>
  <c r="AC23" i="52"/>
  <c r="AA23" i="52"/>
  <c r="V18" i="52"/>
  <c r="AC17" i="52"/>
  <c r="AC21" i="52"/>
  <c r="V13" i="52"/>
  <c r="V15" i="52"/>
  <c r="AC28" i="52"/>
  <c r="Y24" i="52"/>
  <c r="AA28" i="52"/>
  <c r="U13" i="52"/>
  <c r="U15" i="52"/>
  <c r="AB18" i="52"/>
  <c r="V17" i="52"/>
  <c r="V21" i="52"/>
  <c r="AB29" i="52"/>
  <c r="V28" i="52"/>
  <c r="Y25" i="52"/>
  <c r="AA17" i="52"/>
  <c r="AA21" i="52"/>
  <c r="AA24" i="52"/>
  <c r="AC18" i="52"/>
  <c r="IG18" i="52"/>
  <c r="JO18" i="52"/>
  <c r="U18" i="52"/>
  <c r="U35" i="52"/>
  <c r="Y13" i="52"/>
  <c r="Y15" i="52"/>
  <c r="V33" i="52"/>
  <c r="V31" i="52"/>
  <c r="Y33" i="52"/>
  <c r="Y31" i="52"/>
  <c r="U32" i="52"/>
  <c r="U30" i="52"/>
  <c r="AC27" i="52"/>
  <c r="U26" i="52"/>
  <c r="Y27" i="52"/>
  <c r="AB23" i="52"/>
  <c r="Y28" i="52"/>
  <c r="AB28" i="52"/>
  <c r="D130" i="50"/>
  <c r="Y18" i="52"/>
  <c r="U16" i="52"/>
  <c r="U20" i="52"/>
  <c r="AA20" i="52"/>
  <c r="AA16" i="52"/>
  <c r="Y29" i="52"/>
  <c r="AB35" i="52"/>
  <c r="V35" i="52"/>
  <c r="AC32" i="52"/>
  <c r="AC30" i="52"/>
  <c r="Y32" i="52"/>
  <c r="Y30" i="52"/>
  <c r="AB32" i="52"/>
  <c r="AB30" i="52"/>
  <c r="AA19" i="52"/>
  <c r="AA34" i="52"/>
  <c r="AB34" i="52"/>
  <c r="AB19" i="52"/>
  <c r="AB22" i="52"/>
  <c r="AC22" i="52"/>
  <c r="AA22" i="52"/>
  <c r="AB27" i="52"/>
  <c r="AB26" i="52"/>
  <c r="IF26" i="52"/>
  <c r="V27" i="52"/>
  <c r="Y22" i="52"/>
  <c r="Y13" i="16"/>
  <c r="D111" i="16"/>
  <c r="D110" i="16"/>
  <c r="D109" i="16"/>
  <c r="D102" i="16"/>
  <c r="J13" i="16"/>
  <c r="J14" i="16"/>
  <c r="J15" i="16"/>
  <c r="J16" i="16"/>
  <c r="J17" i="16"/>
  <c r="J18" i="16"/>
  <c r="J19" i="16"/>
  <c r="J22" i="16"/>
  <c r="J23" i="16"/>
  <c r="J24" i="16"/>
  <c r="J25" i="16"/>
  <c r="J26" i="16"/>
  <c r="J27" i="16"/>
  <c r="J28" i="16"/>
  <c r="J29" i="16"/>
  <c r="BO18" i="52"/>
  <c r="BB18" i="52"/>
  <c r="CB18" i="52"/>
  <c r="IC18" i="52"/>
  <c r="CQ38" i="52"/>
  <c r="FD38" i="52"/>
  <c r="CL38" i="52"/>
  <c r="FB38" i="52"/>
  <c r="DR39" i="52"/>
  <c r="Y112" i="61"/>
  <c r="AE38" i="52"/>
  <c r="CK38" i="52"/>
  <c r="HZ38" i="52"/>
  <c r="IL38" i="52"/>
  <c r="V53" i="60"/>
  <c r="DL38" i="52"/>
  <c r="U111" i="61"/>
  <c r="AE39" i="52"/>
  <c r="CO39" i="52"/>
  <c r="JF39" i="52"/>
  <c r="AL55" i="60"/>
  <c r="DJ39" i="52"/>
  <c r="S112" i="61"/>
  <c r="IZ38" i="52"/>
  <c r="KF38" i="52"/>
  <c r="AT53" i="60"/>
  <c r="EC39" i="52"/>
  <c r="AH112" i="61"/>
  <c r="IF39" i="52"/>
  <c r="AA56" i="60"/>
  <c r="IM38" i="52"/>
  <c r="W53" i="60"/>
  <c r="DY38" i="52"/>
  <c r="AF111" i="61"/>
  <c r="DP39" i="52"/>
  <c r="W112" i="61"/>
  <c r="DE39" i="52"/>
  <c r="DG39" i="52"/>
  <c r="IX39" i="52"/>
  <c r="AF55" i="60"/>
  <c r="HX39" i="52"/>
  <c r="U56" i="60"/>
  <c r="CJ39" i="52"/>
  <c r="T20" i="66"/>
  <c r="AA54" i="60"/>
  <c r="AL54" i="60"/>
  <c r="JS38" i="52"/>
  <c r="Z54" i="60"/>
  <c r="AK54" i="60"/>
  <c r="U20" i="66"/>
  <c r="AM54" i="60"/>
  <c r="AB54" i="60"/>
  <c r="AF56" i="60"/>
  <c r="R22" i="66"/>
  <c r="AH56" i="60"/>
  <c r="T43" i="66"/>
  <c r="AA58" i="60"/>
  <c r="AL58" i="60"/>
  <c r="W58" i="60"/>
  <c r="AH58" i="60"/>
  <c r="JS40" i="52"/>
  <c r="AK58" i="60"/>
  <c r="Z58" i="60"/>
  <c r="AL34" i="60"/>
  <c r="AA34" i="60"/>
  <c r="AA14" i="66"/>
  <c r="AJ16" i="60"/>
  <c r="Z22" i="66"/>
  <c r="AI56" i="60"/>
  <c r="AA16" i="66"/>
  <c r="AJ18" i="60"/>
  <c r="R20" i="66"/>
  <c r="AH54" i="60"/>
  <c r="AL44" i="60"/>
  <c r="AA44" i="60"/>
  <c r="AA22" i="66"/>
  <c r="AJ56" i="60"/>
  <c r="JS39" i="52"/>
  <c r="AK56" i="60"/>
  <c r="Z56" i="60"/>
  <c r="U43" i="66"/>
  <c r="AB58" i="60"/>
  <c r="AM58" i="60"/>
  <c r="W101" i="61"/>
  <c r="W87" i="61"/>
  <c r="W86" i="61"/>
  <c r="W113" i="61"/>
  <c r="W88" i="61"/>
  <c r="W85" i="61"/>
  <c r="Z21" i="66"/>
  <c r="AI55" i="60"/>
  <c r="Z19" i="66"/>
  <c r="AI53" i="60"/>
  <c r="R21" i="66"/>
  <c r="AH55" i="60"/>
  <c r="AA21" i="66"/>
  <c r="AJ55" i="60"/>
  <c r="AA15" i="66"/>
  <c r="AA13" i="66"/>
  <c r="KM38" i="52"/>
  <c r="T19" i="66"/>
  <c r="KM39" i="52"/>
  <c r="U19" i="66"/>
  <c r="U21" i="66"/>
  <c r="T42" i="66"/>
  <c r="U42" i="66"/>
  <c r="KC38" i="52"/>
  <c r="Z53" i="60"/>
  <c r="JY40" i="52"/>
  <c r="AB57" i="60"/>
  <c r="JY38" i="52"/>
  <c r="AB53" i="60"/>
  <c r="KC39" i="52"/>
  <c r="Z55" i="60"/>
  <c r="KC40" i="52"/>
  <c r="Z57" i="60"/>
  <c r="EB38" i="52"/>
  <c r="AG111" i="61"/>
  <c r="AT39" i="52"/>
  <c r="ES39" i="52"/>
  <c r="T55" i="60"/>
  <c r="IT39" i="52"/>
  <c r="IG39" i="52"/>
  <c r="DK38" i="52"/>
  <c r="T111" i="61"/>
  <c r="IP38" i="52"/>
  <c r="X53" i="60"/>
  <c r="IC38" i="52"/>
  <c r="X54" i="60"/>
  <c r="CP39" i="52"/>
  <c r="AV39" i="52"/>
  <c r="EU39" i="52"/>
  <c r="EF39" i="52"/>
  <c r="AU39" i="52"/>
  <c r="ET39" i="52"/>
  <c r="DO38" i="52"/>
  <c r="V111" i="61"/>
  <c r="DS39" i="52"/>
  <c r="Q42" i="66"/>
  <c r="IF36" i="52"/>
  <c r="IQ38" i="52"/>
  <c r="Y53" i="60"/>
  <c r="ID38" i="52"/>
  <c r="Y54" i="60"/>
  <c r="IE24" i="52"/>
  <c r="IF22" i="52"/>
  <c r="IE28" i="52"/>
  <c r="IE19" i="52"/>
  <c r="HX31" i="52"/>
  <c r="DP38" i="52"/>
  <c r="CJ38" i="52"/>
  <c r="EJ38" i="52"/>
  <c r="JD38" i="52"/>
  <c r="EC38" i="52"/>
  <c r="AH111" i="61"/>
  <c r="HX38" i="52"/>
  <c r="IE33" i="52"/>
  <c r="IC17" i="52"/>
  <c r="IE31" i="52"/>
  <c r="IC21" i="52"/>
  <c r="IE25" i="52"/>
  <c r="DX21" i="52"/>
  <c r="AE94" i="61"/>
  <c r="Q14" i="66"/>
  <c r="DK24" i="52"/>
  <c r="T97" i="61"/>
  <c r="IL16" i="52"/>
  <c r="T91" i="56"/>
  <c r="DX27" i="52"/>
  <c r="AE100" i="61"/>
  <c r="Q32" i="66"/>
  <c r="IL17" i="52"/>
  <c r="T92" i="56"/>
  <c r="DX25" i="52"/>
  <c r="AE98" i="61"/>
  <c r="Q39" i="66"/>
  <c r="DX20" i="52"/>
  <c r="AE93" i="61"/>
  <c r="Q33" i="66"/>
  <c r="Y18" i="60"/>
  <c r="JO38" i="52"/>
  <c r="JO40" i="52"/>
  <c r="Y16" i="60"/>
  <c r="KI40" i="52"/>
  <c r="R43" i="66"/>
  <c r="R42" i="66"/>
  <c r="KM40" i="52"/>
  <c r="Q38" i="66"/>
  <c r="KI38" i="52"/>
  <c r="KI39" i="52"/>
  <c r="W54" i="60"/>
  <c r="W56" i="60"/>
  <c r="W55" i="60"/>
  <c r="V17" i="60"/>
  <c r="V55" i="60"/>
  <c r="IX40" i="52"/>
  <c r="AF57" i="60"/>
  <c r="DJ40" i="52"/>
  <c r="S113" i="61"/>
  <c r="HX40" i="52"/>
  <c r="EL20" i="52"/>
  <c r="IN20" i="52"/>
  <c r="DM20" i="52"/>
  <c r="JA20" i="52"/>
  <c r="DZ20" i="52"/>
  <c r="IA31" i="52"/>
  <c r="CM31" i="52"/>
  <c r="CZ31" i="52"/>
  <c r="JA31" i="52"/>
  <c r="IN31" i="52"/>
  <c r="DM31" i="52"/>
  <c r="EL31" i="52"/>
  <c r="DZ31" i="52"/>
  <c r="IB39" i="52"/>
  <c r="Y22" i="66"/>
  <c r="DA39" i="52"/>
  <c r="CN39" i="52"/>
  <c r="DN32" i="52"/>
  <c r="EM32" i="52"/>
  <c r="IO32" i="52"/>
  <c r="IO33" i="52"/>
  <c r="DN33" i="52"/>
  <c r="EM33" i="52"/>
  <c r="CN33" i="52"/>
  <c r="IB33" i="52"/>
  <c r="IB38" i="52"/>
  <c r="Y20" i="66"/>
  <c r="CN38" i="52"/>
  <c r="DA38" i="52"/>
  <c r="EL19" i="52"/>
  <c r="IN19" i="52"/>
  <c r="DM19" i="52"/>
  <c r="IA30" i="52"/>
  <c r="CM30" i="52"/>
  <c r="CZ30" i="52"/>
  <c r="EA40" i="52"/>
  <c r="DN40" i="52"/>
  <c r="IO40" i="52"/>
  <c r="EM40" i="52"/>
  <c r="JB40" i="52"/>
  <c r="DN38" i="52"/>
  <c r="IO38" i="52"/>
  <c r="EA38" i="52"/>
  <c r="JB38" i="52"/>
  <c r="Y19" i="66"/>
  <c r="EM38" i="52"/>
  <c r="CM34" i="52"/>
  <c r="IA34" i="52"/>
  <c r="IN40" i="52"/>
  <c r="DM40" i="52"/>
  <c r="EL40" i="52"/>
  <c r="JA40" i="52"/>
  <c r="DZ40" i="52"/>
  <c r="EA39" i="52"/>
  <c r="DN39" i="52"/>
  <c r="EM39" i="52"/>
  <c r="JB39" i="52"/>
  <c r="Y21" i="66"/>
  <c r="IO39" i="52"/>
  <c r="IB40" i="52"/>
  <c r="CN40" i="52"/>
  <c r="DA40" i="52"/>
  <c r="IA33" i="52"/>
  <c r="CM33" i="52"/>
  <c r="EL33" i="52"/>
  <c r="IN33" i="52"/>
  <c r="DM33" i="52"/>
  <c r="JB14" i="52"/>
  <c r="Y13" i="66"/>
  <c r="EA14" i="52"/>
  <c r="DN14" i="52"/>
  <c r="IO14" i="52"/>
  <c r="EM14" i="52"/>
  <c r="EM30" i="52"/>
  <c r="IO30" i="52"/>
  <c r="DN30" i="52"/>
  <c r="JB30" i="52"/>
  <c r="EA30" i="52"/>
  <c r="IO31" i="52"/>
  <c r="EM31" i="52"/>
  <c r="DN31" i="52"/>
  <c r="JB31" i="52"/>
  <c r="EA31" i="52"/>
  <c r="IB31" i="52"/>
  <c r="CN31" i="52"/>
  <c r="DA31" i="52"/>
  <c r="IB20" i="52"/>
  <c r="CN20" i="52"/>
  <c r="DA20" i="52"/>
  <c r="IA20" i="52"/>
  <c r="CM20" i="52"/>
  <c r="CZ20" i="52"/>
  <c r="EL34" i="52"/>
  <c r="DM34" i="52"/>
  <c r="IN34" i="52"/>
  <c r="IA32" i="52"/>
  <c r="CM32" i="52"/>
  <c r="IN32" i="52"/>
  <c r="DM32" i="52"/>
  <c r="EL32" i="52"/>
  <c r="IO22" i="52"/>
  <c r="DN22" i="52"/>
  <c r="EM22" i="52"/>
  <c r="JB22" i="52"/>
  <c r="EA22" i="52"/>
  <c r="IA19" i="52"/>
  <c r="CM19" i="52"/>
  <c r="IO34" i="52"/>
  <c r="EM34" i="52"/>
  <c r="DN34" i="52"/>
  <c r="IA21" i="52"/>
  <c r="CM21" i="52"/>
  <c r="CZ21" i="52"/>
  <c r="IO21" i="52"/>
  <c r="DN21" i="52"/>
  <c r="EM21" i="52"/>
  <c r="JB21" i="52"/>
  <c r="EA21" i="52"/>
  <c r="IB22" i="52"/>
  <c r="CN22" i="52"/>
  <c r="DA22" i="52"/>
  <c r="JA39" i="52"/>
  <c r="X21" i="66"/>
  <c r="DZ39" i="52"/>
  <c r="EL39" i="52"/>
  <c r="IN39" i="52"/>
  <c r="DM39" i="52"/>
  <c r="EM12" i="52"/>
  <c r="IO12" i="52"/>
  <c r="DN12" i="52"/>
  <c r="IB32" i="52"/>
  <c r="CN32" i="52"/>
  <c r="IA38" i="52"/>
  <c r="X20" i="66"/>
  <c r="CZ38" i="52"/>
  <c r="CM38" i="52"/>
  <c r="IN30" i="52"/>
  <c r="DM30" i="52"/>
  <c r="EL30" i="52"/>
  <c r="JA30" i="52"/>
  <c r="DZ30" i="52"/>
  <c r="IO19" i="52"/>
  <c r="EM19" i="52"/>
  <c r="DN19" i="52"/>
  <c r="IA39" i="52"/>
  <c r="X22" i="66"/>
  <c r="CZ39" i="52"/>
  <c r="CM39" i="52"/>
  <c r="IA22" i="52"/>
  <c r="CM22" i="52"/>
  <c r="CZ22" i="52"/>
  <c r="IB19" i="52"/>
  <c r="CN19" i="52"/>
  <c r="EL38" i="52"/>
  <c r="JA38" i="52"/>
  <c r="X19" i="66"/>
  <c r="DZ38" i="52"/>
  <c r="IN38" i="52"/>
  <c r="DM38" i="52"/>
  <c r="IN21" i="52"/>
  <c r="EL21" i="52"/>
  <c r="DM21" i="52"/>
  <c r="JA21" i="52"/>
  <c r="DZ21" i="52"/>
  <c r="IB21" i="52"/>
  <c r="CN21" i="52"/>
  <c r="DA21" i="52"/>
  <c r="IB14" i="52"/>
  <c r="Y14" i="66"/>
  <c r="IB30" i="52"/>
  <c r="CN30" i="52"/>
  <c r="DA30" i="52"/>
  <c r="EA20" i="52"/>
  <c r="DN20" i="52"/>
  <c r="IO20" i="52"/>
  <c r="EM20" i="52"/>
  <c r="JB20" i="52"/>
  <c r="JA22" i="52"/>
  <c r="IN22" i="52"/>
  <c r="DM22" i="52"/>
  <c r="EL22" i="52"/>
  <c r="DZ22" i="52"/>
  <c r="IA40" i="52"/>
  <c r="CM40" i="52"/>
  <c r="CZ40" i="52"/>
  <c r="IB34" i="52"/>
  <c r="CN34" i="52"/>
  <c r="HX28" i="52"/>
  <c r="CK27" i="52"/>
  <c r="IG27" i="52"/>
  <c r="IE22" i="52"/>
  <c r="IE35" i="52"/>
  <c r="IF27" i="52"/>
  <c r="DK27" i="52"/>
  <c r="T100" i="61"/>
  <c r="IG23" i="52"/>
  <c r="IC26" i="52"/>
  <c r="DY22" i="52"/>
  <c r="GB22" i="52"/>
  <c r="IC28" i="52"/>
  <c r="CJ37" i="52"/>
  <c r="S95" i="56"/>
  <c r="DW27" i="52"/>
  <c r="AD100" i="61"/>
  <c r="DX37" i="52"/>
  <c r="AE110" i="61"/>
  <c r="IG22" i="52"/>
  <c r="HX22" i="52"/>
  <c r="CX36" i="52"/>
  <c r="AE94" i="56"/>
  <c r="IC29" i="52"/>
  <c r="HX23" i="52"/>
  <c r="DE36" i="52"/>
  <c r="AJ94" i="56"/>
  <c r="DC23" i="52"/>
  <c r="DR36" i="52"/>
  <c r="Y109" i="61"/>
  <c r="DS26" i="52"/>
  <c r="Z99" i="61"/>
  <c r="IF23" i="52"/>
  <c r="IG26" i="52"/>
  <c r="HX27" i="52"/>
  <c r="HX29" i="52"/>
  <c r="EE23" i="52"/>
  <c r="AJ96" i="61"/>
  <c r="DW29" i="52"/>
  <c r="AD102" i="61"/>
  <c r="DL22" i="52"/>
  <c r="U95" i="61"/>
  <c r="DY29" i="52"/>
  <c r="GF29" i="52"/>
  <c r="CR36" i="52"/>
  <c r="Y94" i="56"/>
  <c r="DR23" i="52"/>
  <c r="Y96" i="61"/>
  <c r="EF26" i="52"/>
  <c r="AK99" i="61"/>
  <c r="DL29" i="52"/>
  <c r="U102" i="61"/>
  <c r="IG29" i="52"/>
  <c r="EE36" i="52"/>
  <c r="AJ109" i="61"/>
  <c r="CY37" i="52"/>
  <c r="CP27" i="52"/>
  <c r="DY27" i="52"/>
  <c r="AF100" i="61"/>
  <c r="DO37" i="52"/>
  <c r="V110" i="61"/>
  <c r="JL39" i="52"/>
  <c r="JR39" i="52"/>
  <c r="JQ39" i="52"/>
  <c r="JM39" i="52"/>
  <c r="JK39" i="52"/>
  <c r="JN39" i="52"/>
  <c r="JL40" i="52"/>
  <c r="JN40" i="52"/>
  <c r="JQ40" i="52"/>
  <c r="JR40" i="52"/>
  <c r="JK40" i="52"/>
  <c r="JM40" i="52"/>
  <c r="CX27" i="52"/>
  <c r="DO27" i="52"/>
  <c r="V100" i="61"/>
  <c r="DY36" i="52"/>
  <c r="AF109" i="61"/>
  <c r="JL38" i="52"/>
  <c r="JR38" i="52"/>
  <c r="JM38" i="52"/>
  <c r="JQ38" i="52"/>
  <c r="JN38" i="52"/>
  <c r="JK38" i="52"/>
  <c r="IF28" i="52"/>
  <c r="IG28" i="52"/>
  <c r="EB29" i="52"/>
  <c r="AG102" i="61"/>
  <c r="DL28" i="52"/>
  <c r="U101" i="61"/>
  <c r="DK20" i="52"/>
  <c r="T93" i="61"/>
  <c r="KL39" i="52"/>
  <c r="KH39" i="52"/>
  <c r="KK39" i="52"/>
  <c r="KG39" i="52"/>
  <c r="KF39" i="52"/>
  <c r="AT55" i="60"/>
  <c r="KE39" i="52"/>
  <c r="KF40" i="52"/>
  <c r="AT57" i="60"/>
  <c r="KE40" i="52"/>
  <c r="KL40" i="52"/>
  <c r="KH40" i="52"/>
  <c r="KK40" i="52"/>
  <c r="KG40" i="52"/>
  <c r="KB40" i="52"/>
  <c r="JX40" i="52"/>
  <c r="KA40" i="52"/>
  <c r="JW40" i="52"/>
  <c r="JV40" i="52"/>
  <c r="AQ57" i="60"/>
  <c r="JU40" i="52"/>
  <c r="JV39" i="52"/>
  <c r="AQ55" i="60"/>
  <c r="JU39" i="52"/>
  <c r="KB39" i="52"/>
  <c r="JX39" i="52"/>
  <c r="KA39" i="52"/>
  <c r="JW39" i="52"/>
  <c r="EB22" i="52"/>
  <c r="AG95" i="61"/>
  <c r="DL23" i="52"/>
  <c r="U96" i="61"/>
  <c r="DO22" i="52"/>
  <c r="V95" i="61"/>
  <c r="HX30" i="52"/>
  <c r="IF29" i="52"/>
  <c r="IE12" i="52"/>
  <c r="JS12" i="52"/>
  <c r="IE13" i="52"/>
  <c r="JS13" i="52"/>
  <c r="HX21" i="52"/>
  <c r="CS37" i="52"/>
  <c r="DL27" i="52"/>
  <c r="U100" i="61"/>
  <c r="DO29" i="52"/>
  <c r="V102" i="61"/>
  <c r="EB37" i="52"/>
  <c r="AG110" i="61"/>
  <c r="DQ26" i="52"/>
  <c r="X99" i="61"/>
  <c r="IC22" i="52"/>
  <c r="IC27" i="52"/>
  <c r="HX18" i="52"/>
  <c r="IE26" i="52"/>
  <c r="IE29" i="52"/>
  <c r="EB27" i="52"/>
  <c r="AG100" i="61"/>
  <c r="DJ23" i="52"/>
  <c r="S96" i="61"/>
  <c r="ED26" i="52"/>
  <c r="AI99" i="61"/>
  <c r="ID31" i="52"/>
  <c r="IM34" i="52"/>
  <c r="W49" i="60"/>
  <c r="EK34" i="52"/>
  <c r="IM32" i="52"/>
  <c r="W45" i="60"/>
  <c r="EK32" i="52"/>
  <c r="JD28" i="52"/>
  <c r="AJ37" i="60"/>
  <c r="EO28" i="52"/>
  <c r="JC36" i="52"/>
  <c r="EN36" i="52"/>
  <c r="JD22" i="52"/>
  <c r="AJ25" i="60"/>
  <c r="EO22" i="52"/>
  <c r="JD27" i="52"/>
  <c r="AJ35" i="60"/>
  <c r="EO27" i="52"/>
  <c r="JG28" i="52"/>
  <c r="AM37" i="60"/>
  <c r="ER28" i="52"/>
  <c r="JF29" i="52"/>
  <c r="AL39" i="60"/>
  <c r="EQ29" i="52"/>
  <c r="JF28" i="52"/>
  <c r="AL37" i="60"/>
  <c r="EQ28" i="52"/>
  <c r="DJ32" i="52"/>
  <c r="S105" i="61"/>
  <c r="EJ32" i="52"/>
  <c r="IX15" i="52"/>
  <c r="AF17" i="60"/>
  <c r="EJ15" i="52"/>
  <c r="IX20" i="52"/>
  <c r="AF21" i="60"/>
  <c r="EJ20" i="52"/>
  <c r="IX31" i="52"/>
  <c r="AF43" i="60"/>
  <c r="EJ31" i="52"/>
  <c r="IZ18" i="52"/>
  <c r="EK18" i="52"/>
  <c r="JD18" i="52"/>
  <c r="EO18" i="52"/>
  <c r="JE37" i="52"/>
  <c r="KM37" i="52"/>
  <c r="EP37" i="52"/>
  <c r="JD24" i="52"/>
  <c r="AJ29" i="60"/>
  <c r="EO24" i="52"/>
  <c r="JD37" i="52"/>
  <c r="EO37" i="52"/>
  <c r="JC28" i="52"/>
  <c r="AI37" i="60"/>
  <c r="EN28" i="52"/>
  <c r="IX29" i="52"/>
  <c r="AF39" i="60"/>
  <c r="EJ29" i="52"/>
  <c r="IX30" i="52"/>
  <c r="AF41" i="60"/>
  <c r="EJ30" i="52"/>
  <c r="DJ13" i="52"/>
  <c r="S86" i="61"/>
  <c r="EJ13" i="52"/>
  <c r="IM13" i="52"/>
  <c r="EK13" i="52"/>
  <c r="DJ33" i="52"/>
  <c r="S106" i="61"/>
  <c r="EJ33" i="52"/>
  <c r="DJ19" i="52"/>
  <c r="S92" i="61"/>
  <c r="EJ19" i="52"/>
  <c r="IX21" i="52"/>
  <c r="AF23" i="60"/>
  <c r="EJ21" i="52"/>
  <c r="DK28" i="52"/>
  <c r="T101" i="61"/>
  <c r="JG37" i="52"/>
  <c r="KI37" i="52"/>
  <c r="ER37" i="52"/>
  <c r="JC23" i="52"/>
  <c r="AI27" i="60"/>
  <c r="EN23" i="52"/>
  <c r="JG29" i="52"/>
  <c r="AM39" i="60"/>
  <c r="ER29" i="52"/>
  <c r="JF26" i="52"/>
  <c r="AL33" i="60"/>
  <c r="EQ26" i="52"/>
  <c r="JD36" i="52"/>
  <c r="EO36" i="52"/>
  <c r="JG22" i="52"/>
  <c r="AM25" i="60"/>
  <c r="ER22" i="52"/>
  <c r="JF27" i="52"/>
  <c r="AL35" i="60"/>
  <c r="EQ27" i="52"/>
  <c r="V40" i="66"/>
  <c r="DJ35" i="52"/>
  <c r="S108" i="61"/>
  <c r="EJ35" i="52"/>
  <c r="JD21" i="52"/>
  <c r="AJ23" i="60"/>
  <c r="EO21" i="52"/>
  <c r="JD26" i="52"/>
  <c r="AJ33" i="60"/>
  <c r="EO26" i="52"/>
  <c r="JG27" i="52"/>
  <c r="AM35" i="60"/>
  <c r="ER27" i="52"/>
  <c r="W40" i="66"/>
  <c r="JE28" i="52"/>
  <c r="AK37" i="60"/>
  <c r="EP28" i="52"/>
  <c r="IM19" i="52"/>
  <c r="W19" i="60"/>
  <c r="EK19" i="52"/>
  <c r="IM33" i="52"/>
  <c r="W47" i="60"/>
  <c r="EK33" i="52"/>
  <c r="IM17" i="52"/>
  <c r="EK17" i="52"/>
  <c r="DJ34" i="52"/>
  <c r="S107" i="61"/>
  <c r="EJ34" i="52"/>
  <c r="DJ17" i="52"/>
  <c r="S90" i="61"/>
  <c r="EJ17" i="52"/>
  <c r="IX18" i="52"/>
  <c r="EJ18" i="52"/>
  <c r="JE23" i="52"/>
  <c r="AK27" i="60"/>
  <c r="EP23" i="52"/>
  <c r="JE27" i="52"/>
  <c r="AK35" i="60"/>
  <c r="EP27" i="52"/>
  <c r="JD20" i="52"/>
  <c r="AJ21" i="60"/>
  <c r="EO20" i="52"/>
  <c r="JG36" i="52"/>
  <c r="KI36" i="52"/>
  <c r="ER36" i="52"/>
  <c r="JD29" i="52"/>
  <c r="AJ39" i="60"/>
  <c r="EO29" i="52"/>
  <c r="JF37" i="52"/>
  <c r="EQ37" i="52"/>
  <c r="JE22" i="52"/>
  <c r="AK25" i="60"/>
  <c r="EP22" i="52"/>
  <c r="JE29" i="52"/>
  <c r="AK39" i="60"/>
  <c r="EP29" i="52"/>
  <c r="IM35" i="52"/>
  <c r="W51" i="60"/>
  <c r="EK35" i="52"/>
  <c r="JD25" i="52"/>
  <c r="AJ31" i="60"/>
  <c r="EO25" i="52"/>
  <c r="JD23" i="52"/>
  <c r="AJ27" i="60"/>
  <c r="EO23" i="52"/>
  <c r="JG23" i="52"/>
  <c r="AM27" i="60"/>
  <c r="ER23" i="52"/>
  <c r="JE36" i="52"/>
  <c r="KM36" i="52"/>
  <c r="EP36" i="52"/>
  <c r="JC26" i="52"/>
  <c r="AI33" i="60"/>
  <c r="EN26" i="52"/>
  <c r="EN18" i="52"/>
  <c r="Y57" i="60"/>
  <c r="Y58" i="60"/>
  <c r="X57" i="60"/>
  <c r="X58" i="60"/>
  <c r="Y55" i="60"/>
  <c r="Y56" i="60"/>
  <c r="X55" i="60"/>
  <c r="X56" i="60"/>
  <c r="GL40" i="52"/>
  <c r="GM40" i="52"/>
  <c r="GJ40" i="52"/>
  <c r="GP40" i="52"/>
  <c r="GQ40" i="52"/>
  <c r="EW40" i="52"/>
  <c r="EX40" i="52"/>
  <c r="EY40" i="52"/>
  <c r="CT40" i="52"/>
  <c r="GK40" i="52"/>
  <c r="FB40" i="52"/>
  <c r="FC40" i="52"/>
  <c r="EV40" i="52"/>
  <c r="EZ40" i="52"/>
  <c r="GN40" i="52"/>
  <c r="HB40" i="52"/>
  <c r="FN40" i="52"/>
  <c r="IH40" i="52"/>
  <c r="GD40" i="52"/>
  <c r="HR40" i="52"/>
  <c r="IV40" i="52"/>
  <c r="EH40" i="52"/>
  <c r="AM113" i="61"/>
  <c r="JI40" i="52"/>
  <c r="AO57" i="60"/>
  <c r="DU40" i="52"/>
  <c r="AB113" i="61"/>
  <c r="FV40" i="52"/>
  <c r="FW40" i="52"/>
  <c r="HD40" i="52"/>
  <c r="HF40" i="52"/>
  <c r="HG40" i="52"/>
  <c r="FQ40" i="52"/>
  <c r="AO113" i="61"/>
  <c r="DT40" i="52"/>
  <c r="AA113" i="61"/>
  <c r="HJ40" i="52"/>
  <c r="HK40" i="52"/>
  <c r="HE40" i="52"/>
  <c r="FR40" i="52"/>
  <c r="FS40" i="52"/>
  <c r="FP40" i="52"/>
  <c r="JH40" i="52"/>
  <c r="IU40" i="52"/>
  <c r="AC57" i="60"/>
  <c r="GU40" i="52"/>
  <c r="GW40" i="52"/>
  <c r="HA40" i="52"/>
  <c r="FI40" i="52"/>
  <c r="GZ40" i="52"/>
  <c r="FG40" i="52"/>
  <c r="DG40" i="52"/>
  <c r="GT40" i="52"/>
  <c r="FH40" i="52"/>
  <c r="FL40" i="52"/>
  <c r="FF40" i="52"/>
  <c r="FM40" i="52"/>
  <c r="GV40" i="52"/>
  <c r="GX40" i="52"/>
  <c r="FJ40" i="52"/>
  <c r="FD40" i="52"/>
  <c r="GR40" i="52"/>
  <c r="GC40" i="52"/>
  <c r="HU40" i="52"/>
  <c r="HP40" i="52"/>
  <c r="GG40" i="52"/>
  <c r="FZ40" i="52"/>
  <c r="HN40" i="52"/>
  <c r="EG40" i="52"/>
  <c r="AL113" i="61"/>
  <c r="HO40" i="52"/>
  <c r="GF40" i="52"/>
  <c r="GA40" i="52"/>
  <c r="AR113" i="61"/>
  <c r="HT40" i="52"/>
  <c r="GB40" i="52"/>
  <c r="HQ40" i="52"/>
  <c r="JJ40" i="52"/>
  <c r="AP57" i="60"/>
  <c r="DV40" i="52"/>
  <c r="AC113" i="61"/>
  <c r="IW40" i="52"/>
  <c r="EI40" i="52"/>
  <c r="AN113" i="61"/>
  <c r="IJ40" i="52"/>
  <c r="AP58" i="60"/>
  <c r="DI40" i="52"/>
  <c r="CV40" i="52"/>
  <c r="II40" i="52"/>
  <c r="AO58" i="60"/>
  <c r="DH40" i="52"/>
  <c r="CU40" i="52"/>
  <c r="HH40" i="52"/>
  <c r="FT40" i="52"/>
  <c r="FX40" i="52"/>
  <c r="HL40" i="52"/>
  <c r="HV40" i="52"/>
  <c r="GH40" i="52"/>
  <c r="GR39" i="52"/>
  <c r="FD39" i="52"/>
  <c r="EX39" i="52"/>
  <c r="EY39" i="52"/>
  <c r="CT39" i="52"/>
  <c r="GK39" i="52"/>
  <c r="FB39" i="52"/>
  <c r="FC39" i="52"/>
  <c r="EV39" i="52"/>
  <c r="GL39" i="52"/>
  <c r="GM39" i="52"/>
  <c r="GJ39" i="52"/>
  <c r="GP39" i="52"/>
  <c r="GQ39" i="52"/>
  <c r="EW39" i="52"/>
  <c r="DH39" i="52"/>
  <c r="CU39" i="52"/>
  <c r="DV39" i="52"/>
  <c r="AC112" i="61"/>
  <c r="GF39" i="52"/>
  <c r="GG39" i="52"/>
  <c r="HN39" i="52"/>
  <c r="HP39" i="52"/>
  <c r="HQ39" i="52"/>
  <c r="GC39" i="52"/>
  <c r="HU39" i="52"/>
  <c r="HO39" i="52"/>
  <c r="FZ39" i="52"/>
  <c r="GA39" i="52"/>
  <c r="AR112" i="61"/>
  <c r="GB39" i="52"/>
  <c r="HT39" i="52"/>
  <c r="DU39" i="52"/>
  <c r="AB112" i="61"/>
  <c r="HV39" i="52"/>
  <c r="GH39" i="52"/>
  <c r="FN39" i="52"/>
  <c r="HB39" i="52"/>
  <c r="CV39" i="52"/>
  <c r="DI39" i="52"/>
  <c r="FJ39" i="52"/>
  <c r="GX39" i="52"/>
  <c r="FR39" i="52"/>
  <c r="FS39" i="52"/>
  <c r="FP39" i="52"/>
  <c r="FV39" i="52"/>
  <c r="FW39" i="52"/>
  <c r="HD39" i="52"/>
  <c r="HF39" i="52"/>
  <c r="HG39" i="52"/>
  <c r="FQ39" i="52"/>
  <c r="AO112" i="61"/>
  <c r="HJ39" i="52"/>
  <c r="HK39" i="52"/>
  <c r="HE39" i="52"/>
  <c r="GV39" i="52"/>
  <c r="FL39" i="52"/>
  <c r="FH39" i="52"/>
  <c r="GU39" i="52"/>
  <c r="GZ39" i="52"/>
  <c r="FG39" i="52"/>
  <c r="GT39" i="52"/>
  <c r="HA39" i="52"/>
  <c r="FM39" i="52"/>
  <c r="FF39" i="52"/>
  <c r="GW39" i="52"/>
  <c r="FI39" i="52"/>
  <c r="EZ39" i="52"/>
  <c r="GN39" i="52"/>
  <c r="FX39" i="52"/>
  <c r="HL39" i="52"/>
  <c r="HR38" i="52"/>
  <c r="GD38" i="52"/>
  <c r="GZ38" i="52"/>
  <c r="FH38" i="52"/>
  <c r="FM38" i="52"/>
  <c r="DG38" i="52"/>
  <c r="FG38" i="52"/>
  <c r="HA38" i="52"/>
  <c r="FL38" i="52"/>
  <c r="GV38" i="52"/>
  <c r="GT38" i="52"/>
  <c r="FF38" i="52"/>
  <c r="GU38" i="52"/>
  <c r="FI38" i="52"/>
  <c r="GW38" i="52"/>
  <c r="FJ38" i="52"/>
  <c r="GX38" i="52"/>
  <c r="IH38" i="52"/>
  <c r="IU38" i="52"/>
  <c r="AC53" i="60"/>
  <c r="JH38" i="52"/>
  <c r="HH38" i="52"/>
  <c r="FT38" i="52"/>
  <c r="EY38" i="52"/>
  <c r="IJ38" i="52"/>
  <c r="AP54" i="60"/>
  <c r="CV38" i="52"/>
  <c r="DI38" i="52"/>
  <c r="II38" i="52"/>
  <c r="AO54" i="60"/>
  <c r="DH38" i="52"/>
  <c r="CU38" i="52"/>
  <c r="EI38" i="52"/>
  <c r="AN111" i="61"/>
  <c r="DV38" i="52"/>
  <c r="AC111" i="61"/>
  <c r="JI38" i="52"/>
  <c r="AO53" i="60"/>
  <c r="IV38" i="52"/>
  <c r="EH38" i="52"/>
  <c r="AM111" i="61"/>
  <c r="DU38" i="52"/>
  <c r="AB111" i="61"/>
  <c r="EZ38" i="52"/>
  <c r="GN38" i="52"/>
  <c r="HB38" i="52"/>
  <c r="FN38" i="52"/>
  <c r="IW38" i="52"/>
  <c r="JJ38" i="52"/>
  <c r="AP53" i="60"/>
  <c r="FX38" i="52"/>
  <c r="HL38" i="52"/>
  <c r="GH38" i="52"/>
  <c r="HV38" i="52"/>
  <c r="AH100" i="61"/>
  <c r="AH95" i="61"/>
  <c r="AG101" i="61"/>
  <c r="IC30" i="52"/>
  <c r="IE20" i="52"/>
  <c r="HX13" i="52"/>
  <c r="IC24" i="52"/>
  <c r="IG15" i="52"/>
  <c r="IE18" i="52"/>
  <c r="JS18" i="52"/>
  <c r="IG17" i="52"/>
  <c r="JO17" i="52"/>
  <c r="IF25" i="52"/>
  <c r="IF16" i="52"/>
  <c r="IF30" i="52"/>
  <c r="IG30" i="52"/>
  <c r="HX16" i="52"/>
  <c r="IC13" i="52"/>
  <c r="IE17" i="52"/>
  <c r="JS17" i="52"/>
  <c r="IF18" i="52"/>
  <c r="IF21" i="52"/>
  <c r="IC23" i="52"/>
  <c r="IE32" i="52"/>
  <c r="IC14" i="52"/>
  <c r="IC16" i="52"/>
  <c r="IG31" i="52"/>
  <c r="IF13" i="52"/>
  <c r="IL34" i="52"/>
  <c r="V49" i="60"/>
  <c r="IL31" i="52"/>
  <c r="V43" i="60"/>
  <c r="IY31" i="52"/>
  <c r="AG43" i="60"/>
  <c r="IL18" i="52"/>
  <c r="T93" i="56"/>
  <c r="IY18" i="52"/>
  <c r="IL21" i="52"/>
  <c r="V23" i="60"/>
  <c r="IY21" i="52"/>
  <c r="AG23" i="60"/>
  <c r="IL32" i="52"/>
  <c r="V45" i="60"/>
  <c r="IL33" i="52"/>
  <c r="V47" i="60"/>
  <c r="IY36" i="52"/>
  <c r="IL36" i="52"/>
  <c r="T94" i="56"/>
  <c r="IL27" i="52"/>
  <c r="V35" i="60"/>
  <c r="IY27" i="52"/>
  <c r="AG35" i="60"/>
  <c r="IL35" i="52"/>
  <c r="V51" i="60"/>
  <c r="IY14" i="52"/>
  <c r="AG15" i="60"/>
  <c r="IL14" i="52"/>
  <c r="IL30" i="52"/>
  <c r="V41" i="60"/>
  <c r="IY30" i="52"/>
  <c r="AG41" i="60"/>
  <c r="IL23" i="52"/>
  <c r="V27" i="60"/>
  <c r="IY23" i="52"/>
  <c r="AG27" i="60"/>
  <c r="IL22" i="52"/>
  <c r="V25" i="60"/>
  <c r="IY22" i="52"/>
  <c r="AG25" i="60"/>
  <c r="IL29" i="52"/>
  <c r="V39" i="60"/>
  <c r="IY29" i="52"/>
  <c r="AG39" i="60"/>
  <c r="IL28" i="52"/>
  <c r="V37" i="60"/>
  <c r="IY28" i="52"/>
  <c r="AG37" i="60"/>
  <c r="IL20" i="52"/>
  <c r="V21" i="60"/>
  <c r="IY20" i="52"/>
  <c r="AG21" i="60"/>
  <c r="IL26" i="52"/>
  <c r="V33" i="60"/>
  <c r="IY26" i="52"/>
  <c r="AG33" i="60"/>
  <c r="CX37" i="52"/>
  <c r="AE95" i="56"/>
  <c r="IY37" i="52"/>
  <c r="IL37" i="52"/>
  <c r="T95" i="56"/>
  <c r="IL12" i="52"/>
  <c r="T89" i="56"/>
  <c r="IM15" i="52"/>
  <c r="IZ15" i="52"/>
  <c r="AH17" i="60"/>
  <c r="IR14" i="52"/>
  <c r="JE14" i="52"/>
  <c r="AK15" i="60"/>
  <c r="IM24" i="52"/>
  <c r="W29" i="60"/>
  <c r="IZ24" i="52"/>
  <c r="AH29" i="60"/>
  <c r="IR15" i="52"/>
  <c r="JE15" i="52"/>
  <c r="AK17" i="60"/>
  <c r="IR21" i="52"/>
  <c r="JE21" i="52"/>
  <c r="AK23" i="60"/>
  <c r="IM20" i="52"/>
  <c r="W21" i="60"/>
  <c r="IZ20" i="52"/>
  <c r="AH21" i="60"/>
  <c r="IP21" i="52"/>
  <c r="X23" i="60"/>
  <c r="JC21" i="52"/>
  <c r="AI23" i="60"/>
  <c r="IM30" i="52"/>
  <c r="W41" i="60"/>
  <c r="IZ30" i="52"/>
  <c r="AH41" i="60"/>
  <c r="IR24" i="52"/>
  <c r="JE24" i="52"/>
  <c r="AK29" i="60"/>
  <c r="IP15" i="52"/>
  <c r="X17" i="60"/>
  <c r="JC15" i="52"/>
  <c r="AI17" i="60"/>
  <c r="DJ26" i="52"/>
  <c r="S99" i="61"/>
  <c r="IX26" i="52"/>
  <c r="AF33" i="60"/>
  <c r="IS30" i="52"/>
  <c r="AA41" i="60"/>
  <c r="JF30" i="52"/>
  <c r="AL41" i="60"/>
  <c r="IP14" i="52"/>
  <c r="X15" i="60"/>
  <c r="JC14" i="52"/>
  <c r="AI15" i="60"/>
  <c r="IS24" i="52"/>
  <c r="AA29" i="60"/>
  <c r="JF24" i="52"/>
  <c r="AL29" i="60"/>
  <c r="IM21" i="52"/>
  <c r="W23" i="60"/>
  <c r="IZ21" i="52"/>
  <c r="AH23" i="60"/>
  <c r="IS31" i="52"/>
  <c r="AA43" i="60"/>
  <c r="JF31" i="52"/>
  <c r="AL43" i="60"/>
  <c r="IP24" i="52"/>
  <c r="X29" i="60"/>
  <c r="JC24" i="52"/>
  <c r="AI29" i="60"/>
  <c r="IS21" i="52"/>
  <c r="AA23" i="60"/>
  <c r="JF21" i="52"/>
  <c r="AL23" i="60"/>
  <c r="IM37" i="52"/>
  <c r="IZ37" i="52"/>
  <c r="IM23" i="52"/>
  <c r="W27" i="60"/>
  <c r="IZ23" i="52"/>
  <c r="AH27" i="60"/>
  <c r="DW23" i="52"/>
  <c r="AD96" i="61"/>
  <c r="IX23" i="52"/>
  <c r="AF27" i="60"/>
  <c r="IP22" i="52"/>
  <c r="X25" i="60"/>
  <c r="JC22" i="52"/>
  <c r="AI25" i="60"/>
  <c r="IM27" i="52"/>
  <c r="W35" i="60"/>
  <c r="IZ27" i="52"/>
  <c r="AH35" i="60"/>
  <c r="IM28" i="52"/>
  <c r="W37" i="60"/>
  <c r="IZ28" i="52"/>
  <c r="AH37" i="60"/>
  <c r="IP27" i="52"/>
  <c r="X35" i="60"/>
  <c r="JC27" i="52"/>
  <c r="AI35" i="60"/>
  <c r="IP29" i="52"/>
  <c r="X39" i="60"/>
  <c r="JC29" i="52"/>
  <c r="AI39" i="60"/>
  <c r="IP37" i="52"/>
  <c r="JC37" i="52"/>
  <c r="IR26" i="52"/>
  <c r="JE26" i="52"/>
  <c r="AK33" i="60"/>
  <c r="IT20" i="52"/>
  <c r="JG20" i="52"/>
  <c r="AM21" i="60"/>
  <c r="IR25" i="52"/>
  <c r="JE25" i="52"/>
  <c r="AK31" i="60"/>
  <c r="IR31" i="52"/>
  <c r="JE31" i="52"/>
  <c r="AK43" i="60"/>
  <c r="IP31" i="52"/>
  <c r="X43" i="60"/>
  <c r="JC31" i="52"/>
  <c r="AI43" i="60"/>
  <c r="IS15" i="52"/>
  <c r="AA17" i="60"/>
  <c r="JF15" i="52"/>
  <c r="AL17" i="60"/>
  <c r="IP25" i="52"/>
  <c r="X31" i="60"/>
  <c r="JC25" i="52"/>
  <c r="AI31" i="60"/>
  <c r="IP20" i="52"/>
  <c r="X21" i="60"/>
  <c r="JC20" i="52"/>
  <c r="AI21" i="60"/>
  <c r="IR30" i="52"/>
  <c r="JE30" i="52"/>
  <c r="AK41" i="60"/>
  <c r="IT21" i="52"/>
  <c r="JG21" i="52"/>
  <c r="AM23" i="60"/>
  <c r="IS20" i="52"/>
  <c r="AA21" i="60"/>
  <c r="JF20" i="52"/>
  <c r="AL21" i="60"/>
  <c r="IQ31" i="52"/>
  <c r="Y43" i="60"/>
  <c r="JD31" i="52"/>
  <c r="AJ43" i="60"/>
  <c r="DJ27" i="52"/>
  <c r="S100" i="61"/>
  <c r="IX27" i="52"/>
  <c r="AF35" i="60"/>
  <c r="IM36" i="52"/>
  <c r="IZ36" i="52"/>
  <c r="IS23" i="52"/>
  <c r="AA27" i="60"/>
  <c r="JF23" i="52"/>
  <c r="AL27" i="60"/>
  <c r="IS36" i="52"/>
  <c r="JF36" i="52"/>
  <c r="IM22" i="52"/>
  <c r="W25" i="60"/>
  <c r="IZ22" i="52"/>
  <c r="AH25" i="60"/>
  <c r="IT26" i="52"/>
  <c r="JG26" i="52"/>
  <c r="AM33" i="60"/>
  <c r="IM29" i="52"/>
  <c r="W39" i="60"/>
  <c r="IZ29" i="52"/>
  <c r="AH39" i="60"/>
  <c r="IP30" i="52"/>
  <c r="X41" i="60"/>
  <c r="JC30" i="52"/>
  <c r="AI41" i="60"/>
  <c r="IM31" i="52"/>
  <c r="W43" i="60"/>
  <c r="IZ31" i="52"/>
  <c r="AH43" i="60"/>
  <c r="IR20" i="52"/>
  <c r="JE20" i="52"/>
  <c r="AK21" i="60"/>
  <c r="IS25" i="52"/>
  <c r="AA31" i="60"/>
  <c r="JF25" i="52"/>
  <c r="AL31" i="60"/>
  <c r="IT31" i="52"/>
  <c r="JG31" i="52"/>
  <c r="AM43" i="60"/>
  <c r="IT30" i="52"/>
  <c r="JG30" i="52"/>
  <c r="AM41" i="60"/>
  <c r="IT15" i="52"/>
  <c r="JG15" i="52"/>
  <c r="AM17" i="60"/>
  <c r="IS14" i="52"/>
  <c r="AA15" i="60"/>
  <c r="JF14" i="52"/>
  <c r="AL15" i="60"/>
  <c r="IM25" i="52"/>
  <c r="W31" i="60"/>
  <c r="IZ25" i="52"/>
  <c r="AH31" i="60"/>
  <c r="IS18" i="52"/>
  <c r="JF18" i="52"/>
  <c r="IR18" i="52"/>
  <c r="KC18" i="52"/>
  <c r="JE18" i="52"/>
  <c r="KM18" i="52"/>
  <c r="IQ30" i="52"/>
  <c r="Y41" i="60"/>
  <c r="JD30" i="52"/>
  <c r="AJ41" i="60"/>
  <c r="DW37" i="52"/>
  <c r="AD110" i="61"/>
  <c r="IX37" i="52"/>
  <c r="IM26" i="52"/>
  <c r="W33" i="60"/>
  <c r="IZ26" i="52"/>
  <c r="AH33" i="60"/>
  <c r="DJ22" i="52"/>
  <c r="S95" i="61"/>
  <c r="IX22" i="52"/>
  <c r="AF25" i="60"/>
  <c r="DW28" i="52"/>
  <c r="AD101" i="61"/>
  <c r="IX28" i="52"/>
  <c r="AF37" i="60"/>
  <c r="IS22" i="52"/>
  <c r="AA25" i="60"/>
  <c r="JF22" i="52"/>
  <c r="AL25" i="60"/>
  <c r="JC18" i="52"/>
  <c r="DR32" i="52"/>
  <c r="Y105" i="61"/>
  <c r="IS32" i="52"/>
  <c r="AA45" i="60"/>
  <c r="DQ16" i="52"/>
  <c r="X89" i="61"/>
  <c r="IR16" i="52"/>
  <c r="KC16" i="52"/>
  <c r="DS33" i="52"/>
  <c r="Z106" i="61"/>
  <c r="IT33" i="52"/>
  <c r="DO19" i="52"/>
  <c r="V92" i="61"/>
  <c r="IP19" i="52"/>
  <c r="X19" i="60"/>
  <c r="DS13" i="52"/>
  <c r="Z86" i="61"/>
  <c r="IT13" i="52"/>
  <c r="JY13" i="52"/>
  <c r="DS34" i="52"/>
  <c r="Z107" i="61"/>
  <c r="IT34" i="52"/>
  <c r="DR12" i="52"/>
  <c r="Y85" i="61"/>
  <c r="IS12" i="52"/>
  <c r="DR19" i="52"/>
  <c r="Y92" i="61"/>
  <c r="IS19" i="52"/>
  <c r="AA19" i="60"/>
  <c r="AT18" i="52"/>
  <c r="ES18" i="52"/>
  <c r="IM18" i="52"/>
  <c r="DP34" i="52"/>
  <c r="IQ34" i="52"/>
  <c r="Y49" i="60"/>
  <c r="ED23" i="52"/>
  <c r="AI96" i="61"/>
  <c r="IR23" i="52"/>
  <c r="DQ27" i="52"/>
  <c r="X100" i="61"/>
  <c r="IR27" i="52"/>
  <c r="DP20" i="52"/>
  <c r="IQ20" i="52"/>
  <c r="Y21" i="60"/>
  <c r="EF36" i="52"/>
  <c r="AK109" i="61"/>
  <c r="IT36" i="52"/>
  <c r="JY36" i="52"/>
  <c r="DP29" i="52"/>
  <c r="IQ29" i="52"/>
  <c r="Y39" i="60"/>
  <c r="EE37" i="52"/>
  <c r="AJ110" i="61"/>
  <c r="IS37" i="52"/>
  <c r="ED22" i="52"/>
  <c r="AI95" i="61"/>
  <c r="IR22" i="52"/>
  <c r="DR35" i="52"/>
  <c r="Y108" i="61"/>
  <c r="IS35" i="52"/>
  <c r="AA51" i="60"/>
  <c r="ED29" i="52"/>
  <c r="AI102" i="61"/>
  <c r="IR29" i="52"/>
  <c r="EC25" i="52"/>
  <c r="IQ25" i="52"/>
  <c r="Y31" i="60"/>
  <c r="DP16" i="52"/>
  <c r="IQ16" i="52"/>
  <c r="DP23" i="52"/>
  <c r="IQ23" i="52"/>
  <c r="Y27" i="60"/>
  <c r="DS23" i="52"/>
  <c r="Z96" i="61"/>
  <c r="IT23" i="52"/>
  <c r="DQ35" i="52"/>
  <c r="X108" i="61"/>
  <c r="IR35" i="52"/>
  <c r="DS35" i="52"/>
  <c r="Z108" i="61"/>
  <c r="IT35" i="52"/>
  <c r="DQ36" i="52"/>
  <c r="X109" i="61"/>
  <c r="IR36" i="52"/>
  <c r="KC36" i="52"/>
  <c r="DO26" i="52"/>
  <c r="V99" i="61"/>
  <c r="IP26" i="52"/>
  <c r="X33" i="60"/>
  <c r="DQ12" i="52"/>
  <c r="X85" i="61"/>
  <c r="IR12" i="52"/>
  <c r="KC12" i="52"/>
  <c r="DO34" i="52"/>
  <c r="V107" i="61"/>
  <c r="IP34" i="52"/>
  <c r="X49" i="60"/>
  <c r="DQ13" i="52"/>
  <c r="X86" i="61"/>
  <c r="IR13" i="52"/>
  <c r="KC13" i="52"/>
  <c r="DO17" i="52"/>
  <c r="V90" i="61"/>
  <c r="IP17" i="52"/>
  <c r="DQ19" i="52"/>
  <c r="X92" i="61"/>
  <c r="IR19" i="52"/>
  <c r="DQ32" i="52"/>
  <c r="X105" i="61"/>
  <c r="IR32" i="52"/>
  <c r="DO13" i="52"/>
  <c r="V86" i="61"/>
  <c r="IP13" i="52"/>
  <c r="DP19" i="52"/>
  <c r="IQ19" i="52"/>
  <c r="Y19" i="60"/>
  <c r="DP33" i="52"/>
  <c r="IQ33" i="52"/>
  <c r="Y47" i="60"/>
  <c r="EC28" i="52"/>
  <c r="IQ28" i="52"/>
  <c r="Y37" i="60"/>
  <c r="EB36" i="52"/>
  <c r="IP36" i="52"/>
  <c r="DP22" i="52"/>
  <c r="IQ22" i="52"/>
  <c r="Y25" i="60"/>
  <c r="DP27" i="52"/>
  <c r="IQ27" i="52"/>
  <c r="Y35" i="60"/>
  <c r="DS28" i="52"/>
  <c r="Z101" i="61"/>
  <c r="IT28" i="52"/>
  <c r="DR29" i="52"/>
  <c r="Y102" i="61"/>
  <c r="IS29" i="52"/>
  <c r="AA39" i="60"/>
  <c r="DP17" i="52"/>
  <c r="IQ17" i="52"/>
  <c r="DR28" i="52"/>
  <c r="Y101" i="61"/>
  <c r="IS28" i="52"/>
  <c r="AA37" i="60"/>
  <c r="DO32" i="52"/>
  <c r="V105" i="61"/>
  <c r="IP32" i="52"/>
  <c r="X45" i="60"/>
  <c r="DO12" i="52"/>
  <c r="V85" i="61"/>
  <c r="IP12" i="52"/>
  <c r="DS32" i="52"/>
  <c r="Z105" i="61"/>
  <c r="IT32" i="52"/>
  <c r="DR33" i="52"/>
  <c r="Y106" i="61"/>
  <c r="IS33" i="52"/>
  <c r="AA47" i="60"/>
  <c r="DQ34" i="52"/>
  <c r="X107" i="61"/>
  <c r="IR34" i="52"/>
  <c r="DR17" i="52"/>
  <c r="Y90" i="61"/>
  <c r="IS17" i="52"/>
  <c r="DP32" i="52"/>
  <c r="IQ32" i="52"/>
  <c r="Y45" i="60"/>
  <c r="EC18" i="52"/>
  <c r="IQ18" i="52"/>
  <c r="DQ37" i="52"/>
  <c r="X110" i="61"/>
  <c r="IR37" i="52"/>
  <c r="KC37" i="52"/>
  <c r="DP24" i="52"/>
  <c r="IQ24" i="52"/>
  <c r="Y29" i="60"/>
  <c r="DP37" i="52"/>
  <c r="IQ37" i="52"/>
  <c r="DO28" i="52"/>
  <c r="V101" i="61"/>
  <c r="IP28" i="52"/>
  <c r="X37" i="60"/>
  <c r="DP35" i="52"/>
  <c r="IQ35" i="52"/>
  <c r="Y51" i="60"/>
  <c r="DO35" i="52"/>
  <c r="V108" i="61"/>
  <c r="IP35" i="52"/>
  <c r="X51" i="60"/>
  <c r="DS16" i="52"/>
  <c r="Z89" i="61"/>
  <c r="IT16" i="52"/>
  <c r="JY16" i="52"/>
  <c r="DQ33" i="52"/>
  <c r="X106" i="61"/>
  <c r="IR33" i="52"/>
  <c r="DO33" i="52"/>
  <c r="V106" i="61"/>
  <c r="IP33" i="52"/>
  <c r="X47" i="60"/>
  <c r="DR13" i="52"/>
  <c r="Y86" i="61"/>
  <c r="IS13" i="52"/>
  <c r="DS19" i="52"/>
  <c r="Z92" i="61"/>
  <c r="IT19" i="52"/>
  <c r="DQ17" i="52"/>
  <c r="X90" i="61"/>
  <c r="IR17" i="52"/>
  <c r="KC17" i="52"/>
  <c r="DO16" i="52"/>
  <c r="V89" i="61"/>
  <c r="IP16" i="52"/>
  <c r="DR34" i="52"/>
  <c r="Y107" i="61"/>
  <c r="IS34" i="52"/>
  <c r="AA49" i="60"/>
  <c r="DS17" i="52"/>
  <c r="Z90" i="61"/>
  <c r="IT17" i="52"/>
  <c r="JY17" i="52"/>
  <c r="DR16" i="52"/>
  <c r="Y89" i="61"/>
  <c r="IS16" i="52"/>
  <c r="EF37" i="52"/>
  <c r="AK110" i="61"/>
  <c r="IT37" i="52"/>
  <c r="JY37" i="52"/>
  <c r="DO23" i="52"/>
  <c r="V96" i="61"/>
  <c r="IP23" i="52"/>
  <c r="X27" i="60"/>
  <c r="DS29" i="52"/>
  <c r="Z102" i="61"/>
  <c r="IT29" i="52"/>
  <c r="AU26" i="52"/>
  <c r="ET26" i="52"/>
  <c r="IS26" i="52"/>
  <c r="AA33" i="60"/>
  <c r="DP36" i="52"/>
  <c r="IQ36" i="52"/>
  <c r="DS22" i="52"/>
  <c r="Z95" i="61"/>
  <c r="IT22" i="52"/>
  <c r="DR27" i="52"/>
  <c r="Y100" i="61"/>
  <c r="IS27" i="52"/>
  <c r="AA35" i="60"/>
  <c r="DP21" i="52"/>
  <c r="IQ21" i="52"/>
  <c r="Y23" i="60"/>
  <c r="DP26" i="52"/>
  <c r="IQ26" i="52"/>
  <c r="Y33" i="60"/>
  <c r="DS27" i="52"/>
  <c r="Z100" i="61"/>
  <c r="IT27" i="52"/>
  <c r="DQ28" i="52"/>
  <c r="X101" i="61"/>
  <c r="IR28" i="52"/>
  <c r="IP18" i="52"/>
  <c r="HX20" i="52"/>
  <c r="HX26" i="52"/>
  <c r="IC15" i="52"/>
  <c r="IE21" i="52"/>
  <c r="IG13" i="52"/>
  <c r="JO13" i="52"/>
  <c r="IE27" i="52"/>
  <c r="IE15" i="52"/>
  <c r="AD15" i="52"/>
  <c r="IE14" i="52"/>
  <c r="IE16" i="52"/>
  <c r="JS16" i="52"/>
  <c r="HX15" i="52"/>
  <c r="IE23" i="52"/>
  <c r="AD13" i="52"/>
  <c r="IF17" i="52"/>
  <c r="IC12" i="52"/>
  <c r="IG20" i="52"/>
  <c r="AT31" i="52"/>
  <c r="ES31" i="52"/>
  <c r="T43" i="60"/>
  <c r="DP25" i="52"/>
  <c r="AD36" i="52"/>
  <c r="AD37" i="52"/>
  <c r="IE34" i="52"/>
  <c r="IG21" i="52"/>
  <c r="IF20" i="52"/>
  <c r="IC31" i="52"/>
  <c r="IC25" i="52"/>
  <c r="IE30" i="52"/>
  <c r="IC20" i="52"/>
  <c r="IF15" i="52"/>
  <c r="AT21" i="52"/>
  <c r="ES21" i="52"/>
  <c r="T23" i="60"/>
  <c r="IG37" i="52"/>
  <c r="JO37" i="52"/>
  <c r="AT27" i="52"/>
  <c r="ES27" i="52"/>
  <c r="T35" i="60"/>
  <c r="IG16" i="52"/>
  <c r="JO16" i="52"/>
  <c r="AT15" i="52"/>
  <c r="AT20" i="52"/>
  <c r="ES20" i="52"/>
  <c r="T21" i="60"/>
  <c r="AT30" i="52"/>
  <c r="ES30" i="52"/>
  <c r="T41" i="60"/>
  <c r="AT22" i="52"/>
  <c r="ES22" i="52"/>
  <c r="T25" i="60"/>
  <c r="AT29" i="52"/>
  <c r="ES29" i="52"/>
  <c r="T39" i="60"/>
  <c r="CR19" i="52"/>
  <c r="IF19" i="52"/>
  <c r="CR34" i="52"/>
  <c r="IF34" i="52"/>
  <c r="CR32" i="52"/>
  <c r="IF32" i="52"/>
  <c r="CS32" i="52"/>
  <c r="IG32" i="52"/>
  <c r="CR35" i="52"/>
  <c r="IF35" i="52"/>
  <c r="CS19" i="52"/>
  <c r="EZ19" i="52"/>
  <c r="IG19" i="52"/>
  <c r="CS34" i="52"/>
  <c r="IG34" i="52"/>
  <c r="CR33" i="52"/>
  <c r="IF33" i="52"/>
  <c r="CS33" i="52"/>
  <c r="IG33" i="52"/>
  <c r="CS35" i="52"/>
  <c r="IG35" i="52"/>
  <c r="DL19" i="52"/>
  <c r="U92" i="61"/>
  <c r="AT19" i="52"/>
  <c r="DL34" i="52"/>
  <c r="U107" i="61"/>
  <c r="AT34" i="52"/>
  <c r="DL33" i="52"/>
  <c r="U106" i="61"/>
  <c r="AT33" i="52"/>
  <c r="DL13" i="52"/>
  <c r="U86" i="61"/>
  <c r="AT13" i="52"/>
  <c r="ES13" i="52"/>
  <c r="DL17" i="52"/>
  <c r="FR17" i="52"/>
  <c r="AT17" i="52"/>
  <c r="AT16" i="52"/>
  <c r="DL32" i="52"/>
  <c r="U105" i="61"/>
  <c r="AT32" i="52"/>
  <c r="DY37" i="52"/>
  <c r="GF37" i="52"/>
  <c r="AT37" i="52"/>
  <c r="DY23" i="52"/>
  <c r="HO23" i="52"/>
  <c r="AT23" i="52"/>
  <c r="ES23" i="52"/>
  <c r="T27" i="60"/>
  <c r="DL36" i="52"/>
  <c r="U109" i="61"/>
  <c r="AT36" i="52"/>
  <c r="DF36" i="52"/>
  <c r="AK94" i="56"/>
  <c r="IG36" i="52"/>
  <c r="JO36" i="52"/>
  <c r="DL26" i="52"/>
  <c r="U99" i="61"/>
  <c r="AT26" i="52"/>
  <c r="ES26" i="52"/>
  <c r="T33" i="60"/>
  <c r="DL35" i="52"/>
  <c r="U108" i="61"/>
  <c r="AT35" i="52"/>
  <c r="DY28" i="52"/>
  <c r="GA28" i="52"/>
  <c r="AR101" i="61"/>
  <c r="AT28" i="52"/>
  <c r="ES28" i="52"/>
  <c r="T37" i="60"/>
  <c r="DE37" i="52"/>
  <c r="AJ95" i="56"/>
  <c r="IF37" i="52"/>
  <c r="DD36" i="52"/>
  <c r="IE36" i="52"/>
  <c r="JS36" i="52"/>
  <c r="CQ37" i="52"/>
  <c r="IE37" i="52"/>
  <c r="JS37" i="52"/>
  <c r="AD34" i="52"/>
  <c r="AD35" i="52"/>
  <c r="AD33" i="52"/>
  <c r="AD32" i="52"/>
  <c r="AD19" i="52"/>
  <c r="HZ27" i="52"/>
  <c r="AD27" i="52"/>
  <c r="HZ31" i="52"/>
  <c r="AD31" i="52"/>
  <c r="HZ28" i="52"/>
  <c r="AD28" i="52"/>
  <c r="HZ21" i="52"/>
  <c r="AD21" i="52"/>
  <c r="HZ17" i="52"/>
  <c r="AD17" i="52"/>
  <c r="HZ18" i="52"/>
  <c r="AD18" i="52"/>
  <c r="HZ26" i="52"/>
  <c r="AD26" i="52"/>
  <c r="HZ29" i="52"/>
  <c r="AD29" i="52"/>
  <c r="HZ22" i="52"/>
  <c r="AD22" i="52"/>
  <c r="HZ23" i="52"/>
  <c r="AD23" i="52"/>
  <c r="HZ30" i="52"/>
  <c r="AD30" i="52"/>
  <c r="HZ25" i="52"/>
  <c r="HZ20" i="52"/>
  <c r="AD20" i="52"/>
  <c r="HZ16" i="52"/>
  <c r="AD16" i="52"/>
  <c r="HX17" i="52"/>
  <c r="HZ37" i="52"/>
  <c r="ID27" i="52"/>
  <c r="ID30" i="52"/>
  <c r="ID23" i="52"/>
  <c r="HX37" i="52"/>
  <c r="CO32" i="52"/>
  <c r="IC32" i="52"/>
  <c r="CL35" i="52"/>
  <c r="GJ35" i="52"/>
  <c r="HZ35" i="52"/>
  <c r="CJ32" i="52"/>
  <c r="HX32" i="52"/>
  <c r="CO33" i="52"/>
  <c r="IC33" i="52"/>
  <c r="CL33" i="52"/>
  <c r="EV33" i="52"/>
  <c r="HZ33" i="52"/>
  <c r="CJ35" i="52"/>
  <c r="HX35" i="52"/>
  <c r="HZ15" i="52"/>
  <c r="HZ13" i="52"/>
  <c r="CO19" i="52"/>
  <c r="IC19" i="52"/>
  <c r="CO34" i="52"/>
  <c r="IC34" i="52"/>
  <c r="CJ19" i="52"/>
  <c r="HX19" i="52"/>
  <c r="CJ34" i="52"/>
  <c r="HX34" i="52"/>
  <c r="CJ33" i="52"/>
  <c r="HX33" i="52"/>
  <c r="CO35" i="52"/>
  <c r="IC35" i="52"/>
  <c r="CL19" i="52"/>
  <c r="GK19" i="52"/>
  <c r="HZ19" i="52"/>
  <c r="CL34" i="52"/>
  <c r="GL34" i="52"/>
  <c r="HZ34" i="52"/>
  <c r="CL32" i="52"/>
  <c r="GQ32" i="52"/>
  <c r="HZ32" i="52"/>
  <c r="CP33" i="52"/>
  <c r="ID33" i="52"/>
  <c r="CP32" i="52"/>
  <c r="ID32" i="52"/>
  <c r="CP19" i="52"/>
  <c r="ID19" i="52"/>
  <c r="CP34" i="52"/>
  <c r="ID34" i="52"/>
  <c r="DC18" i="52"/>
  <c r="AH93" i="56"/>
  <c r="ID18" i="52"/>
  <c r="CP25" i="52"/>
  <c r="ID25" i="52"/>
  <c r="DC21" i="52"/>
  <c r="ID21" i="52"/>
  <c r="CO37" i="52"/>
  <c r="V95" i="56"/>
  <c r="IC37" i="52"/>
  <c r="CP37" i="52"/>
  <c r="W95" i="56"/>
  <c r="ID37" i="52"/>
  <c r="CP20" i="52"/>
  <c r="ID20" i="52"/>
  <c r="CP35" i="52"/>
  <c r="ID35" i="52"/>
  <c r="DC26" i="52"/>
  <c r="ID26" i="52"/>
  <c r="CY36" i="52"/>
  <c r="HZ36" i="52"/>
  <c r="DC22" i="52"/>
  <c r="ID22" i="52"/>
  <c r="DC24" i="52"/>
  <c r="ID24" i="52"/>
  <c r="CP16" i="52"/>
  <c r="W91" i="56"/>
  <c r="ID16" i="52"/>
  <c r="DC29" i="52"/>
  <c r="ID29" i="52"/>
  <c r="DC28" i="52"/>
  <c r="ID28" i="52"/>
  <c r="CP17" i="52"/>
  <c r="W92" i="56"/>
  <c r="ID17" i="52"/>
  <c r="CP36" i="52"/>
  <c r="W94" i="56"/>
  <c r="ID36" i="52"/>
  <c r="DB36" i="52"/>
  <c r="AG94" i="56"/>
  <c r="IC36" i="52"/>
  <c r="AE37" i="52"/>
  <c r="DH37" i="52"/>
  <c r="AM95" i="56"/>
  <c r="DQ22" i="52"/>
  <c r="X95" i="61"/>
  <c r="EC23" i="52"/>
  <c r="EB26" i="52"/>
  <c r="CR37" i="52"/>
  <c r="Y95" i="56"/>
  <c r="CQ36" i="52"/>
  <c r="AU35" i="52"/>
  <c r="ET35" i="52"/>
  <c r="ED27" i="52"/>
  <c r="AI100" i="61"/>
  <c r="DX29" i="52"/>
  <c r="AE102" i="61"/>
  <c r="CP24" i="52"/>
  <c r="CP26" i="52"/>
  <c r="EC29" i="52"/>
  <c r="EF23" i="52"/>
  <c r="AK96" i="61"/>
  <c r="CP22" i="52"/>
  <c r="DK21" i="52"/>
  <c r="T94" i="61"/>
  <c r="DK22" i="52"/>
  <c r="T95" i="61"/>
  <c r="EC20" i="52"/>
  <c r="AH93" i="61"/>
  <c r="DS36" i="52"/>
  <c r="Z109" i="61"/>
  <c r="DX24" i="52"/>
  <c r="AE97" i="61"/>
  <c r="AU37" i="52"/>
  <c r="ET37" i="52"/>
  <c r="CK12" i="52"/>
  <c r="DL37" i="52"/>
  <c r="U110" i="61"/>
  <c r="DX26" i="52"/>
  <c r="AE99" i="61"/>
  <c r="ED28" i="52"/>
  <c r="AI101" i="61"/>
  <c r="EF27" i="52"/>
  <c r="AK100" i="61"/>
  <c r="DJ28" i="52"/>
  <c r="S101" i="61"/>
  <c r="AU22" i="52"/>
  <c r="ET22" i="52"/>
  <c r="CX26" i="52"/>
  <c r="CS36" i="52"/>
  <c r="CO36" i="52"/>
  <c r="V94" i="56"/>
  <c r="AE36" i="52"/>
  <c r="DH36" i="52"/>
  <c r="AM94" i="56"/>
  <c r="AU27" i="52"/>
  <c r="DS37" i="52"/>
  <c r="EE22" i="52"/>
  <c r="AJ95" i="61"/>
  <c r="EF29" i="52"/>
  <c r="AK102" i="61"/>
  <c r="CK26" i="52"/>
  <c r="AU28" i="52"/>
  <c r="ET28" i="52"/>
  <c r="DC36" i="52"/>
  <c r="AH94" i="56"/>
  <c r="CP18" i="52"/>
  <c r="W93" i="56"/>
  <c r="EF22" i="52"/>
  <c r="AK95" i="61"/>
  <c r="EE27" i="52"/>
  <c r="AJ100" i="61"/>
  <c r="EC21" i="52"/>
  <c r="EC26" i="52"/>
  <c r="DW22" i="52"/>
  <c r="AD95" i="61"/>
  <c r="EB23" i="52"/>
  <c r="DR22" i="52"/>
  <c r="Y95" i="61"/>
  <c r="DY26" i="52"/>
  <c r="CP21" i="52"/>
  <c r="EC36" i="52"/>
  <c r="DJ37" i="52"/>
  <c r="S110" i="61"/>
  <c r="EE26" i="52"/>
  <c r="AJ99" i="61"/>
  <c r="CK19" i="52"/>
  <c r="CK17" i="52"/>
  <c r="CK37" i="52"/>
  <c r="CK34" i="52"/>
  <c r="CK16" i="52"/>
  <c r="CK32" i="52"/>
  <c r="CK33" i="52"/>
  <c r="CK35" i="52"/>
  <c r="CX18" i="52"/>
  <c r="AE93" i="56"/>
  <c r="CK23" i="52"/>
  <c r="CK22" i="52"/>
  <c r="CK29" i="52"/>
  <c r="CK28" i="52"/>
  <c r="U36" i="52"/>
  <c r="CW36" i="52"/>
  <c r="AD94" i="56"/>
  <c r="AU23" i="52"/>
  <c r="DU23" i="52"/>
  <c r="AB96" i="61"/>
  <c r="AU36" i="52"/>
  <c r="EH36" i="52"/>
  <c r="AM109" i="61"/>
  <c r="DC25" i="52"/>
  <c r="DC20" i="52"/>
  <c r="DP18" i="52"/>
  <c r="ED37" i="52"/>
  <c r="AI110" i="61"/>
  <c r="DQ23" i="52"/>
  <c r="X96" i="61"/>
  <c r="DR26" i="52"/>
  <c r="Y99" i="61"/>
  <c r="DX36" i="52"/>
  <c r="AE109" i="61"/>
  <c r="DK25" i="52"/>
  <c r="T98" i="61"/>
  <c r="CX29" i="52"/>
  <c r="DR37" i="52"/>
  <c r="Y110" i="61"/>
  <c r="DQ29" i="52"/>
  <c r="X102" i="61"/>
  <c r="EC24" i="52"/>
  <c r="AG36" i="52"/>
  <c r="DJ36" i="52"/>
  <c r="S109" i="61"/>
  <c r="EC37" i="52"/>
  <c r="AH110" i="61"/>
  <c r="EE29" i="52"/>
  <c r="AJ102" i="61"/>
  <c r="DW26" i="52"/>
  <c r="AD99" i="61"/>
  <c r="DX23" i="52"/>
  <c r="AE96" i="61"/>
  <c r="DX18" i="52"/>
  <c r="AE91" i="61"/>
  <c r="AU29" i="52"/>
  <c r="DK30" i="52"/>
  <c r="T103" i="61"/>
  <c r="DX30" i="52"/>
  <c r="AE103" i="61"/>
  <c r="DK31" i="52"/>
  <c r="T104" i="61"/>
  <c r="DX31" i="52"/>
  <c r="AE104" i="61"/>
  <c r="GH36" i="52"/>
  <c r="GD28" i="52"/>
  <c r="GD18" i="52"/>
  <c r="FT18" i="52"/>
  <c r="EV36" i="52"/>
  <c r="EW36" i="52"/>
  <c r="AO94" i="56"/>
  <c r="EV37" i="52"/>
  <c r="EW37" i="52"/>
  <c r="AO95" i="56"/>
  <c r="DJ15" i="52"/>
  <c r="S88" i="61"/>
  <c r="DW15" i="52"/>
  <c r="AD88" i="61"/>
  <c r="DY15" i="52"/>
  <c r="AF88" i="61"/>
  <c r="DL15" i="52"/>
  <c r="U88" i="61"/>
  <c r="DQ14" i="52"/>
  <c r="X87" i="61"/>
  <c r="ED14" i="52"/>
  <c r="AI87" i="61"/>
  <c r="DL24" i="52"/>
  <c r="U97" i="61"/>
  <c r="DY24" i="52"/>
  <c r="DJ20" i="52"/>
  <c r="S93" i="61"/>
  <c r="DW20" i="52"/>
  <c r="AD93" i="61"/>
  <c r="DJ31" i="52"/>
  <c r="S104" i="61"/>
  <c r="DW31" i="52"/>
  <c r="AD104" i="61"/>
  <c r="DQ15" i="52"/>
  <c r="X88" i="61"/>
  <c r="ED15" i="52"/>
  <c r="AI88" i="61"/>
  <c r="ED21" i="52"/>
  <c r="AI94" i="61"/>
  <c r="DQ21" i="52"/>
  <c r="X94" i="61"/>
  <c r="DL20" i="52"/>
  <c r="U93" i="61"/>
  <c r="DY20" i="52"/>
  <c r="AF93" i="61"/>
  <c r="DO21" i="52"/>
  <c r="V94" i="61"/>
  <c r="EB21" i="52"/>
  <c r="DL30" i="52"/>
  <c r="U103" i="61"/>
  <c r="DY30" i="52"/>
  <c r="ED24" i="52"/>
  <c r="AI97" i="61"/>
  <c r="DQ24" i="52"/>
  <c r="X97" i="61"/>
  <c r="DO15" i="52"/>
  <c r="V88" i="61"/>
  <c r="EB15" i="52"/>
  <c r="AG88" i="61"/>
  <c r="AU18" i="52"/>
  <c r="ET18" i="52"/>
  <c r="DR18" i="52"/>
  <c r="Y91" i="61"/>
  <c r="EE18" i="52"/>
  <c r="AJ91" i="61"/>
  <c r="DQ18" i="52"/>
  <c r="X91" i="61"/>
  <c r="ED18" i="52"/>
  <c r="AI91" i="61"/>
  <c r="HR28" i="52"/>
  <c r="DR30" i="52"/>
  <c r="Y103" i="61"/>
  <c r="EE30" i="52"/>
  <c r="AJ103" i="61"/>
  <c r="DJ30" i="52"/>
  <c r="S103" i="61"/>
  <c r="DW30" i="52"/>
  <c r="AD103" i="61"/>
  <c r="EB14" i="52"/>
  <c r="AG87" i="61"/>
  <c r="DO14" i="52"/>
  <c r="V87" i="61"/>
  <c r="DR24" i="52"/>
  <c r="Y97" i="61"/>
  <c r="EE24" i="52"/>
  <c r="AJ97" i="61"/>
  <c r="DL21" i="52"/>
  <c r="U94" i="61"/>
  <c r="DY21" i="52"/>
  <c r="DR31" i="52"/>
  <c r="Y104" i="61"/>
  <c r="EE31" i="52"/>
  <c r="AJ104" i="61"/>
  <c r="DJ21" i="52"/>
  <c r="S94" i="61"/>
  <c r="DW21" i="52"/>
  <c r="AD94" i="61"/>
  <c r="DO24" i="52"/>
  <c r="V97" i="61"/>
  <c r="EB24" i="52"/>
  <c r="DR21" i="52"/>
  <c r="Y94" i="61"/>
  <c r="EE21" i="52"/>
  <c r="AJ94" i="61"/>
  <c r="DY18" i="52"/>
  <c r="AF91" i="61"/>
  <c r="DL18" i="52"/>
  <c r="U91" i="61"/>
  <c r="DS20" i="52"/>
  <c r="Z93" i="61"/>
  <c r="EF20" i="52"/>
  <c r="AK93" i="61"/>
  <c r="DQ25" i="52"/>
  <c r="X98" i="61"/>
  <c r="ED25" i="52"/>
  <c r="AI98" i="61"/>
  <c r="DQ31" i="52"/>
  <c r="X104" i="61"/>
  <c r="ED31" i="52"/>
  <c r="AI104" i="61"/>
  <c r="DO31" i="52"/>
  <c r="V104" i="61"/>
  <c r="EB31" i="52"/>
  <c r="DR15" i="52"/>
  <c r="Y88" i="61"/>
  <c r="EE15" i="52"/>
  <c r="AJ88" i="61"/>
  <c r="DO25" i="52"/>
  <c r="V98" i="61"/>
  <c r="EB25" i="52"/>
  <c r="DO20" i="52"/>
  <c r="V93" i="61"/>
  <c r="EB20" i="52"/>
  <c r="AG93" i="61"/>
  <c r="ED30" i="52"/>
  <c r="AI103" i="61"/>
  <c r="DQ30" i="52"/>
  <c r="X103" i="61"/>
  <c r="DS21" i="52"/>
  <c r="Z94" i="61"/>
  <c r="EF21" i="52"/>
  <c r="AK94" i="61"/>
  <c r="DR20" i="52"/>
  <c r="Y93" i="61"/>
  <c r="EE20" i="52"/>
  <c r="AJ93" i="61"/>
  <c r="DP30" i="52"/>
  <c r="EC30" i="52"/>
  <c r="DP31" i="52"/>
  <c r="EC31" i="52"/>
  <c r="HR18" i="52"/>
  <c r="DO30" i="52"/>
  <c r="V103" i="61"/>
  <c r="EB30" i="52"/>
  <c r="DL31" i="52"/>
  <c r="U104" i="61"/>
  <c r="DY31" i="52"/>
  <c r="DQ20" i="52"/>
  <c r="X93" i="61"/>
  <c r="ED20" i="52"/>
  <c r="AI93" i="61"/>
  <c r="DR25" i="52"/>
  <c r="Y98" i="61"/>
  <c r="EE25" i="52"/>
  <c r="AJ98" i="61"/>
  <c r="DS31" i="52"/>
  <c r="Z104" i="61"/>
  <c r="EF31" i="52"/>
  <c r="AK104" i="61"/>
  <c r="DS30" i="52"/>
  <c r="Z103" i="61"/>
  <c r="EF30" i="52"/>
  <c r="AK103" i="61"/>
  <c r="DS15" i="52"/>
  <c r="Z88" i="61"/>
  <c r="EF15" i="52"/>
  <c r="AK88" i="61"/>
  <c r="DR14" i="52"/>
  <c r="Y87" i="61"/>
  <c r="EE14" i="52"/>
  <c r="AJ87" i="61"/>
  <c r="DL25" i="52"/>
  <c r="U98" i="61"/>
  <c r="DY25" i="52"/>
  <c r="DJ18" i="52"/>
  <c r="S91" i="61"/>
  <c r="DW18" i="52"/>
  <c r="AD91" i="61"/>
  <c r="HV36" i="52"/>
  <c r="HH18" i="52"/>
  <c r="EB18" i="52"/>
  <c r="AG91" i="61"/>
  <c r="DO18" i="52"/>
  <c r="V91" i="61"/>
  <c r="CP31" i="52"/>
  <c r="DC31" i="52"/>
  <c r="CP30" i="52"/>
  <c r="DC30" i="52"/>
  <c r="GX37" i="52"/>
  <c r="HB37" i="52"/>
  <c r="FJ37" i="52"/>
  <c r="FN37" i="52"/>
  <c r="GP36" i="52"/>
  <c r="GQ36" i="52"/>
  <c r="GP37" i="52"/>
  <c r="GQ37" i="52"/>
  <c r="GL36" i="52"/>
  <c r="GM36" i="52"/>
  <c r="GL37" i="52"/>
  <c r="GM37" i="52"/>
  <c r="GJ36" i="52"/>
  <c r="GK36" i="52"/>
  <c r="GJ37" i="52"/>
  <c r="GK37" i="52"/>
  <c r="CK18" i="52"/>
  <c r="V24" i="52"/>
  <c r="AU33" i="52"/>
  <c r="ET33" i="52"/>
  <c r="AE20" i="52"/>
  <c r="AE17" i="52"/>
  <c r="AE31" i="52"/>
  <c r="AU16" i="52"/>
  <c r="ET16" i="52"/>
  <c r="AU19" i="52"/>
  <c r="ET19" i="52"/>
  <c r="AU21" i="52"/>
  <c r="ET21" i="52"/>
  <c r="AU32" i="52"/>
  <c r="ET32" i="52"/>
  <c r="AE22" i="52"/>
  <c r="AE16" i="52"/>
  <c r="AE23" i="52"/>
  <c r="CQ33" i="52"/>
  <c r="AE33" i="52"/>
  <c r="CQ35" i="52"/>
  <c r="AE35" i="52"/>
  <c r="AE15" i="52"/>
  <c r="AU17" i="52"/>
  <c r="ET17" i="52"/>
  <c r="AU34" i="52"/>
  <c r="ET34" i="52"/>
  <c r="AU30" i="52"/>
  <c r="ET30" i="52"/>
  <c r="CQ32" i="52"/>
  <c r="AE32" i="52"/>
  <c r="AE27" i="52"/>
  <c r="CQ34" i="52"/>
  <c r="AE34" i="52"/>
  <c r="AE13" i="52"/>
  <c r="AU15" i="52"/>
  <c r="ET15" i="52"/>
  <c r="CQ19" i="52"/>
  <c r="AE19" i="52"/>
  <c r="AE21" i="52"/>
  <c r="AE28" i="52"/>
  <c r="AE30" i="52"/>
  <c r="AE18" i="52"/>
  <c r="AE26" i="52"/>
  <c r="AE29" i="52"/>
  <c r="AU20" i="52"/>
  <c r="ET20" i="52"/>
  <c r="AU31" i="52"/>
  <c r="ET31" i="52"/>
  <c r="AU13" i="52"/>
  <c r="ET13" i="52"/>
  <c r="FC36" i="52"/>
  <c r="EX36" i="52"/>
  <c r="FB36" i="52"/>
  <c r="EY36" i="52"/>
  <c r="FB37" i="52"/>
  <c r="FC37" i="52"/>
  <c r="EY37" i="52"/>
  <c r="EX37" i="52"/>
  <c r="CK20" i="52"/>
  <c r="CX20" i="52"/>
  <c r="CK31" i="52"/>
  <c r="CX31" i="52"/>
  <c r="CK21" i="52"/>
  <c r="CX21" i="52"/>
  <c r="CK14" i="52"/>
  <c r="CX14" i="52"/>
  <c r="CK30" i="52"/>
  <c r="CX30" i="52"/>
  <c r="AL12" i="52"/>
  <c r="AL14" i="52"/>
  <c r="EK14" i="52"/>
  <c r="CO29" i="52"/>
  <c r="DB29" i="52"/>
  <c r="CO28" i="52"/>
  <c r="DB28" i="52"/>
  <c r="CO13" i="52"/>
  <c r="V90" i="56"/>
  <c r="CL28" i="52"/>
  <c r="CY28" i="52"/>
  <c r="CR21" i="52"/>
  <c r="DE21" i="52"/>
  <c r="CJ23" i="52"/>
  <c r="CW23" i="52"/>
  <c r="CO21" i="52"/>
  <c r="DB21" i="52"/>
  <c r="CQ26" i="52"/>
  <c r="DD26" i="52"/>
  <c r="CQ29" i="52"/>
  <c r="DD29" i="52"/>
  <c r="CJ17" i="52"/>
  <c r="S92" i="56"/>
  <c r="CS16" i="52"/>
  <c r="Z91" i="56"/>
  <c r="CO22" i="52"/>
  <c r="DB22" i="52"/>
  <c r="CQ22" i="52"/>
  <c r="DD22" i="52"/>
  <c r="CQ16" i="52"/>
  <c r="X91" i="56"/>
  <c r="CO18" i="52"/>
  <c r="V93" i="56"/>
  <c r="DB18" i="52"/>
  <c r="AG93" i="56"/>
  <c r="CR23" i="52"/>
  <c r="DE23" i="52"/>
  <c r="CJ30" i="52"/>
  <c r="CW30" i="52"/>
  <c r="CL31" i="52"/>
  <c r="CY31" i="52"/>
  <c r="DE29" i="52"/>
  <c r="CR29" i="52"/>
  <c r="CJ15" i="52"/>
  <c r="CW15" i="52"/>
  <c r="CL13" i="52"/>
  <c r="U90" i="56"/>
  <c r="CQ23" i="52"/>
  <c r="DD23" i="52"/>
  <c r="CR17" i="52"/>
  <c r="Y92" i="56"/>
  <c r="CQ12" i="52"/>
  <c r="X89" i="56"/>
  <c r="DF26" i="52"/>
  <c r="CS26" i="52"/>
  <c r="CJ27" i="52"/>
  <c r="CW27" i="52"/>
  <c r="CL30" i="52"/>
  <c r="CY30" i="52"/>
  <c r="CO17" i="52"/>
  <c r="V92" i="56"/>
  <c r="CR16" i="52"/>
  <c r="Y91" i="56"/>
  <c r="CO20" i="52"/>
  <c r="DB20" i="52"/>
  <c r="DD27" i="52"/>
  <c r="CQ27" i="52"/>
  <c r="CL20" i="52"/>
  <c r="CY20" i="52"/>
  <c r="DE15" i="52"/>
  <c r="CR15" i="52"/>
  <c r="CJ28" i="52"/>
  <c r="CW28" i="52"/>
  <c r="CS30" i="52"/>
  <c r="DF30" i="52"/>
  <c r="CQ17" i="52"/>
  <c r="X92" i="56"/>
  <c r="CL15" i="52"/>
  <c r="CY15" i="52"/>
  <c r="CQ31" i="52"/>
  <c r="DD31" i="52"/>
  <c r="CQ14" i="52"/>
  <c r="DD14" i="52"/>
  <c r="CR20" i="52"/>
  <c r="DE20" i="52"/>
  <c r="CS22" i="52"/>
  <c r="DF22" i="52"/>
  <c r="CW18" i="52"/>
  <c r="AD93" i="56"/>
  <c r="CJ18" i="52"/>
  <c r="S93" i="56"/>
  <c r="CQ24" i="52"/>
  <c r="DD24" i="52"/>
  <c r="CL21" i="52"/>
  <c r="CY21" i="52"/>
  <c r="CJ13" i="52"/>
  <c r="S90" i="56"/>
  <c r="CO24" i="52"/>
  <c r="DB24" i="52"/>
  <c r="CS21" i="52"/>
  <c r="DF21" i="52"/>
  <c r="CS23" i="52"/>
  <c r="DF23" i="52"/>
  <c r="CJ31" i="52"/>
  <c r="CW31" i="52"/>
  <c r="CS15" i="52"/>
  <c r="DF15" i="52"/>
  <c r="CS29" i="52"/>
  <c r="DF29" i="52"/>
  <c r="CJ22" i="52"/>
  <c r="CW22" i="52"/>
  <c r="CL23" i="52"/>
  <c r="CY23" i="52"/>
  <c r="CQ15" i="52"/>
  <c r="DD15" i="52"/>
  <c r="DB14" i="52"/>
  <c r="CO14" i="52"/>
  <c r="CO16" i="52"/>
  <c r="V91" i="56"/>
  <c r="CS31" i="52"/>
  <c r="DF31" i="52"/>
  <c r="CR13" i="52"/>
  <c r="Y90" i="56"/>
  <c r="CR27" i="52"/>
  <c r="DE27" i="52"/>
  <c r="DE30" i="52"/>
  <c r="CR30" i="52"/>
  <c r="CS27" i="52"/>
  <c r="DF27" i="52"/>
  <c r="CR18" i="52"/>
  <c r="Y93" i="56"/>
  <c r="DE18" i="52"/>
  <c r="AJ93" i="56"/>
  <c r="CY18" i="52"/>
  <c r="AF93" i="56"/>
  <c r="CL18" i="52"/>
  <c r="U93" i="56"/>
  <c r="CQ25" i="52"/>
  <c r="DD25" i="52"/>
  <c r="CO23" i="52"/>
  <c r="DB23" i="52"/>
  <c r="CQ18" i="52"/>
  <c r="X93" i="56"/>
  <c r="DD18" i="52"/>
  <c r="AI93" i="56"/>
  <c r="CY27" i="52"/>
  <c r="CL27" i="52"/>
  <c r="CO30" i="52"/>
  <c r="DB30" i="52"/>
  <c r="CQ20" i="52"/>
  <c r="DD20" i="52"/>
  <c r="CO27" i="52"/>
  <c r="DB27" i="52"/>
  <c r="CR26" i="52"/>
  <c r="DE26" i="52"/>
  <c r="DE22" i="52"/>
  <c r="CR22" i="52"/>
  <c r="CJ20" i="52"/>
  <c r="CW20" i="52"/>
  <c r="CR28" i="52"/>
  <c r="DE28" i="52"/>
  <c r="CW26" i="52"/>
  <c r="CJ26" i="52"/>
  <c r="DB31" i="52"/>
  <c r="CO31" i="52"/>
  <c r="DB15" i="52"/>
  <c r="CO15" i="52"/>
  <c r="CS18" i="52"/>
  <c r="Z93" i="56"/>
  <c r="DF18" i="52"/>
  <c r="AK93" i="56"/>
  <c r="DD21" i="52"/>
  <c r="CQ21" i="52"/>
  <c r="DB25" i="52"/>
  <c r="CO25" i="52"/>
  <c r="CL17" i="52"/>
  <c r="U92" i="56"/>
  <c r="CQ28" i="52"/>
  <c r="DD28" i="52"/>
  <c r="CS28" i="52"/>
  <c r="DF28" i="52"/>
  <c r="CS17" i="52"/>
  <c r="Z92" i="56"/>
  <c r="CL26" i="52"/>
  <c r="CY26" i="52"/>
  <c r="CR25" i="52"/>
  <c r="DE25" i="52"/>
  <c r="CS13" i="52"/>
  <c r="Z90" i="56"/>
  <c r="CL29" i="52"/>
  <c r="CY29" i="52"/>
  <c r="DB26" i="52"/>
  <c r="CO26" i="52"/>
  <c r="CL22" i="52"/>
  <c r="CY22" i="52"/>
  <c r="CQ30" i="52"/>
  <c r="DD30" i="52"/>
  <c r="DE31" i="52"/>
  <c r="CR31" i="52"/>
  <c r="CQ13" i="52"/>
  <c r="X90" i="56"/>
  <c r="CO12" i="52"/>
  <c r="V89" i="56"/>
  <c r="CW29" i="52"/>
  <c r="CJ29" i="52"/>
  <c r="CL25" i="52"/>
  <c r="CY25" i="52"/>
  <c r="CJ21" i="52"/>
  <c r="CW21" i="52"/>
  <c r="CS20" i="52"/>
  <c r="DF20" i="52"/>
  <c r="V12" i="52"/>
  <c r="V14" i="52"/>
  <c r="D114" i="16"/>
  <c r="D113" i="16"/>
  <c r="K109" i="16"/>
  <c r="K112" i="16"/>
  <c r="T101" i="16"/>
  <c r="K108" i="16"/>
  <c r="K111" i="16"/>
  <c r="K101" i="16"/>
  <c r="R13" i="16"/>
  <c r="D106" i="16"/>
  <c r="D107" i="16"/>
  <c r="H104" i="16"/>
  <c r="G104" i="16"/>
  <c r="H103" i="16"/>
  <c r="G103" i="16"/>
  <c r="H102" i="16"/>
  <c r="G102" i="16"/>
  <c r="H101" i="16"/>
  <c r="G101" i="16"/>
  <c r="D103" i="16"/>
  <c r="D104" i="16"/>
  <c r="D105" i="16"/>
  <c r="F29" i="16"/>
  <c r="E29" i="16"/>
  <c r="F28" i="16"/>
  <c r="E28" i="16"/>
  <c r="F27" i="16"/>
  <c r="E27" i="16"/>
  <c r="F26" i="16"/>
  <c r="E26" i="16"/>
  <c r="F25" i="16"/>
  <c r="E25" i="16"/>
  <c r="F24" i="16"/>
  <c r="E24" i="16"/>
  <c r="F22" i="16"/>
  <c r="E22" i="16"/>
  <c r="F20" i="16"/>
  <c r="E20" i="16"/>
  <c r="F19" i="16"/>
  <c r="E19" i="16"/>
  <c r="F18" i="16"/>
  <c r="E18" i="16"/>
  <c r="F17" i="16"/>
  <c r="F16" i="16"/>
  <c r="E16" i="16"/>
  <c r="F15" i="16"/>
  <c r="E15" i="16"/>
  <c r="F14" i="16"/>
  <c r="E14" i="16"/>
  <c r="F13" i="16"/>
  <c r="GL38" i="52"/>
  <c r="GM38" i="52"/>
  <c r="GO38" i="52"/>
  <c r="EV38" i="52"/>
  <c r="GJ38" i="52"/>
  <c r="GK38" i="52"/>
  <c r="GR38" i="52"/>
  <c r="CT38" i="52"/>
  <c r="IU39" i="52"/>
  <c r="AC55" i="60"/>
  <c r="JH39" i="52"/>
  <c r="AN55" i="60"/>
  <c r="IH39" i="52"/>
  <c r="S22" i="66"/>
  <c r="T22" i="66"/>
  <c r="EX38" i="52"/>
  <c r="EW38" i="52"/>
  <c r="GQ38" i="52"/>
  <c r="GP38" i="52"/>
  <c r="FC38" i="52"/>
  <c r="FE38" i="52"/>
  <c r="HF38" i="52"/>
  <c r="JX38" i="52"/>
  <c r="JZ38" i="52"/>
  <c r="AR53" i="60"/>
  <c r="FQ38" i="52"/>
  <c r="AO111" i="61"/>
  <c r="FP38" i="52"/>
  <c r="HJ38" i="52"/>
  <c r="HG38" i="52"/>
  <c r="HI38" i="52"/>
  <c r="DT38" i="52"/>
  <c r="AA111" i="61"/>
  <c r="HK38" i="52"/>
  <c r="HM38" i="52"/>
  <c r="FR38" i="52"/>
  <c r="FW38" i="52"/>
  <c r="FY38" i="52"/>
  <c r="AQ111" i="61"/>
  <c r="FV38" i="52"/>
  <c r="FS38" i="52"/>
  <c r="FU38" i="52"/>
  <c r="AP111" i="61"/>
  <c r="HD38" i="52"/>
  <c r="HE38" i="52"/>
  <c r="GA38" i="52"/>
  <c r="AR111" i="61"/>
  <c r="KH38" i="52"/>
  <c r="KJ38" i="52"/>
  <c r="AU53" i="60"/>
  <c r="T21" i="66"/>
  <c r="AH53" i="60"/>
  <c r="GG38" i="52"/>
  <c r="GI38" i="52"/>
  <c r="AT111" i="61"/>
  <c r="HO38" i="52"/>
  <c r="GF38" i="52"/>
  <c r="EG38" i="52"/>
  <c r="AL111" i="61"/>
  <c r="HQ38" i="52"/>
  <c r="HS38" i="52"/>
  <c r="KL38" i="52"/>
  <c r="KN38" i="52"/>
  <c r="AV53" i="60"/>
  <c r="R19" i="66"/>
  <c r="HN38" i="52"/>
  <c r="HU38" i="52"/>
  <c r="HW38" i="52"/>
  <c r="HT38" i="52"/>
  <c r="GB38" i="52"/>
  <c r="KG38" i="52"/>
  <c r="KE38" i="52"/>
  <c r="FZ38" i="52"/>
  <c r="HP38" i="52"/>
  <c r="GC38" i="52"/>
  <c r="GE38" i="52"/>
  <c r="AS111" i="61"/>
  <c r="KK38" i="52"/>
  <c r="EH39" i="52"/>
  <c r="AM112" i="61"/>
  <c r="IV39" i="52"/>
  <c r="AD55" i="60"/>
  <c r="II39" i="52"/>
  <c r="AO56" i="60"/>
  <c r="JI39" i="52"/>
  <c r="AO55" i="60"/>
  <c r="JU38" i="52"/>
  <c r="JV38" i="52"/>
  <c r="AQ53" i="60"/>
  <c r="KB38" i="52"/>
  <c r="KD38" i="52"/>
  <c r="AS53" i="60"/>
  <c r="JW38" i="52"/>
  <c r="AL56" i="60"/>
  <c r="KA38" i="52"/>
  <c r="EI39" i="52"/>
  <c r="AN112" i="61"/>
  <c r="IW39" i="52"/>
  <c r="AE55" i="60"/>
  <c r="IJ39" i="52"/>
  <c r="AP56" i="60"/>
  <c r="JJ39" i="52"/>
  <c r="AP55" i="60"/>
  <c r="R16" i="66"/>
  <c r="AH18" i="60"/>
  <c r="Y36" i="60"/>
  <c r="AJ36" i="60"/>
  <c r="JS30" i="52"/>
  <c r="AK42" i="60"/>
  <c r="Z42" i="60"/>
  <c r="U35" i="66"/>
  <c r="AM24" i="60"/>
  <c r="AB24" i="60"/>
  <c r="JS27" i="52"/>
  <c r="AK36" i="60"/>
  <c r="Z36" i="60"/>
  <c r="U34" i="60"/>
  <c r="AF34" i="60"/>
  <c r="T35" i="66"/>
  <c r="AL24" i="60"/>
  <c r="AA24" i="60"/>
  <c r="T39" i="66"/>
  <c r="AL32" i="60"/>
  <c r="AA32" i="60"/>
  <c r="X30" i="60"/>
  <c r="AI30" i="60"/>
  <c r="Y44" i="60"/>
  <c r="AJ44" i="60"/>
  <c r="JS29" i="52"/>
  <c r="Z40" i="60"/>
  <c r="AK40" i="60"/>
  <c r="X26" i="60"/>
  <c r="AI26" i="60"/>
  <c r="AQ54" i="60"/>
  <c r="AT54" i="60"/>
  <c r="JO26" i="52"/>
  <c r="AM34" i="60"/>
  <c r="AB34" i="60"/>
  <c r="X34" i="60"/>
  <c r="AI34" i="60"/>
  <c r="JS35" i="52"/>
  <c r="Z52" i="60"/>
  <c r="AK52" i="60"/>
  <c r="U38" i="60"/>
  <c r="AF38" i="60"/>
  <c r="JS31" i="52"/>
  <c r="AK44" i="60"/>
  <c r="Z44" i="60"/>
  <c r="AL26" i="60"/>
  <c r="AA26" i="60"/>
  <c r="Z20" i="66"/>
  <c r="AI54" i="60"/>
  <c r="Y38" i="60"/>
  <c r="AJ38" i="60"/>
  <c r="Y26" i="60"/>
  <c r="AJ26" i="60"/>
  <c r="Y34" i="60"/>
  <c r="AJ34" i="60"/>
  <c r="Y22" i="60"/>
  <c r="AJ22" i="60"/>
  <c r="Y32" i="60"/>
  <c r="AJ32" i="60"/>
  <c r="Y50" i="60"/>
  <c r="AJ50" i="60"/>
  <c r="Y46" i="60"/>
  <c r="AJ46" i="60"/>
  <c r="W46" i="60"/>
  <c r="AH46" i="60"/>
  <c r="W20" i="60"/>
  <c r="AH20" i="60"/>
  <c r="U48" i="60"/>
  <c r="AF48" i="60"/>
  <c r="U20" i="60"/>
  <c r="AF20" i="60"/>
  <c r="X20" i="60"/>
  <c r="AI20" i="60"/>
  <c r="U52" i="60"/>
  <c r="AF52" i="60"/>
  <c r="X48" i="60"/>
  <c r="AI48" i="60"/>
  <c r="W52" i="60"/>
  <c r="AH52" i="60"/>
  <c r="W42" i="60"/>
  <c r="AH42" i="60"/>
  <c r="W26" i="60"/>
  <c r="AH26" i="60"/>
  <c r="W34" i="60"/>
  <c r="AH34" i="60"/>
  <c r="W38" i="60"/>
  <c r="AH38" i="60"/>
  <c r="W36" i="60"/>
  <c r="AH36" i="60"/>
  <c r="JO35" i="52"/>
  <c r="AB52" i="60"/>
  <c r="AM52" i="60"/>
  <c r="AL48" i="60"/>
  <c r="AA48" i="60"/>
  <c r="JO19" i="52"/>
  <c r="AM20" i="60"/>
  <c r="AB20" i="60"/>
  <c r="JO32" i="52"/>
  <c r="AM46" i="60"/>
  <c r="AB46" i="60"/>
  <c r="AL50" i="60"/>
  <c r="AA50" i="60"/>
  <c r="X32" i="60"/>
  <c r="AI32" i="60"/>
  <c r="JS34" i="52"/>
  <c r="Z50" i="60"/>
  <c r="AK50" i="60"/>
  <c r="JS14" i="52"/>
  <c r="AK16" i="60"/>
  <c r="Z16" i="60"/>
  <c r="U22" i="60"/>
  <c r="AF22" i="60"/>
  <c r="Z14" i="66"/>
  <c r="AI16" i="60"/>
  <c r="JO30" i="52"/>
  <c r="AM42" i="60"/>
  <c r="AB42" i="60"/>
  <c r="S43" i="66"/>
  <c r="AN58" i="60"/>
  <c r="JS26" i="52"/>
  <c r="AK34" i="60"/>
  <c r="Z34" i="60"/>
  <c r="AL40" i="60"/>
  <c r="AA40" i="60"/>
  <c r="JO28" i="52"/>
  <c r="AM38" i="60"/>
  <c r="AB38" i="60"/>
  <c r="AQ58" i="60"/>
  <c r="AT58" i="60"/>
  <c r="JO29" i="52"/>
  <c r="AM40" i="60"/>
  <c r="AB40" i="60"/>
  <c r="AL28" i="60"/>
  <c r="AA28" i="60"/>
  <c r="U26" i="60"/>
  <c r="AF26" i="60"/>
  <c r="JO23" i="52"/>
  <c r="AB28" i="60"/>
  <c r="AM28" i="60"/>
  <c r="JS22" i="52"/>
  <c r="AK26" i="60"/>
  <c r="Z26" i="60"/>
  <c r="U44" i="60"/>
  <c r="AF44" i="60"/>
  <c r="JS24" i="52"/>
  <c r="AK30" i="60"/>
  <c r="Z30" i="60"/>
  <c r="Y28" i="60"/>
  <c r="AJ28" i="60"/>
  <c r="W22" i="60"/>
  <c r="AH22" i="60"/>
  <c r="T16" i="66"/>
  <c r="AL18" i="60"/>
  <c r="AA18" i="60"/>
  <c r="X44" i="60"/>
  <c r="AI44" i="60"/>
  <c r="U33" i="66"/>
  <c r="AM22" i="60"/>
  <c r="AB22" i="60"/>
  <c r="JS23" i="52"/>
  <c r="AK28" i="60"/>
  <c r="Z28" i="60"/>
  <c r="JS21" i="52"/>
  <c r="Z24" i="60"/>
  <c r="AK24" i="60"/>
  <c r="JS32" i="52"/>
  <c r="AK46" i="60"/>
  <c r="Z46" i="60"/>
  <c r="AL42" i="60"/>
  <c r="AA42" i="60"/>
  <c r="JS20" i="52"/>
  <c r="AK22" i="60"/>
  <c r="Z22" i="60"/>
  <c r="S20" i="66"/>
  <c r="AN54" i="60"/>
  <c r="U24" i="60"/>
  <c r="AF24" i="60"/>
  <c r="U42" i="60"/>
  <c r="AF42" i="60"/>
  <c r="AL38" i="60"/>
  <c r="AA38" i="60"/>
  <c r="U40" i="60"/>
  <c r="AF40" i="60"/>
  <c r="U28" i="60"/>
  <c r="AF28" i="60"/>
  <c r="JO22" i="52"/>
  <c r="AM26" i="60"/>
  <c r="AB26" i="60"/>
  <c r="X38" i="60"/>
  <c r="AI38" i="60"/>
  <c r="U41" i="66"/>
  <c r="AM36" i="60"/>
  <c r="AB36" i="60"/>
  <c r="U58" i="60"/>
  <c r="AF58" i="60"/>
  <c r="JS25" i="52"/>
  <c r="AK32" i="60"/>
  <c r="Z32" i="60"/>
  <c r="JS33" i="52"/>
  <c r="AK48" i="60"/>
  <c r="Z48" i="60"/>
  <c r="JS19" i="52"/>
  <c r="AK20" i="60"/>
  <c r="Z20" i="60"/>
  <c r="AA20" i="66"/>
  <c r="AJ54" i="60"/>
  <c r="Y40" i="60"/>
  <c r="AJ40" i="60"/>
  <c r="Y30" i="60"/>
  <c r="AJ30" i="60"/>
  <c r="Y52" i="60"/>
  <c r="AJ52" i="60"/>
  <c r="Y24" i="60"/>
  <c r="AJ24" i="60"/>
  <c r="Y20" i="60"/>
  <c r="AJ20" i="60"/>
  <c r="Y48" i="60"/>
  <c r="AJ48" i="60"/>
  <c r="W50" i="60"/>
  <c r="AH50" i="60"/>
  <c r="X52" i="60"/>
  <c r="AI52" i="60"/>
  <c r="U50" i="60"/>
  <c r="AF50" i="60"/>
  <c r="X50" i="60"/>
  <c r="AI50" i="60"/>
  <c r="W48" i="60"/>
  <c r="AH48" i="60"/>
  <c r="U46" i="60"/>
  <c r="AF46" i="60"/>
  <c r="X46" i="60"/>
  <c r="AI46" i="60"/>
  <c r="Y42" i="60"/>
  <c r="AJ42" i="60"/>
  <c r="W32" i="60"/>
  <c r="AH32" i="60"/>
  <c r="W28" i="60"/>
  <c r="AH28" i="60"/>
  <c r="W40" i="60"/>
  <c r="AH40" i="60"/>
  <c r="W24" i="60"/>
  <c r="AH24" i="60"/>
  <c r="W44" i="60"/>
  <c r="AH44" i="60"/>
  <c r="JO33" i="52"/>
  <c r="AB48" i="60"/>
  <c r="AM48" i="60"/>
  <c r="JO34" i="52"/>
  <c r="AM50" i="60"/>
  <c r="AB50" i="60"/>
  <c r="AL52" i="60"/>
  <c r="AA52" i="60"/>
  <c r="AL46" i="60"/>
  <c r="AA46" i="60"/>
  <c r="AL20" i="60"/>
  <c r="AA20" i="60"/>
  <c r="X22" i="60"/>
  <c r="AI22" i="60"/>
  <c r="T33" i="66"/>
  <c r="AL22" i="60"/>
  <c r="AA22" i="60"/>
  <c r="U18" i="60"/>
  <c r="AF18" i="60"/>
  <c r="JS15" i="52"/>
  <c r="Z18" i="60"/>
  <c r="AK18" i="60"/>
  <c r="Z16" i="66"/>
  <c r="AI18" i="60"/>
  <c r="JO31" i="52"/>
  <c r="AB44" i="60"/>
  <c r="AM44" i="60"/>
  <c r="X28" i="60"/>
  <c r="AI28" i="60"/>
  <c r="U16" i="66"/>
  <c r="AM18" i="60"/>
  <c r="AB18" i="60"/>
  <c r="X42" i="60"/>
  <c r="AI42" i="60"/>
  <c r="X36" i="60"/>
  <c r="AI36" i="60"/>
  <c r="AQ56" i="60"/>
  <c r="AT56" i="60"/>
  <c r="U36" i="60"/>
  <c r="AF36" i="60"/>
  <c r="X40" i="60"/>
  <c r="AI40" i="60"/>
  <c r="T41" i="66"/>
  <c r="AL36" i="60"/>
  <c r="AA36" i="60"/>
  <c r="X24" i="60"/>
  <c r="AI24" i="60"/>
  <c r="U54" i="60"/>
  <c r="AF54" i="60"/>
  <c r="JS28" i="52"/>
  <c r="AK38" i="60"/>
  <c r="Z38" i="60"/>
  <c r="U22" i="66"/>
  <c r="AB56" i="60"/>
  <c r="AM56" i="60"/>
  <c r="HR39" i="52"/>
  <c r="HS39" i="52"/>
  <c r="AK112" i="61"/>
  <c r="HH37" i="52"/>
  <c r="Z110" i="61"/>
  <c r="FT39" i="52"/>
  <c r="FU39" i="52"/>
  <c r="AP112" i="61"/>
  <c r="Z112" i="61"/>
  <c r="W91" i="61"/>
  <c r="W104" i="61"/>
  <c r="W94" i="61"/>
  <c r="W97" i="61"/>
  <c r="W100" i="61"/>
  <c r="W106" i="61"/>
  <c r="W96" i="61"/>
  <c r="W107" i="61"/>
  <c r="W103" i="61"/>
  <c r="W98" i="61"/>
  <c r="W99" i="61"/>
  <c r="W109" i="61"/>
  <c r="W108" i="61"/>
  <c r="W110" i="61"/>
  <c r="W105" i="61"/>
  <c r="W90" i="61"/>
  <c r="W95" i="61"/>
  <c r="W92" i="61"/>
  <c r="W89" i="61"/>
  <c r="W102" i="61"/>
  <c r="W93" i="61"/>
  <c r="W111" i="61"/>
  <c r="FN36" i="52"/>
  <c r="AI94" i="56"/>
  <c r="GR36" i="52"/>
  <c r="GS36" i="52"/>
  <c r="X94" i="56"/>
  <c r="EZ37" i="52"/>
  <c r="FA37" i="52"/>
  <c r="AP95" i="56"/>
  <c r="Z95" i="56"/>
  <c r="EZ36" i="52"/>
  <c r="FA36" i="52"/>
  <c r="AP94" i="56"/>
  <c r="Z94" i="56"/>
  <c r="GR37" i="52"/>
  <c r="GS37" i="52"/>
  <c r="X95" i="56"/>
  <c r="AA19" i="66"/>
  <c r="AJ53" i="60"/>
  <c r="S21" i="66"/>
  <c r="S19" i="66"/>
  <c r="AN53" i="60"/>
  <c r="S42" i="66"/>
  <c r="AN57" i="60"/>
  <c r="Z15" i="66"/>
  <c r="R15" i="66"/>
  <c r="Z13" i="66"/>
  <c r="KI30" i="52"/>
  <c r="T38" i="66"/>
  <c r="T32" i="66"/>
  <c r="KM30" i="52"/>
  <c r="KM26" i="52"/>
  <c r="T34" i="66"/>
  <c r="T36" i="66"/>
  <c r="KM15" i="52"/>
  <c r="KM22" i="52"/>
  <c r="KM23" i="52"/>
  <c r="U40" i="66"/>
  <c r="T40" i="66"/>
  <c r="KI29" i="52"/>
  <c r="U15" i="66"/>
  <c r="KI31" i="52"/>
  <c r="KI26" i="52"/>
  <c r="U34" i="66"/>
  <c r="T15" i="66"/>
  <c r="KM31" i="52"/>
  <c r="U32" i="66"/>
  <c r="KI23" i="52"/>
  <c r="KM29" i="52"/>
  <c r="KM28" i="52"/>
  <c r="KI22" i="52"/>
  <c r="KI28" i="52"/>
  <c r="T13" i="66"/>
  <c r="KM14" i="52"/>
  <c r="JY30" i="52"/>
  <c r="AB41" i="60"/>
  <c r="KC30" i="52"/>
  <c r="Z41" i="60"/>
  <c r="KC25" i="52"/>
  <c r="Z31" i="60"/>
  <c r="KC26" i="52"/>
  <c r="Z33" i="60"/>
  <c r="KC15" i="52"/>
  <c r="Z17" i="60"/>
  <c r="JY22" i="52"/>
  <c r="AB25" i="60"/>
  <c r="KC33" i="52"/>
  <c r="Z47" i="60"/>
  <c r="KC19" i="52"/>
  <c r="Z19" i="60"/>
  <c r="KC35" i="52"/>
  <c r="Z51" i="60"/>
  <c r="KC27" i="52"/>
  <c r="Z35" i="60"/>
  <c r="JY34" i="52"/>
  <c r="AB49" i="60"/>
  <c r="GD39" i="52"/>
  <c r="GE39" i="52"/>
  <c r="AS112" i="61"/>
  <c r="JY27" i="52"/>
  <c r="AB35" i="60"/>
  <c r="KC28" i="52"/>
  <c r="Z37" i="60"/>
  <c r="JY29" i="52"/>
  <c r="AB39" i="60"/>
  <c r="JY19" i="52"/>
  <c r="AB19" i="60"/>
  <c r="KC34" i="52"/>
  <c r="Z49" i="60"/>
  <c r="JY32" i="52"/>
  <c r="AB45" i="60"/>
  <c r="JY28" i="52"/>
  <c r="AB37" i="60"/>
  <c r="KC32" i="52"/>
  <c r="Z45" i="60"/>
  <c r="JY35" i="52"/>
  <c r="AB51" i="60"/>
  <c r="JY23" i="52"/>
  <c r="AB27" i="60"/>
  <c r="KC29" i="52"/>
  <c r="Z39" i="60"/>
  <c r="KC22" i="52"/>
  <c r="Z25" i="60"/>
  <c r="KC23" i="52"/>
  <c r="Z27" i="60"/>
  <c r="JY33" i="52"/>
  <c r="AB47" i="60"/>
  <c r="JY15" i="52"/>
  <c r="AB17" i="60"/>
  <c r="JY31" i="52"/>
  <c r="AB43" i="60"/>
  <c r="KC20" i="52"/>
  <c r="Z21" i="60"/>
  <c r="JY26" i="52"/>
  <c r="AB33" i="60"/>
  <c r="JY21" i="52"/>
  <c r="AB23" i="60"/>
  <c r="KC31" i="52"/>
  <c r="Z43" i="60"/>
  <c r="JY20" i="52"/>
  <c r="AB21" i="60"/>
  <c r="KC24" i="52"/>
  <c r="Z29" i="60"/>
  <c r="KC21" i="52"/>
  <c r="Z23" i="60"/>
  <c r="JY39" i="52"/>
  <c r="JZ39" i="52"/>
  <c r="AR55" i="60"/>
  <c r="AB55" i="60"/>
  <c r="KC14" i="52"/>
  <c r="Z15" i="60"/>
  <c r="EG39" i="52"/>
  <c r="AL112" i="61"/>
  <c r="DT39" i="52"/>
  <c r="AA112" i="61"/>
  <c r="HH39" i="52"/>
  <c r="HI39" i="52"/>
  <c r="JO39" i="52"/>
  <c r="HA36" i="52"/>
  <c r="AF94" i="56"/>
  <c r="GV37" i="52"/>
  <c r="AF95" i="56"/>
  <c r="JP40" i="52"/>
  <c r="IH22" i="52"/>
  <c r="IH17" i="52"/>
  <c r="IH18" i="52"/>
  <c r="Q41" i="66"/>
  <c r="Q35" i="66"/>
  <c r="JO15" i="52"/>
  <c r="JO21" i="52"/>
  <c r="X16" i="60"/>
  <c r="AC58" i="60"/>
  <c r="X18" i="60"/>
  <c r="JO20" i="52"/>
  <c r="JO27" i="52"/>
  <c r="KI21" i="52"/>
  <c r="KI20" i="52"/>
  <c r="KI27" i="52"/>
  <c r="R41" i="66"/>
  <c r="R40" i="66"/>
  <c r="R33" i="66"/>
  <c r="R32" i="66"/>
  <c r="R39" i="66"/>
  <c r="R38" i="66"/>
  <c r="R37" i="66"/>
  <c r="R36" i="66"/>
  <c r="R35" i="66"/>
  <c r="R34" i="66"/>
  <c r="KM24" i="52"/>
  <c r="KM21" i="52"/>
  <c r="KM27" i="52"/>
  <c r="KM20" i="52"/>
  <c r="KM25" i="52"/>
  <c r="Q40" i="66"/>
  <c r="Q34" i="66"/>
  <c r="KI15" i="52"/>
  <c r="W18" i="60"/>
  <c r="AC54" i="60"/>
  <c r="AC56" i="60"/>
  <c r="W17" i="60"/>
  <c r="Q13" i="66"/>
  <c r="V15" i="60"/>
  <c r="Q15" i="66"/>
  <c r="Q21" i="66"/>
  <c r="AF95" i="61"/>
  <c r="II30" i="52"/>
  <c r="IH32" i="52"/>
  <c r="JT39" i="52"/>
  <c r="GA22" i="52"/>
  <c r="AR95" i="61"/>
  <c r="HQ22" i="52"/>
  <c r="HT22" i="52"/>
  <c r="GG22" i="52"/>
  <c r="HE22" i="52"/>
  <c r="HJ22" i="52"/>
  <c r="HU22" i="52"/>
  <c r="FZ22" i="52"/>
  <c r="GF22" i="52"/>
  <c r="GC22" i="52"/>
  <c r="HN22" i="52"/>
  <c r="HO22" i="52"/>
  <c r="HP22" i="52"/>
  <c r="FW22" i="52"/>
  <c r="HN27" i="52"/>
  <c r="GC36" i="52"/>
  <c r="HP36" i="52"/>
  <c r="HT27" i="52"/>
  <c r="HQ36" i="52"/>
  <c r="GA27" i="52"/>
  <c r="AR100" i="61"/>
  <c r="HQ27" i="52"/>
  <c r="GG27" i="52"/>
  <c r="HU27" i="52"/>
  <c r="HU36" i="52"/>
  <c r="HW36" i="52"/>
  <c r="FZ27" i="52"/>
  <c r="GB36" i="52"/>
  <c r="GF27" i="52"/>
  <c r="HT36" i="52"/>
  <c r="GA36" i="52"/>
  <c r="AR109" i="61"/>
  <c r="GC27" i="52"/>
  <c r="GG36" i="52"/>
  <c r="GI36" i="52"/>
  <c r="AT109" i="61"/>
  <c r="HO27" i="52"/>
  <c r="HP27" i="52"/>
  <c r="HN36" i="52"/>
  <c r="HO36" i="52"/>
  <c r="FZ36" i="52"/>
  <c r="GB27" i="52"/>
  <c r="GF36" i="52"/>
  <c r="AF102" i="61"/>
  <c r="JT38" i="52"/>
  <c r="JP39" i="52"/>
  <c r="JT40" i="52"/>
  <c r="HG22" i="52"/>
  <c r="FQ22" i="52"/>
  <c r="AO95" i="61"/>
  <c r="FX26" i="52"/>
  <c r="HF22" i="52"/>
  <c r="FR22" i="52"/>
  <c r="HK22" i="52"/>
  <c r="HR26" i="52"/>
  <c r="FP22" i="52"/>
  <c r="FV22" i="52"/>
  <c r="HD22" i="52"/>
  <c r="HP29" i="52"/>
  <c r="FS22" i="52"/>
  <c r="GD26" i="52"/>
  <c r="HD29" i="52"/>
  <c r="HO29" i="52"/>
  <c r="HT29" i="52"/>
  <c r="HK29" i="52"/>
  <c r="HE29" i="52"/>
  <c r="HU29" i="52"/>
  <c r="HH26" i="52"/>
  <c r="FQ29" i="52"/>
  <c r="AO102" i="61"/>
  <c r="FS29" i="52"/>
  <c r="FW29" i="52"/>
  <c r="GA29" i="52"/>
  <c r="AR102" i="61"/>
  <c r="GC29" i="52"/>
  <c r="GG29" i="52"/>
  <c r="HF29" i="52"/>
  <c r="HQ29" i="52"/>
  <c r="FT26" i="52"/>
  <c r="HJ29" i="52"/>
  <c r="HG29" i="52"/>
  <c r="HN29" i="52"/>
  <c r="FP29" i="52"/>
  <c r="FR29" i="52"/>
  <c r="FV29" i="52"/>
  <c r="FZ29" i="52"/>
  <c r="GB29" i="52"/>
  <c r="FH37" i="52"/>
  <c r="HG28" i="52"/>
  <c r="GW37" i="52"/>
  <c r="GY37" i="52"/>
  <c r="FF37" i="52"/>
  <c r="HA37" i="52"/>
  <c r="HC37" i="52"/>
  <c r="HF28" i="52"/>
  <c r="FQ28" i="52"/>
  <c r="AO101" i="61"/>
  <c r="HK28" i="52"/>
  <c r="FS28" i="52"/>
  <c r="FM37" i="52"/>
  <c r="FO37" i="52"/>
  <c r="AT95" i="56"/>
  <c r="GU37" i="52"/>
  <c r="FW28" i="52"/>
  <c r="EH26" i="52"/>
  <c r="AM99" i="61"/>
  <c r="II26" i="52"/>
  <c r="II29" i="52"/>
  <c r="II27" i="52"/>
  <c r="DU37" i="52"/>
  <c r="AB110" i="61"/>
  <c r="HH28" i="52"/>
  <c r="HH13" i="52"/>
  <c r="FI37" i="52"/>
  <c r="FK37" i="52"/>
  <c r="AS95" i="56"/>
  <c r="FL37" i="52"/>
  <c r="GT37" i="52"/>
  <c r="GZ37" i="52"/>
  <c r="HE28" i="52"/>
  <c r="HJ28" i="52"/>
  <c r="FR28" i="52"/>
  <c r="DG37" i="52"/>
  <c r="AL95" i="56"/>
  <c r="FG37" i="52"/>
  <c r="AR95" i="56"/>
  <c r="HD28" i="52"/>
  <c r="FQ27" i="52"/>
  <c r="AO100" i="61"/>
  <c r="FP28" i="52"/>
  <c r="FV28" i="52"/>
  <c r="FQ23" i="52"/>
  <c r="AO96" i="61"/>
  <c r="HG23" i="52"/>
  <c r="HK23" i="52"/>
  <c r="FW23" i="52"/>
  <c r="GN37" i="52"/>
  <c r="GO37" i="52"/>
  <c r="HL26" i="52"/>
  <c r="HJ23" i="52"/>
  <c r="FS23" i="52"/>
  <c r="HV26" i="52"/>
  <c r="HD23" i="52"/>
  <c r="FP23" i="52"/>
  <c r="FR23" i="52"/>
  <c r="FV23" i="52"/>
  <c r="GH26" i="52"/>
  <c r="HE23" i="52"/>
  <c r="HF23" i="52"/>
  <c r="JL37" i="52"/>
  <c r="JM37" i="52"/>
  <c r="JK37" i="52"/>
  <c r="JR37" i="52"/>
  <c r="JN37" i="52"/>
  <c r="JQ37" i="52"/>
  <c r="JL30" i="52"/>
  <c r="JM30" i="52"/>
  <c r="JR30" i="52"/>
  <c r="JQ30" i="52"/>
  <c r="JN30" i="52"/>
  <c r="JK30" i="52"/>
  <c r="JL22" i="52"/>
  <c r="JM22" i="52"/>
  <c r="JR22" i="52"/>
  <c r="JQ22" i="52"/>
  <c r="JN22" i="52"/>
  <c r="JK22" i="52"/>
  <c r="JL26" i="52"/>
  <c r="JR26" i="52"/>
  <c r="JK26" i="52"/>
  <c r="JN26" i="52"/>
  <c r="JM26" i="52"/>
  <c r="JQ26" i="52"/>
  <c r="JL17" i="52"/>
  <c r="JR17" i="52"/>
  <c r="JQ17" i="52"/>
  <c r="JM17" i="52"/>
  <c r="JK17" i="52"/>
  <c r="JN17" i="52"/>
  <c r="JL28" i="52"/>
  <c r="JK28" i="52"/>
  <c r="JM28" i="52"/>
  <c r="JR28" i="52"/>
  <c r="JQ28" i="52"/>
  <c r="JN28" i="52"/>
  <c r="JL27" i="52"/>
  <c r="JQ27" i="52"/>
  <c r="JN27" i="52"/>
  <c r="JM27" i="52"/>
  <c r="JR27" i="52"/>
  <c r="JK27" i="52"/>
  <c r="JL32" i="52"/>
  <c r="JR32" i="52"/>
  <c r="JQ32" i="52"/>
  <c r="JN32" i="52"/>
  <c r="JK32" i="52"/>
  <c r="JM32" i="52"/>
  <c r="JL19" i="52"/>
  <c r="JM19" i="52"/>
  <c r="JQ19" i="52"/>
  <c r="JK19" i="52"/>
  <c r="JN19" i="52"/>
  <c r="JP19" i="52"/>
  <c r="JR19" i="52"/>
  <c r="JL15" i="52"/>
  <c r="JK15" i="52"/>
  <c r="JM15" i="52"/>
  <c r="JQ15" i="52"/>
  <c r="JN15" i="52"/>
  <c r="JR15" i="52"/>
  <c r="JL33" i="52"/>
  <c r="JQ33" i="52"/>
  <c r="JK33" i="52"/>
  <c r="JN33" i="52"/>
  <c r="JM33" i="52"/>
  <c r="JR33" i="52"/>
  <c r="JL20" i="52"/>
  <c r="JK20" i="52"/>
  <c r="JN20" i="52"/>
  <c r="JR20" i="52"/>
  <c r="JQ20" i="52"/>
  <c r="JM20" i="52"/>
  <c r="JL25" i="52"/>
  <c r="JQ25" i="52"/>
  <c r="JM25" i="52"/>
  <c r="JN25" i="52"/>
  <c r="JR25" i="52"/>
  <c r="JK25" i="52"/>
  <c r="JL23" i="52"/>
  <c r="JK23" i="52"/>
  <c r="JN23" i="52"/>
  <c r="JM23" i="52"/>
  <c r="JR23" i="52"/>
  <c r="JQ23" i="52"/>
  <c r="JL29" i="52"/>
  <c r="JR29" i="52"/>
  <c r="JQ29" i="52"/>
  <c r="JK29" i="52"/>
  <c r="JN29" i="52"/>
  <c r="JM29" i="52"/>
  <c r="JL18" i="52"/>
  <c r="JR18" i="52"/>
  <c r="JM18" i="52"/>
  <c r="JK18" i="52"/>
  <c r="JQ18" i="52"/>
  <c r="JN18" i="52"/>
  <c r="JL21" i="52"/>
  <c r="JK21" i="52"/>
  <c r="JR21" i="52"/>
  <c r="JQ21" i="52"/>
  <c r="JN21" i="52"/>
  <c r="JM21" i="52"/>
  <c r="JL31" i="52"/>
  <c r="JN31" i="52"/>
  <c r="JK31" i="52"/>
  <c r="JM31" i="52"/>
  <c r="JR31" i="52"/>
  <c r="JQ31" i="52"/>
  <c r="JL36" i="52"/>
  <c r="JK36" i="52"/>
  <c r="JM36" i="52"/>
  <c r="JR36" i="52"/>
  <c r="JN36" i="52"/>
  <c r="JQ36" i="52"/>
  <c r="JL34" i="52"/>
  <c r="JK34" i="52"/>
  <c r="JM34" i="52"/>
  <c r="JR34" i="52"/>
  <c r="JQ34" i="52"/>
  <c r="JN34" i="52"/>
  <c r="JL13" i="52"/>
  <c r="JR13" i="52"/>
  <c r="JQ13" i="52"/>
  <c r="JK13" i="52"/>
  <c r="JM13" i="52"/>
  <c r="JN13" i="52"/>
  <c r="JL35" i="52"/>
  <c r="JK35" i="52"/>
  <c r="JR35" i="52"/>
  <c r="JN35" i="52"/>
  <c r="JQ35" i="52"/>
  <c r="JM35" i="52"/>
  <c r="JL16" i="52"/>
  <c r="JQ16" i="52"/>
  <c r="JN16" i="52"/>
  <c r="JK16" i="52"/>
  <c r="JR16" i="52"/>
  <c r="JM16" i="52"/>
  <c r="JP38" i="52"/>
  <c r="GJ19" i="52"/>
  <c r="FP34" i="52"/>
  <c r="KJ40" i="52"/>
  <c r="AU57" i="60"/>
  <c r="KJ39" i="52"/>
  <c r="AU55" i="60"/>
  <c r="KN40" i="52"/>
  <c r="AV57" i="60"/>
  <c r="KN39" i="52"/>
  <c r="AV55" i="60"/>
  <c r="HF27" i="52"/>
  <c r="HL34" i="52"/>
  <c r="GD36" i="52"/>
  <c r="JZ40" i="52"/>
  <c r="AR57" i="60"/>
  <c r="FR27" i="52"/>
  <c r="KD39" i="52"/>
  <c r="AS55" i="60"/>
  <c r="KD40" i="52"/>
  <c r="AS57" i="60"/>
  <c r="KB36" i="52"/>
  <c r="KD36" i="52"/>
  <c r="JX36" i="52"/>
  <c r="JZ36" i="52"/>
  <c r="KA36" i="52"/>
  <c r="JW36" i="52"/>
  <c r="JV36" i="52"/>
  <c r="JU36" i="52"/>
  <c r="KB27" i="52"/>
  <c r="JX27" i="52"/>
  <c r="JW27" i="52"/>
  <c r="KA27" i="52"/>
  <c r="JV27" i="52"/>
  <c r="AQ35" i="60"/>
  <c r="JU27" i="52"/>
  <c r="JV37" i="52"/>
  <c r="JU37" i="52"/>
  <c r="KB37" i="52"/>
  <c r="KD37" i="52"/>
  <c r="JX37" i="52"/>
  <c r="JZ37" i="52"/>
  <c r="KA37" i="52"/>
  <c r="JW37" i="52"/>
  <c r="JV21" i="52"/>
  <c r="AQ23" i="60"/>
  <c r="JU21" i="52"/>
  <c r="KB21" i="52"/>
  <c r="JX21" i="52"/>
  <c r="KA21" i="52"/>
  <c r="JW21" i="52"/>
  <c r="JV19" i="52"/>
  <c r="AQ19" i="60"/>
  <c r="JU19" i="52"/>
  <c r="KB19" i="52"/>
  <c r="JX19" i="52"/>
  <c r="KA19" i="52"/>
  <c r="JW19" i="52"/>
  <c r="KB34" i="52"/>
  <c r="JX34" i="52"/>
  <c r="KA34" i="52"/>
  <c r="JW34" i="52"/>
  <c r="JV34" i="52"/>
  <c r="AQ49" i="60"/>
  <c r="JU34" i="52"/>
  <c r="KL26" i="52"/>
  <c r="KH26" i="52"/>
  <c r="KG26" i="52"/>
  <c r="KK26" i="52"/>
  <c r="KF26" i="52"/>
  <c r="AT33" i="60"/>
  <c r="KE26" i="52"/>
  <c r="KH25" i="52"/>
  <c r="KL25" i="52"/>
  <c r="KG25" i="52"/>
  <c r="KK25" i="52"/>
  <c r="KF25" i="52"/>
  <c r="AT31" i="60"/>
  <c r="KE25" i="52"/>
  <c r="KL31" i="52"/>
  <c r="KH31" i="52"/>
  <c r="KK31" i="52"/>
  <c r="KG31" i="52"/>
  <c r="KF31" i="52"/>
  <c r="AT43" i="60"/>
  <c r="KE31" i="52"/>
  <c r="KL29" i="52"/>
  <c r="KH29" i="52"/>
  <c r="KF29" i="52"/>
  <c r="AT39" i="60"/>
  <c r="KG29" i="52"/>
  <c r="KE29" i="52"/>
  <c r="KK29" i="52"/>
  <c r="KF22" i="52"/>
  <c r="AT25" i="60"/>
  <c r="KE22" i="52"/>
  <c r="KL22" i="52"/>
  <c r="KH22" i="52"/>
  <c r="KK22" i="52"/>
  <c r="KG22" i="52"/>
  <c r="KF28" i="52"/>
  <c r="AT37" i="60"/>
  <c r="KL28" i="52"/>
  <c r="KH28" i="52"/>
  <c r="KK28" i="52"/>
  <c r="KG28" i="52"/>
  <c r="KE28" i="52"/>
  <c r="KL23" i="52"/>
  <c r="KH23" i="52"/>
  <c r="KK23" i="52"/>
  <c r="KG23" i="52"/>
  <c r="KF23" i="52"/>
  <c r="AT27" i="60"/>
  <c r="KE23" i="52"/>
  <c r="KF30" i="52"/>
  <c r="AT41" i="60"/>
  <c r="KE30" i="52"/>
  <c r="KL30" i="52"/>
  <c r="KH30" i="52"/>
  <c r="KK30" i="52"/>
  <c r="KG30" i="52"/>
  <c r="KF20" i="52"/>
  <c r="AT21" i="60"/>
  <c r="KE20" i="52"/>
  <c r="KL20" i="52"/>
  <c r="KH20" i="52"/>
  <c r="KK20" i="52"/>
  <c r="KG20" i="52"/>
  <c r="KF24" i="52"/>
  <c r="AT29" i="60"/>
  <c r="KE24" i="52"/>
  <c r="KL24" i="52"/>
  <c r="KH24" i="52"/>
  <c r="KK24" i="52"/>
  <c r="KG24" i="52"/>
  <c r="KK15" i="52"/>
  <c r="KG15" i="52"/>
  <c r="KF15" i="52"/>
  <c r="AT17" i="60"/>
  <c r="KE15" i="52"/>
  <c r="KL15" i="52"/>
  <c r="KH15" i="52"/>
  <c r="JU13" i="52"/>
  <c r="KB13" i="52"/>
  <c r="KD13" i="52"/>
  <c r="JX13" i="52"/>
  <c r="JZ13" i="52"/>
  <c r="JW13" i="52"/>
  <c r="KA13" i="52"/>
  <c r="JV13" i="52"/>
  <c r="KB18" i="52"/>
  <c r="KD18" i="52"/>
  <c r="JX18" i="52"/>
  <c r="JZ18" i="52"/>
  <c r="KA18" i="52"/>
  <c r="JW18" i="52"/>
  <c r="JV18" i="52"/>
  <c r="JU18" i="52"/>
  <c r="JV26" i="52"/>
  <c r="AQ33" i="60"/>
  <c r="KB26" i="52"/>
  <c r="JW26" i="52"/>
  <c r="KA26" i="52"/>
  <c r="JU26" i="52"/>
  <c r="JX26" i="52"/>
  <c r="JV25" i="52"/>
  <c r="AQ31" i="60"/>
  <c r="JU25" i="52"/>
  <c r="KB25" i="52"/>
  <c r="JX25" i="52"/>
  <c r="KA25" i="52"/>
  <c r="JW25" i="52"/>
  <c r="JV31" i="52"/>
  <c r="AQ43" i="60"/>
  <c r="JU31" i="52"/>
  <c r="KB31" i="52"/>
  <c r="JX31" i="52"/>
  <c r="KA31" i="52"/>
  <c r="JW31" i="52"/>
  <c r="JV29" i="52"/>
  <c r="AQ39" i="60"/>
  <c r="KB29" i="52"/>
  <c r="JX29" i="52"/>
  <c r="JW29" i="52"/>
  <c r="JU29" i="52"/>
  <c r="KA29" i="52"/>
  <c r="KB22" i="52"/>
  <c r="JX22" i="52"/>
  <c r="KA22" i="52"/>
  <c r="JW22" i="52"/>
  <c r="JV22" i="52"/>
  <c r="AQ25" i="60"/>
  <c r="JU22" i="52"/>
  <c r="KB28" i="52"/>
  <c r="JX28" i="52"/>
  <c r="JV28" i="52"/>
  <c r="AQ37" i="60"/>
  <c r="JU28" i="52"/>
  <c r="KA28" i="52"/>
  <c r="JW28" i="52"/>
  <c r="JV23" i="52"/>
  <c r="AQ27" i="60"/>
  <c r="JU23" i="52"/>
  <c r="KB23" i="52"/>
  <c r="JX23" i="52"/>
  <c r="KA23" i="52"/>
  <c r="JW23" i="52"/>
  <c r="KB30" i="52"/>
  <c r="JX30" i="52"/>
  <c r="KA30" i="52"/>
  <c r="JW30" i="52"/>
  <c r="JV30" i="52"/>
  <c r="AQ41" i="60"/>
  <c r="JU30" i="52"/>
  <c r="KB20" i="52"/>
  <c r="JX20" i="52"/>
  <c r="KA20" i="52"/>
  <c r="JW20" i="52"/>
  <c r="JV20" i="52"/>
  <c r="AQ21" i="60"/>
  <c r="JU20" i="52"/>
  <c r="KB24" i="52"/>
  <c r="JX24" i="52"/>
  <c r="KA24" i="52"/>
  <c r="JW24" i="52"/>
  <c r="JV24" i="52"/>
  <c r="AQ29" i="60"/>
  <c r="JU24" i="52"/>
  <c r="JU15" i="52"/>
  <c r="KB15" i="52"/>
  <c r="JX15" i="52"/>
  <c r="KA15" i="52"/>
  <c r="JW15" i="52"/>
  <c r="JV15" i="52"/>
  <c r="AQ17" i="60"/>
  <c r="JV35" i="52"/>
  <c r="AQ51" i="60"/>
  <c r="JU35" i="52"/>
  <c r="KB35" i="52"/>
  <c r="JX35" i="52"/>
  <c r="KA35" i="52"/>
  <c r="JW35" i="52"/>
  <c r="JV17" i="52"/>
  <c r="JU17" i="52"/>
  <c r="KB17" i="52"/>
  <c r="KD17" i="52"/>
  <c r="JX17" i="52"/>
  <c r="JZ17" i="52"/>
  <c r="KA17" i="52"/>
  <c r="JW17" i="52"/>
  <c r="JV33" i="52"/>
  <c r="AQ47" i="60"/>
  <c r="JU33" i="52"/>
  <c r="KB33" i="52"/>
  <c r="JX33" i="52"/>
  <c r="KA33" i="52"/>
  <c r="JW33" i="52"/>
  <c r="KB32" i="52"/>
  <c r="JX32" i="52"/>
  <c r="KA32" i="52"/>
  <c r="JW32" i="52"/>
  <c r="JV32" i="52"/>
  <c r="AQ45" i="60"/>
  <c r="JU32" i="52"/>
  <c r="KF36" i="52"/>
  <c r="KE36" i="52"/>
  <c r="KL36" i="52"/>
  <c r="KN36" i="52"/>
  <c r="KH36" i="52"/>
  <c r="KJ36" i="52"/>
  <c r="KK36" i="52"/>
  <c r="KG36" i="52"/>
  <c r="KL27" i="52"/>
  <c r="KF27" i="52"/>
  <c r="AT35" i="60"/>
  <c r="KH27" i="52"/>
  <c r="KG27" i="52"/>
  <c r="KK27" i="52"/>
  <c r="KE27" i="52"/>
  <c r="KL37" i="52"/>
  <c r="KN37" i="52"/>
  <c r="KH37" i="52"/>
  <c r="KJ37" i="52"/>
  <c r="KK37" i="52"/>
  <c r="KG37" i="52"/>
  <c r="KF37" i="52"/>
  <c r="KE37" i="52"/>
  <c r="KL21" i="52"/>
  <c r="KH21" i="52"/>
  <c r="KK21" i="52"/>
  <c r="KG21" i="52"/>
  <c r="KF21" i="52"/>
  <c r="AT23" i="60"/>
  <c r="KE21" i="52"/>
  <c r="KF18" i="52"/>
  <c r="KE18" i="52"/>
  <c r="KL18" i="52"/>
  <c r="KN18" i="52"/>
  <c r="KH18" i="52"/>
  <c r="KJ18" i="52"/>
  <c r="KK18" i="52"/>
  <c r="KG18" i="52"/>
  <c r="EH28" i="52"/>
  <c r="AM101" i="61"/>
  <c r="II22" i="52"/>
  <c r="HR36" i="52"/>
  <c r="FT34" i="52"/>
  <c r="FV32" i="52"/>
  <c r="FD37" i="52"/>
  <c r="HP23" i="52"/>
  <c r="HL17" i="52"/>
  <c r="HL36" i="52"/>
  <c r="HS40" i="52"/>
  <c r="HH16" i="52"/>
  <c r="EG36" i="52"/>
  <c r="AL109" i="61"/>
  <c r="FX16" i="52"/>
  <c r="FX37" i="52"/>
  <c r="GN19" i="52"/>
  <c r="HL28" i="52"/>
  <c r="HG32" i="52"/>
  <c r="HE34" i="52"/>
  <c r="EH37" i="52"/>
  <c r="AM110" i="61"/>
  <c r="HL13" i="52"/>
  <c r="HD13" i="52"/>
  <c r="FX27" i="52"/>
  <c r="FX13" i="52"/>
  <c r="FX36" i="52"/>
  <c r="FX17" i="52"/>
  <c r="FX34" i="52"/>
  <c r="FX32" i="52"/>
  <c r="DT28" i="52"/>
  <c r="AA101" i="61"/>
  <c r="HR37" i="52"/>
  <c r="HH29" i="52"/>
  <c r="HL32" i="52"/>
  <c r="FR34" i="52"/>
  <c r="FT17" i="52"/>
  <c r="EZ35" i="52"/>
  <c r="HH17" i="52"/>
  <c r="HD32" i="52"/>
  <c r="HL37" i="52"/>
  <c r="HH32" i="52"/>
  <c r="HL27" i="52"/>
  <c r="HH34" i="52"/>
  <c r="FP13" i="52"/>
  <c r="FR13" i="52"/>
  <c r="FX12" i="52"/>
  <c r="FT16" i="52"/>
  <c r="FT32" i="52"/>
  <c r="HL12" i="52"/>
  <c r="HL16" i="52"/>
  <c r="II23" i="52"/>
  <c r="CU36" i="52"/>
  <c r="AB94" i="56"/>
  <c r="GN34" i="52"/>
  <c r="HT37" i="52"/>
  <c r="HE27" i="52"/>
  <c r="HH19" i="52"/>
  <c r="HD36" i="52"/>
  <c r="DU26" i="52"/>
  <c r="AB99" i="61"/>
  <c r="FW27" i="52"/>
  <c r="HH23" i="52"/>
  <c r="HK27" i="52"/>
  <c r="EH22" i="52"/>
  <c r="AM95" i="61"/>
  <c r="HE36" i="52"/>
  <c r="HV23" i="52"/>
  <c r="HD19" i="52"/>
  <c r="FT23" i="52"/>
  <c r="HC40" i="52"/>
  <c r="FX28" i="52"/>
  <c r="CJ36" i="52"/>
  <c r="S94" i="56"/>
  <c r="FI36" i="52"/>
  <c r="II28" i="52"/>
  <c r="GP34" i="52"/>
  <c r="HG27" i="52"/>
  <c r="HJ27" i="52"/>
  <c r="DU22" i="52"/>
  <c r="AB95" i="61"/>
  <c r="DU28" i="52"/>
  <c r="AB101" i="61"/>
  <c r="IH23" i="52"/>
  <c r="IH29" i="52"/>
  <c r="IH21" i="52"/>
  <c r="IH31" i="52"/>
  <c r="IH34" i="52"/>
  <c r="DW36" i="52"/>
  <c r="AD109" i="61"/>
  <c r="CU37" i="52"/>
  <c r="AB95" i="56"/>
  <c r="GW36" i="52"/>
  <c r="FC32" i="52"/>
  <c r="GU36" i="52"/>
  <c r="DT27" i="52"/>
  <c r="AA100" i="61"/>
  <c r="HD27" i="52"/>
  <c r="FP27" i="52"/>
  <c r="FS27" i="52"/>
  <c r="FV27" i="52"/>
  <c r="IH19" i="52"/>
  <c r="IH30" i="52"/>
  <c r="IH26" i="52"/>
  <c r="IH28" i="52"/>
  <c r="IH27" i="52"/>
  <c r="IH33" i="52"/>
  <c r="IM12" i="52"/>
  <c r="EK12" i="52"/>
  <c r="IX36" i="52"/>
  <c r="EJ36" i="52"/>
  <c r="JH36" i="52"/>
  <c r="ES36" i="52"/>
  <c r="JH37" i="52"/>
  <c r="ES37" i="52"/>
  <c r="IU33" i="52"/>
  <c r="AC47" i="60"/>
  <c r="ES33" i="52"/>
  <c r="T47" i="60"/>
  <c r="IU19" i="52"/>
  <c r="AC19" i="60"/>
  <c r="ES19" i="52"/>
  <c r="T19" i="60"/>
  <c r="JI29" i="52"/>
  <c r="AO39" i="60"/>
  <c r="ET29" i="52"/>
  <c r="JI27" i="52"/>
  <c r="AO35" i="60"/>
  <c r="ET27" i="52"/>
  <c r="JI36" i="52"/>
  <c r="ET36" i="52"/>
  <c r="IU35" i="52"/>
  <c r="AC51" i="60"/>
  <c r="ES35" i="52"/>
  <c r="T51" i="60"/>
  <c r="IU32" i="52"/>
  <c r="AC45" i="60"/>
  <c r="ES32" i="52"/>
  <c r="T45" i="60"/>
  <c r="IU34" i="52"/>
  <c r="AC49" i="60"/>
  <c r="ES34" i="52"/>
  <c r="T49" i="60"/>
  <c r="JH15" i="52"/>
  <c r="AN17" i="60"/>
  <c r="ES15" i="52"/>
  <c r="T17" i="60"/>
  <c r="JI23" i="52"/>
  <c r="AO27" i="60"/>
  <c r="ET23" i="52"/>
  <c r="IU17" i="52"/>
  <c r="ES17" i="52"/>
  <c r="FB33" i="52"/>
  <c r="GL33" i="52"/>
  <c r="GP32" i="52"/>
  <c r="EV34" i="52"/>
  <c r="GL32" i="52"/>
  <c r="FB19" i="52"/>
  <c r="GQ19" i="52"/>
  <c r="EY19" i="52"/>
  <c r="FA19" i="52"/>
  <c r="FB32" i="52"/>
  <c r="EY33" i="52"/>
  <c r="GK33" i="52"/>
  <c r="GK32" i="52"/>
  <c r="GM19" i="52"/>
  <c r="GQ33" i="52"/>
  <c r="GP19" i="52"/>
  <c r="FC19" i="52"/>
  <c r="EY32" i="52"/>
  <c r="FC33" i="52"/>
  <c r="GJ33" i="52"/>
  <c r="GJ32" i="52"/>
  <c r="GL19" i="52"/>
  <c r="GP33" i="52"/>
  <c r="EV19" i="52"/>
  <c r="EV32" i="52"/>
  <c r="EX19" i="52"/>
  <c r="EX32" i="52"/>
  <c r="EX33" i="52"/>
  <c r="GM33" i="52"/>
  <c r="GM32" i="52"/>
  <c r="AE57" i="60"/>
  <c r="AE58" i="60"/>
  <c r="AD57" i="60"/>
  <c r="AD58" i="60"/>
  <c r="FO40" i="52"/>
  <c r="AD56" i="60"/>
  <c r="FE39" i="52"/>
  <c r="AE53" i="60"/>
  <c r="AE54" i="60"/>
  <c r="FK39" i="52"/>
  <c r="HC39" i="52"/>
  <c r="GS39" i="52"/>
  <c r="GE40" i="52"/>
  <c r="AS113" i="61"/>
  <c r="AD53" i="60"/>
  <c r="AD54" i="60"/>
  <c r="HM39" i="52"/>
  <c r="HW40" i="52"/>
  <c r="GI40" i="52"/>
  <c r="AT113" i="61"/>
  <c r="FU40" i="52"/>
  <c r="AP113" i="61"/>
  <c r="FE40" i="52"/>
  <c r="FA40" i="52"/>
  <c r="FK40" i="52"/>
  <c r="FY40" i="52"/>
  <c r="AQ113" i="61"/>
  <c r="GO40" i="52"/>
  <c r="GY40" i="52"/>
  <c r="HM40" i="52"/>
  <c r="HI40" i="52"/>
  <c r="GS40" i="52"/>
  <c r="GI39" i="52"/>
  <c r="AT112" i="61"/>
  <c r="GY39" i="52"/>
  <c r="FY39" i="52"/>
  <c r="AQ112" i="61"/>
  <c r="HW39" i="52"/>
  <c r="FA39" i="52"/>
  <c r="FO39" i="52"/>
  <c r="GO39" i="52"/>
  <c r="HU28" i="52"/>
  <c r="HE33" i="52"/>
  <c r="GY38" i="52"/>
  <c r="FK38" i="52"/>
  <c r="HC38" i="52"/>
  <c r="FA38" i="52"/>
  <c r="FO38" i="52"/>
  <c r="EX34" i="52"/>
  <c r="EV35" i="52"/>
  <c r="EX35" i="52"/>
  <c r="FT29" i="52"/>
  <c r="GD37" i="52"/>
  <c r="FX19" i="52"/>
  <c r="EZ34" i="52"/>
  <c r="HB36" i="52"/>
  <c r="HQ37" i="52"/>
  <c r="HP28" i="52"/>
  <c r="DT17" i="52"/>
  <c r="AA90" i="61"/>
  <c r="DT19" i="52"/>
  <c r="AA92" i="61"/>
  <c r="GN33" i="52"/>
  <c r="HU37" i="52"/>
  <c r="HH27" i="52"/>
  <c r="HH22" i="52"/>
  <c r="HL33" i="52"/>
  <c r="HL19" i="52"/>
  <c r="FT13" i="52"/>
  <c r="FT28" i="52"/>
  <c r="FQ36" i="52"/>
  <c r="AO109" i="61"/>
  <c r="HF26" i="52"/>
  <c r="AH99" i="61"/>
  <c r="AH103" i="61"/>
  <c r="AH109" i="61"/>
  <c r="AH94" i="61"/>
  <c r="AH102" i="61"/>
  <c r="AH91" i="61"/>
  <c r="AH101" i="61"/>
  <c r="AH97" i="61"/>
  <c r="AH96" i="61"/>
  <c r="AH104" i="61"/>
  <c r="AH98" i="61"/>
  <c r="AG94" i="61"/>
  <c r="AG98" i="61"/>
  <c r="AG104" i="61"/>
  <c r="AG97" i="61"/>
  <c r="AG99" i="61"/>
  <c r="AG96" i="61"/>
  <c r="AG103" i="61"/>
  <c r="AG109" i="61"/>
  <c r="AF103" i="61"/>
  <c r="AF97" i="61"/>
  <c r="AF99" i="61"/>
  <c r="AF98" i="61"/>
  <c r="AF104" i="61"/>
  <c r="AF101" i="61"/>
  <c r="GA37" i="52"/>
  <c r="AR110" i="61"/>
  <c r="AF110" i="61"/>
  <c r="AF94" i="61"/>
  <c r="AF96" i="61"/>
  <c r="FV17" i="52"/>
  <c r="U90" i="61"/>
  <c r="FB34" i="52"/>
  <c r="FB35" i="52"/>
  <c r="FM36" i="52"/>
  <c r="GK34" i="52"/>
  <c r="GM35" i="52"/>
  <c r="GQ35" i="52"/>
  <c r="GT36" i="52"/>
  <c r="GV36" i="52"/>
  <c r="GZ36" i="52"/>
  <c r="HE17" i="52"/>
  <c r="HD17" i="52"/>
  <c r="EW19" i="52"/>
  <c r="EW33" i="52"/>
  <c r="FQ17" i="52"/>
  <c r="AO90" i="61"/>
  <c r="EY35" i="52"/>
  <c r="FH36" i="52"/>
  <c r="GP35" i="52"/>
  <c r="HG17" i="52"/>
  <c r="HF17" i="52"/>
  <c r="FP17" i="52"/>
  <c r="FW17" i="52"/>
  <c r="EY34" i="52"/>
  <c r="FF36" i="52"/>
  <c r="GJ34" i="52"/>
  <c r="GL35" i="52"/>
  <c r="FC34" i="52"/>
  <c r="FC35" i="52"/>
  <c r="FG36" i="52"/>
  <c r="AR94" i="56"/>
  <c r="FL36" i="52"/>
  <c r="GK35" i="52"/>
  <c r="GM34" i="52"/>
  <c r="GQ34" i="52"/>
  <c r="HK17" i="52"/>
  <c r="HJ17" i="52"/>
  <c r="EW34" i="52"/>
  <c r="EW32" i="52"/>
  <c r="EW35" i="52"/>
  <c r="FS17" i="52"/>
  <c r="FW37" i="52"/>
  <c r="FW36" i="52"/>
  <c r="FS13" i="52"/>
  <c r="II18" i="52"/>
  <c r="EZ33" i="52"/>
  <c r="HP37" i="52"/>
  <c r="HN28" i="52"/>
  <c r="HF36" i="52"/>
  <c r="HK33" i="52"/>
  <c r="HJ19" i="52"/>
  <c r="HV22" i="52"/>
  <c r="FR19" i="52"/>
  <c r="GG37" i="52"/>
  <c r="FT33" i="52"/>
  <c r="GH29" i="52"/>
  <c r="FT22" i="52"/>
  <c r="HO37" i="52"/>
  <c r="HK36" i="52"/>
  <c r="HD33" i="52"/>
  <c r="HJ26" i="52"/>
  <c r="FR26" i="52"/>
  <c r="HN37" i="52"/>
  <c r="HO28" i="52"/>
  <c r="HG36" i="52"/>
  <c r="HG33" i="52"/>
  <c r="HE19" i="52"/>
  <c r="HF19" i="52"/>
  <c r="HE26" i="52"/>
  <c r="HV29" i="52"/>
  <c r="HH33" i="52"/>
  <c r="FP36" i="52"/>
  <c r="FS36" i="52"/>
  <c r="FW33" i="52"/>
  <c r="FZ37" i="52"/>
  <c r="GH22" i="52"/>
  <c r="GH23" i="52"/>
  <c r="HF33" i="52"/>
  <c r="HG26" i="52"/>
  <c r="FQ33" i="52"/>
  <c r="AO106" i="61"/>
  <c r="FV33" i="52"/>
  <c r="FV36" i="52"/>
  <c r="GC37" i="52"/>
  <c r="FT19" i="52"/>
  <c r="HK26" i="52"/>
  <c r="FP33" i="52"/>
  <c r="FP26" i="52"/>
  <c r="FS26" i="52"/>
  <c r="FS33" i="52"/>
  <c r="FW26" i="52"/>
  <c r="GB37" i="52"/>
  <c r="FX33" i="52"/>
  <c r="FT27" i="52"/>
  <c r="FT35" i="52"/>
  <c r="FX35" i="52"/>
  <c r="HL35" i="52"/>
  <c r="GB23" i="52"/>
  <c r="HH35" i="52"/>
  <c r="IV22" i="52"/>
  <c r="AD25" i="60"/>
  <c r="JI22" i="52"/>
  <c r="AO25" i="60"/>
  <c r="IU20" i="52"/>
  <c r="AC21" i="60"/>
  <c r="JH20" i="52"/>
  <c r="IV26" i="52"/>
  <c r="AD33" i="60"/>
  <c r="JI26" i="52"/>
  <c r="AO33" i="60"/>
  <c r="IU18" i="52"/>
  <c r="JH18" i="52"/>
  <c r="IV31" i="52"/>
  <c r="AD43" i="60"/>
  <c r="JI31" i="52"/>
  <c r="AO43" i="60"/>
  <c r="IV18" i="52"/>
  <c r="JI18" i="52"/>
  <c r="IU23" i="52"/>
  <c r="AC27" i="60"/>
  <c r="JH23" i="52"/>
  <c r="AN27" i="60"/>
  <c r="IU29" i="52"/>
  <c r="AC39" i="60"/>
  <c r="JH29" i="52"/>
  <c r="AN39" i="60"/>
  <c r="IU21" i="52"/>
  <c r="AC23" i="60"/>
  <c r="JH21" i="52"/>
  <c r="IU31" i="52"/>
  <c r="AC43" i="60"/>
  <c r="JH31" i="52"/>
  <c r="AN43" i="60"/>
  <c r="IM14" i="52"/>
  <c r="IZ14" i="52"/>
  <c r="AH15" i="60"/>
  <c r="IV20" i="52"/>
  <c r="AD21" i="60"/>
  <c r="JI20" i="52"/>
  <c r="AO21" i="60"/>
  <c r="IV30" i="52"/>
  <c r="AD41" i="60"/>
  <c r="JI30" i="52"/>
  <c r="AO41" i="60"/>
  <c r="IV21" i="52"/>
  <c r="AD23" i="60"/>
  <c r="JI21" i="52"/>
  <c r="AO23" i="60"/>
  <c r="IV28" i="52"/>
  <c r="AD37" i="60"/>
  <c r="JI28" i="52"/>
  <c r="AO37" i="60"/>
  <c r="IU22" i="52"/>
  <c r="AC25" i="60"/>
  <c r="JH22" i="52"/>
  <c r="AN25" i="60"/>
  <c r="IV15" i="52"/>
  <c r="AD17" i="60"/>
  <c r="JI15" i="52"/>
  <c r="AO17" i="60"/>
  <c r="IV37" i="52"/>
  <c r="JI37" i="52"/>
  <c r="IU28" i="52"/>
  <c r="AC37" i="60"/>
  <c r="JH28" i="52"/>
  <c r="AN37" i="60"/>
  <c r="IU26" i="52"/>
  <c r="AC33" i="60"/>
  <c r="JH26" i="52"/>
  <c r="AN33" i="60"/>
  <c r="IU30" i="52"/>
  <c r="AC41" i="60"/>
  <c r="JH30" i="52"/>
  <c r="AN41" i="60"/>
  <c r="IU27" i="52"/>
  <c r="AC35" i="60"/>
  <c r="JH27" i="52"/>
  <c r="HJ35" i="52"/>
  <c r="FR35" i="52"/>
  <c r="DU34" i="52"/>
  <c r="AB107" i="61"/>
  <c r="IV34" i="52"/>
  <c r="AD49" i="60"/>
  <c r="DU19" i="52"/>
  <c r="AB92" i="61"/>
  <c r="IV19" i="52"/>
  <c r="AD19" i="60"/>
  <c r="EH27" i="52"/>
  <c r="AM100" i="61"/>
  <c r="IV27" i="52"/>
  <c r="AD35" i="60"/>
  <c r="IH36" i="52"/>
  <c r="IU36" i="52"/>
  <c r="IH37" i="52"/>
  <c r="IU37" i="52"/>
  <c r="DU13" i="52"/>
  <c r="AB86" i="61"/>
  <c r="IV13" i="52"/>
  <c r="DU17" i="52"/>
  <c r="AB90" i="61"/>
  <c r="IV17" i="52"/>
  <c r="DU16" i="52"/>
  <c r="AB89" i="61"/>
  <c r="IV16" i="52"/>
  <c r="DU33" i="52"/>
  <c r="AB106" i="61"/>
  <c r="IV33" i="52"/>
  <c r="AD47" i="60"/>
  <c r="EH29" i="52"/>
  <c r="AM102" i="61"/>
  <c r="IV29" i="52"/>
  <c r="AD39" i="60"/>
  <c r="DU32" i="52"/>
  <c r="AB105" i="61"/>
  <c r="IV32" i="52"/>
  <c r="AD45" i="60"/>
  <c r="DU36" i="52"/>
  <c r="AB109" i="61"/>
  <c r="IV36" i="52"/>
  <c r="IH13" i="52"/>
  <c r="IU13" i="52"/>
  <c r="IH15" i="52"/>
  <c r="IU15" i="52"/>
  <c r="AC17" i="60"/>
  <c r="EH23" i="52"/>
  <c r="AM96" i="61"/>
  <c r="IV23" i="52"/>
  <c r="AD27" i="60"/>
  <c r="DU35" i="52"/>
  <c r="AB108" i="61"/>
  <c r="IV35" i="52"/>
  <c r="AD51" i="60"/>
  <c r="DT36" i="52"/>
  <c r="AA109" i="61"/>
  <c r="FQ19" i="52"/>
  <c r="AO92" i="61"/>
  <c r="FR33" i="52"/>
  <c r="FR36" i="52"/>
  <c r="FW19" i="52"/>
  <c r="FV26" i="52"/>
  <c r="FZ28" i="52"/>
  <c r="GC28" i="52"/>
  <c r="GG28" i="52"/>
  <c r="HQ28" i="52"/>
  <c r="HS28" i="52"/>
  <c r="HT28" i="52"/>
  <c r="HJ36" i="52"/>
  <c r="DT33" i="52"/>
  <c r="AA106" i="61"/>
  <c r="HJ33" i="52"/>
  <c r="HK19" i="52"/>
  <c r="HG19" i="52"/>
  <c r="HD26" i="52"/>
  <c r="FP19" i="52"/>
  <c r="FQ26" i="52"/>
  <c r="AO99" i="61"/>
  <c r="FS19" i="52"/>
  <c r="FV19" i="52"/>
  <c r="GB28" i="52"/>
  <c r="GF28" i="52"/>
  <c r="II21" i="52"/>
  <c r="II15" i="52"/>
  <c r="DG36" i="52"/>
  <c r="AL94" i="56"/>
  <c r="IH20" i="52"/>
  <c r="GN32" i="52"/>
  <c r="HQ23" i="52"/>
  <c r="HT23" i="52"/>
  <c r="HK32" i="52"/>
  <c r="DT34" i="52"/>
  <c r="AA107" i="61"/>
  <c r="HD34" i="52"/>
  <c r="HE13" i="52"/>
  <c r="HF13" i="52"/>
  <c r="FQ32" i="52"/>
  <c r="AO105" i="61"/>
  <c r="FS32" i="52"/>
  <c r="FW34" i="52"/>
  <c r="FW13" i="52"/>
  <c r="GA23" i="52"/>
  <c r="AR96" i="61"/>
  <c r="GG23" i="52"/>
  <c r="DT35" i="52"/>
  <c r="AA108" i="61"/>
  <c r="HE35" i="52"/>
  <c r="FQ35" i="52"/>
  <c r="AO108" i="61"/>
  <c r="FJ36" i="52"/>
  <c r="GX36" i="52"/>
  <c r="GN35" i="52"/>
  <c r="HU23" i="52"/>
  <c r="DT32" i="52"/>
  <c r="AA105" i="61"/>
  <c r="HF32" i="52"/>
  <c r="HG34" i="52"/>
  <c r="HF34" i="52"/>
  <c r="HG13" i="52"/>
  <c r="HJ13" i="52"/>
  <c r="FP32" i="52"/>
  <c r="FR32" i="52"/>
  <c r="FV34" i="52"/>
  <c r="FV13" i="52"/>
  <c r="FZ23" i="52"/>
  <c r="GF23" i="52"/>
  <c r="FP35" i="52"/>
  <c r="HK35" i="52"/>
  <c r="FV35" i="52"/>
  <c r="CT37" i="52"/>
  <c r="AA95" i="56"/>
  <c r="EZ32" i="52"/>
  <c r="HN23" i="52"/>
  <c r="HE32" i="52"/>
  <c r="HJ32" i="52"/>
  <c r="HK34" i="52"/>
  <c r="HJ34" i="52"/>
  <c r="HK13" i="52"/>
  <c r="DT13" i="52"/>
  <c r="AA86" i="61"/>
  <c r="FQ13" i="52"/>
  <c r="AO86" i="61"/>
  <c r="FQ34" i="52"/>
  <c r="AO107" i="61"/>
  <c r="FS34" i="52"/>
  <c r="FW32" i="52"/>
  <c r="GC23" i="52"/>
  <c r="HG35" i="52"/>
  <c r="FS35" i="52"/>
  <c r="HF35" i="52"/>
  <c r="HD35" i="52"/>
  <c r="FW35" i="52"/>
  <c r="IH16" i="52"/>
  <c r="IH35" i="52"/>
  <c r="II31" i="52"/>
  <c r="II36" i="52"/>
  <c r="II37" i="52"/>
  <c r="II20" i="52"/>
  <c r="DL12" i="52"/>
  <c r="U85" i="61"/>
  <c r="CU19" i="52"/>
  <c r="II19" i="52"/>
  <c r="CU13" i="52"/>
  <c r="AB90" i="56"/>
  <c r="II13" i="52"/>
  <c r="CU34" i="52"/>
  <c r="II34" i="52"/>
  <c r="CU32" i="52"/>
  <c r="II32" i="52"/>
  <c r="CU35" i="52"/>
  <c r="II35" i="52"/>
  <c r="CU33" i="52"/>
  <c r="II33" i="52"/>
  <c r="CU16" i="52"/>
  <c r="AB91" i="56"/>
  <c r="II16" i="52"/>
  <c r="CU17" i="52"/>
  <c r="AB92" i="56"/>
  <c r="II17" i="52"/>
  <c r="HX36" i="52"/>
  <c r="HZ14" i="52"/>
  <c r="HZ12" i="52"/>
  <c r="CY24" i="52"/>
  <c r="FF24" i="52"/>
  <c r="HZ24" i="52"/>
  <c r="EG23" i="52"/>
  <c r="HR23" i="52"/>
  <c r="GD23" i="52"/>
  <c r="HV27" i="52"/>
  <c r="GH27" i="52"/>
  <c r="FD36" i="52"/>
  <c r="EG28" i="52"/>
  <c r="FX22" i="52"/>
  <c r="HN26" i="52"/>
  <c r="HL22" i="52"/>
  <c r="DT22" i="52"/>
  <c r="AA95" i="61"/>
  <c r="HO26" i="52"/>
  <c r="HP26" i="52"/>
  <c r="HQ26" i="52"/>
  <c r="HT26" i="52"/>
  <c r="GC26" i="52"/>
  <c r="HU26" i="52"/>
  <c r="GG26" i="52"/>
  <c r="GA26" i="52"/>
  <c r="AR99" i="61"/>
  <c r="GD29" i="52"/>
  <c r="HR29" i="52"/>
  <c r="EG22" i="52"/>
  <c r="EG26" i="52"/>
  <c r="DU27" i="52"/>
  <c r="AB100" i="61"/>
  <c r="HR22" i="52"/>
  <c r="HR27" i="52"/>
  <c r="GH28" i="52"/>
  <c r="HV28" i="52"/>
  <c r="FZ26" i="52"/>
  <c r="GB26" i="52"/>
  <c r="GF26" i="52"/>
  <c r="GD27" i="52"/>
  <c r="GD22" i="52"/>
  <c r="HF37" i="52"/>
  <c r="FR37" i="52"/>
  <c r="HE37" i="52"/>
  <c r="FV37" i="52"/>
  <c r="FT36" i="52"/>
  <c r="HG37" i="52"/>
  <c r="HJ37" i="52"/>
  <c r="FQ37" i="52"/>
  <c r="AO110" i="61"/>
  <c r="FT37" i="52"/>
  <c r="CT36" i="52"/>
  <c r="AA94" i="56"/>
  <c r="GN36" i="52"/>
  <c r="GO36" i="52"/>
  <c r="EG27" i="52"/>
  <c r="HH36" i="52"/>
  <c r="HK37" i="52"/>
  <c r="FP37" i="52"/>
  <c r="HD37" i="52"/>
  <c r="FS37" i="52"/>
  <c r="DU29" i="52"/>
  <c r="AB102" i="61"/>
  <c r="HL23" i="52"/>
  <c r="DT23" i="52"/>
  <c r="AA96" i="61"/>
  <c r="FX23" i="52"/>
  <c r="DT26" i="52"/>
  <c r="AA99" i="61"/>
  <c r="HV37" i="52"/>
  <c r="HL29" i="52"/>
  <c r="DT29" i="52"/>
  <c r="AA102" i="61"/>
  <c r="EG29" i="52"/>
  <c r="GH37" i="52"/>
  <c r="FX29" i="52"/>
  <c r="DT37" i="52"/>
  <c r="AA110" i="61"/>
  <c r="EG37" i="52"/>
  <c r="AL110" i="61"/>
  <c r="CL24" i="52"/>
  <c r="FT30" i="52"/>
  <c r="FX20" i="52"/>
  <c r="FX30" i="52"/>
  <c r="FX25" i="52"/>
  <c r="GH18" i="52"/>
  <c r="GH24" i="52"/>
  <c r="FX14" i="52"/>
  <c r="GD15" i="52"/>
  <c r="GD31" i="52"/>
  <c r="GH30" i="52"/>
  <c r="GH31" i="52"/>
  <c r="GD20" i="52"/>
  <c r="FX18" i="52"/>
  <c r="FX21" i="52"/>
  <c r="GH15" i="52"/>
  <c r="FT15" i="52"/>
  <c r="FT31" i="52"/>
  <c r="GD21" i="52"/>
  <c r="FX31" i="52"/>
  <c r="FT20" i="52"/>
  <c r="GH21" i="52"/>
  <c r="FX15" i="52"/>
  <c r="GD30" i="52"/>
  <c r="GH20" i="52"/>
  <c r="FT21" i="52"/>
  <c r="GH25" i="52"/>
  <c r="FX24" i="52"/>
  <c r="GH14" i="52"/>
  <c r="GF18" i="52"/>
  <c r="GG18" i="52"/>
  <c r="GF21" i="52"/>
  <c r="GG21" i="52"/>
  <c r="GF15" i="52"/>
  <c r="GG15" i="52"/>
  <c r="GF20" i="52"/>
  <c r="GG20" i="52"/>
  <c r="GF25" i="52"/>
  <c r="GG25" i="52"/>
  <c r="GF31" i="52"/>
  <c r="GG31" i="52"/>
  <c r="GF30" i="52"/>
  <c r="GG30" i="52"/>
  <c r="GF24" i="52"/>
  <c r="GG24" i="52"/>
  <c r="GB18" i="52"/>
  <c r="GC18" i="52"/>
  <c r="GB21" i="52"/>
  <c r="GC21" i="52"/>
  <c r="GB15" i="52"/>
  <c r="GC15" i="52"/>
  <c r="GB20" i="52"/>
  <c r="GC20" i="52"/>
  <c r="GB25" i="52"/>
  <c r="GC25" i="52"/>
  <c r="GB31" i="52"/>
  <c r="GC31" i="52"/>
  <c r="GB30" i="52"/>
  <c r="GC30" i="52"/>
  <c r="GB24" i="52"/>
  <c r="GC24" i="52"/>
  <c r="FZ18" i="52"/>
  <c r="GA18" i="52"/>
  <c r="AR91" i="61"/>
  <c r="FZ21" i="52"/>
  <c r="GA21" i="52"/>
  <c r="AR94" i="61"/>
  <c r="FZ15" i="52"/>
  <c r="GA15" i="52"/>
  <c r="AR88" i="61"/>
  <c r="FZ20" i="52"/>
  <c r="GA20" i="52"/>
  <c r="AR93" i="61"/>
  <c r="FZ25" i="52"/>
  <c r="GA25" i="52"/>
  <c r="AR98" i="61"/>
  <c r="FZ31" i="52"/>
  <c r="GA31" i="52"/>
  <c r="AR104" i="61"/>
  <c r="FZ30" i="52"/>
  <c r="GA30" i="52"/>
  <c r="AR103" i="61"/>
  <c r="FZ24" i="52"/>
  <c r="GA24" i="52"/>
  <c r="AR97" i="61"/>
  <c r="FV25" i="52"/>
  <c r="FW25" i="52"/>
  <c r="FV31" i="52"/>
  <c r="FW31" i="52"/>
  <c r="FV30" i="52"/>
  <c r="FW30" i="52"/>
  <c r="FV24" i="52"/>
  <c r="FW24" i="52"/>
  <c r="FV21" i="52"/>
  <c r="FW21" i="52"/>
  <c r="FV20" i="52"/>
  <c r="FW20" i="52"/>
  <c r="FV18" i="52"/>
  <c r="FW18" i="52"/>
  <c r="FV15" i="52"/>
  <c r="FW15" i="52"/>
  <c r="FR20" i="52"/>
  <c r="FS20" i="52"/>
  <c r="FR18" i="52"/>
  <c r="FS18" i="52"/>
  <c r="FR15" i="52"/>
  <c r="FS15" i="52"/>
  <c r="FR25" i="52"/>
  <c r="FS25" i="52"/>
  <c r="FR31" i="52"/>
  <c r="FS31" i="52"/>
  <c r="FR30" i="52"/>
  <c r="FS30" i="52"/>
  <c r="FR24" i="52"/>
  <c r="FS24" i="52"/>
  <c r="FR21" i="52"/>
  <c r="FS21" i="52"/>
  <c r="FP25" i="52"/>
  <c r="FQ25" i="52"/>
  <c r="AO98" i="61"/>
  <c r="FP31" i="52"/>
  <c r="FQ31" i="52"/>
  <c r="AO104" i="61"/>
  <c r="FP30" i="52"/>
  <c r="FQ30" i="52"/>
  <c r="AO103" i="61"/>
  <c r="FP24" i="52"/>
  <c r="FQ24" i="52"/>
  <c r="AO97" i="61"/>
  <c r="FP21" i="52"/>
  <c r="FQ21" i="52"/>
  <c r="AO94" i="61"/>
  <c r="FP20" i="52"/>
  <c r="FQ20" i="52"/>
  <c r="AO93" i="61"/>
  <c r="FP18" i="52"/>
  <c r="FQ18" i="52"/>
  <c r="AO91" i="61"/>
  <c r="FP15" i="52"/>
  <c r="FQ15" i="52"/>
  <c r="AO88" i="61"/>
  <c r="EV29" i="52"/>
  <c r="EW29" i="52"/>
  <c r="EV17" i="52"/>
  <c r="EW17" i="52"/>
  <c r="AO92" i="56"/>
  <c r="EV28" i="52"/>
  <c r="EW28" i="52"/>
  <c r="EV30" i="52"/>
  <c r="EW30" i="52"/>
  <c r="EV13" i="52"/>
  <c r="EW13" i="52"/>
  <c r="AO90" i="56"/>
  <c r="EV25" i="52"/>
  <c r="EW25" i="52"/>
  <c r="EV26" i="52"/>
  <c r="EW26" i="52"/>
  <c r="EV23" i="52"/>
  <c r="EW23" i="52"/>
  <c r="EV21" i="52"/>
  <c r="EW21" i="52"/>
  <c r="EV15" i="52"/>
  <c r="EW15" i="52"/>
  <c r="EV22" i="52"/>
  <c r="EW22" i="52"/>
  <c r="EV27" i="52"/>
  <c r="EW27" i="52"/>
  <c r="EV18" i="52"/>
  <c r="EW18" i="52"/>
  <c r="AO93" i="56"/>
  <c r="EV20" i="52"/>
  <c r="EW20" i="52"/>
  <c r="EV31" i="52"/>
  <c r="EW31" i="52"/>
  <c r="DY14" i="52"/>
  <c r="AF87" i="61"/>
  <c r="DL14" i="52"/>
  <c r="U87" i="61"/>
  <c r="DU20" i="52"/>
  <c r="AB93" i="61"/>
  <c r="EH20" i="52"/>
  <c r="AM93" i="61"/>
  <c r="HT25" i="52"/>
  <c r="HP25" i="52"/>
  <c r="HN25" i="52"/>
  <c r="HU25" i="52"/>
  <c r="HQ25" i="52"/>
  <c r="HO25" i="52"/>
  <c r="HR15" i="52"/>
  <c r="HR31" i="52"/>
  <c r="HT31" i="52"/>
  <c r="HP31" i="52"/>
  <c r="HN31" i="52"/>
  <c r="HU31" i="52"/>
  <c r="HQ31" i="52"/>
  <c r="HO31" i="52"/>
  <c r="EG31" i="52"/>
  <c r="HV30" i="52"/>
  <c r="HV25" i="52"/>
  <c r="HL18" i="52"/>
  <c r="HT30" i="52"/>
  <c r="HP30" i="52"/>
  <c r="HN30" i="52"/>
  <c r="HU30" i="52"/>
  <c r="HQ30" i="52"/>
  <c r="HO30" i="52"/>
  <c r="EG30" i="52"/>
  <c r="HL21" i="52"/>
  <c r="HV15" i="52"/>
  <c r="HT24" i="52"/>
  <c r="HP24" i="52"/>
  <c r="HN24" i="52"/>
  <c r="HU24" i="52"/>
  <c r="HQ24" i="52"/>
  <c r="HO24" i="52"/>
  <c r="HJ15" i="52"/>
  <c r="HF15" i="52"/>
  <c r="HD15" i="52"/>
  <c r="HE15" i="52"/>
  <c r="HK15" i="52"/>
  <c r="HG15" i="52"/>
  <c r="DT15" i="52"/>
  <c r="AA88" i="61"/>
  <c r="EH30" i="52"/>
  <c r="AM103" i="61"/>
  <c r="DU30" i="52"/>
  <c r="AB103" i="61"/>
  <c r="EH21" i="52"/>
  <c r="AM94" i="61"/>
  <c r="DU21" i="52"/>
  <c r="AB94" i="61"/>
  <c r="HJ25" i="52"/>
  <c r="HF25" i="52"/>
  <c r="HD25" i="52"/>
  <c r="HK25" i="52"/>
  <c r="HG25" i="52"/>
  <c r="HE25" i="52"/>
  <c r="HH15" i="52"/>
  <c r="HH31" i="52"/>
  <c r="HK31" i="52"/>
  <c r="HG31" i="52"/>
  <c r="HF31" i="52"/>
  <c r="HD31" i="52"/>
  <c r="HE31" i="52"/>
  <c r="HJ31" i="52"/>
  <c r="DT31" i="52"/>
  <c r="AA104" i="61"/>
  <c r="HR21" i="52"/>
  <c r="HL25" i="52"/>
  <c r="HT21" i="52"/>
  <c r="HP21" i="52"/>
  <c r="HN21" i="52"/>
  <c r="HU21" i="52"/>
  <c r="HQ21" i="52"/>
  <c r="HO21" i="52"/>
  <c r="EG21" i="52"/>
  <c r="HG30" i="52"/>
  <c r="HE30" i="52"/>
  <c r="HF30" i="52"/>
  <c r="HJ30" i="52"/>
  <c r="HK30" i="52"/>
  <c r="HD30" i="52"/>
  <c r="DT30" i="52"/>
  <c r="AA103" i="61"/>
  <c r="HV21" i="52"/>
  <c r="HL15" i="52"/>
  <c r="HJ24" i="52"/>
  <c r="HF24" i="52"/>
  <c r="HD24" i="52"/>
  <c r="HK24" i="52"/>
  <c r="HG24" i="52"/>
  <c r="HE24" i="52"/>
  <c r="HN15" i="52"/>
  <c r="EG15" i="52"/>
  <c r="AL88" i="61"/>
  <c r="HO15" i="52"/>
  <c r="HT15" i="52"/>
  <c r="HP15" i="52"/>
  <c r="HU15" i="52"/>
  <c r="HQ15" i="52"/>
  <c r="DU15" i="52"/>
  <c r="AB88" i="61"/>
  <c r="EH15" i="52"/>
  <c r="AM88" i="61"/>
  <c r="HR30" i="52"/>
  <c r="HV20" i="52"/>
  <c r="HH21" i="52"/>
  <c r="HV31" i="52"/>
  <c r="HR20" i="52"/>
  <c r="HG18" i="52"/>
  <c r="HJ18" i="52"/>
  <c r="HD18" i="52"/>
  <c r="HK18" i="52"/>
  <c r="HE18" i="52"/>
  <c r="HF18" i="52"/>
  <c r="DT18" i="52"/>
  <c r="AA91" i="61"/>
  <c r="HJ21" i="52"/>
  <c r="HD21" i="52"/>
  <c r="HK21" i="52"/>
  <c r="HE21" i="52"/>
  <c r="HF21" i="52"/>
  <c r="HG21" i="52"/>
  <c r="DT21" i="52"/>
  <c r="AA94" i="61"/>
  <c r="HL24" i="52"/>
  <c r="HT20" i="52"/>
  <c r="HP20" i="52"/>
  <c r="HN20" i="52"/>
  <c r="HU20" i="52"/>
  <c r="HQ20" i="52"/>
  <c r="HO20" i="52"/>
  <c r="EG20" i="52"/>
  <c r="AL93" i="61"/>
  <c r="HV14" i="52"/>
  <c r="EH31" i="52"/>
  <c r="AM104" i="61"/>
  <c r="DU31" i="52"/>
  <c r="AB104" i="61"/>
  <c r="HH30" i="52"/>
  <c r="HL20" i="52"/>
  <c r="HL30" i="52"/>
  <c r="HL31" i="52"/>
  <c r="HH20" i="52"/>
  <c r="HU18" i="52"/>
  <c r="HO18" i="52"/>
  <c r="HP18" i="52"/>
  <c r="HQ18" i="52"/>
  <c r="HT18" i="52"/>
  <c r="HN18" i="52"/>
  <c r="EG18" i="52"/>
  <c r="AL91" i="61"/>
  <c r="HV18" i="52"/>
  <c r="DU18" i="52"/>
  <c r="AB91" i="61"/>
  <c r="EH18" i="52"/>
  <c r="AM91" i="61"/>
  <c r="HV24" i="52"/>
  <c r="HF20" i="52"/>
  <c r="HG20" i="52"/>
  <c r="HJ20" i="52"/>
  <c r="HD20" i="52"/>
  <c r="HK20" i="52"/>
  <c r="HE20" i="52"/>
  <c r="DT20" i="52"/>
  <c r="AA93" i="61"/>
  <c r="HL14" i="52"/>
  <c r="GR13" i="52"/>
  <c r="HB28" i="52"/>
  <c r="GR24" i="52"/>
  <c r="GN22" i="52"/>
  <c r="GR14" i="52"/>
  <c r="GR12" i="52"/>
  <c r="GR29" i="52"/>
  <c r="GR30" i="52"/>
  <c r="GN17" i="52"/>
  <c r="GR28" i="52"/>
  <c r="GR21" i="52"/>
  <c r="HB20" i="52"/>
  <c r="GN31" i="52"/>
  <c r="HB15" i="52"/>
  <c r="GN23" i="52"/>
  <c r="HB31" i="52"/>
  <c r="GR17" i="52"/>
  <c r="HB27" i="52"/>
  <c r="HB23" i="52"/>
  <c r="HB22" i="52"/>
  <c r="GN16" i="52"/>
  <c r="HB26" i="52"/>
  <c r="GN20" i="52"/>
  <c r="GX31" i="52"/>
  <c r="GN29" i="52"/>
  <c r="GX23" i="52"/>
  <c r="GX28" i="52"/>
  <c r="HB21" i="52"/>
  <c r="GR20" i="52"/>
  <c r="GX27" i="52"/>
  <c r="GR15" i="52"/>
  <c r="GX15" i="52"/>
  <c r="GX21" i="52"/>
  <c r="GR31" i="52"/>
  <c r="GX30" i="52"/>
  <c r="GN26" i="52"/>
  <c r="GR23" i="52"/>
  <c r="GR22" i="52"/>
  <c r="GR26" i="52"/>
  <c r="HB30" i="52"/>
  <c r="GN13" i="52"/>
  <c r="GN18" i="52"/>
  <c r="GR18" i="52"/>
  <c r="GR25" i="52"/>
  <c r="GR27" i="52"/>
  <c r="GR16" i="52"/>
  <c r="GX20" i="52"/>
  <c r="GN28" i="52"/>
  <c r="GX18" i="52"/>
  <c r="HB18" i="52"/>
  <c r="HB25" i="52"/>
  <c r="GN27" i="52"/>
  <c r="GX29" i="52"/>
  <c r="GN15" i="52"/>
  <c r="GN21" i="52"/>
  <c r="HB24" i="52"/>
  <c r="GX22" i="52"/>
  <c r="HB14" i="52"/>
  <c r="GN30" i="52"/>
  <c r="GX26" i="52"/>
  <c r="HB29" i="52"/>
  <c r="GZ25" i="52"/>
  <c r="HA25" i="52"/>
  <c r="GZ26" i="52"/>
  <c r="HA26" i="52"/>
  <c r="GZ20" i="52"/>
  <c r="HA20" i="52"/>
  <c r="GZ31" i="52"/>
  <c r="HA31" i="52"/>
  <c r="GZ28" i="52"/>
  <c r="HA28" i="52"/>
  <c r="GZ22" i="52"/>
  <c r="HA22" i="52"/>
  <c r="GZ29" i="52"/>
  <c r="HA29" i="52"/>
  <c r="GZ27" i="52"/>
  <c r="HA27" i="52"/>
  <c r="GZ18" i="52"/>
  <c r="HA18" i="52"/>
  <c r="GZ30" i="52"/>
  <c r="HA30" i="52"/>
  <c r="GZ23" i="52"/>
  <c r="HA23" i="52"/>
  <c r="GZ21" i="52"/>
  <c r="HA21" i="52"/>
  <c r="GZ15" i="52"/>
  <c r="HA15" i="52"/>
  <c r="GV22" i="52"/>
  <c r="GW22" i="52"/>
  <c r="GV29" i="52"/>
  <c r="GW29" i="52"/>
  <c r="GV27" i="52"/>
  <c r="GW27" i="52"/>
  <c r="GV18" i="52"/>
  <c r="GW18" i="52"/>
  <c r="GV30" i="52"/>
  <c r="GW30" i="52"/>
  <c r="GV25" i="52"/>
  <c r="GW25" i="52"/>
  <c r="GV26" i="52"/>
  <c r="GW26" i="52"/>
  <c r="GV15" i="52"/>
  <c r="GW15" i="52"/>
  <c r="GV23" i="52"/>
  <c r="GW23" i="52"/>
  <c r="GV21" i="52"/>
  <c r="GW21" i="52"/>
  <c r="GV20" i="52"/>
  <c r="GW20" i="52"/>
  <c r="GV31" i="52"/>
  <c r="GW31" i="52"/>
  <c r="GV28" i="52"/>
  <c r="GW28" i="52"/>
  <c r="GT22" i="52"/>
  <c r="GU22" i="52"/>
  <c r="GT29" i="52"/>
  <c r="GU29" i="52"/>
  <c r="GT27" i="52"/>
  <c r="GU27" i="52"/>
  <c r="GT18" i="52"/>
  <c r="GU18" i="52"/>
  <c r="GT30" i="52"/>
  <c r="GU30" i="52"/>
  <c r="GT23" i="52"/>
  <c r="GU23" i="52"/>
  <c r="GT21" i="52"/>
  <c r="GU21" i="52"/>
  <c r="GT15" i="52"/>
  <c r="GU15" i="52"/>
  <c r="GT25" i="52"/>
  <c r="GU25" i="52"/>
  <c r="GT26" i="52"/>
  <c r="GU26" i="52"/>
  <c r="GT20" i="52"/>
  <c r="GU20" i="52"/>
  <c r="GT31" i="52"/>
  <c r="GU31" i="52"/>
  <c r="GT28" i="52"/>
  <c r="GU28" i="52"/>
  <c r="CT35" i="52"/>
  <c r="GR35" i="52"/>
  <c r="CT19" i="52"/>
  <c r="GR19" i="52"/>
  <c r="FD32" i="52"/>
  <c r="GR32" i="52"/>
  <c r="CT33" i="52"/>
  <c r="GR33" i="52"/>
  <c r="CT34" i="52"/>
  <c r="GR34" i="52"/>
  <c r="GP27" i="52"/>
  <c r="GQ27" i="52"/>
  <c r="GP18" i="52"/>
  <c r="GQ18" i="52"/>
  <c r="GP17" i="52"/>
  <c r="GQ17" i="52"/>
  <c r="GP28" i="52"/>
  <c r="GQ28" i="52"/>
  <c r="GP22" i="52"/>
  <c r="GQ22" i="52"/>
  <c r="GP29" i="52"/>
  <c r="GQ29" i="52"/>
  <c r="GP30" i="52"/>
  <c r="GQ30" i="52"/>
  <c r="GP13" i="52"/>
  <c r="GQ13" i="52"/>
  <c r="GP25" i="52"/>
  <c r="GQ25" i="52"/>
  <c r="GP26" i="52"/>
  <c r="GQ26" i="52"/>
  <c r="GP23" i="52"/>
  <c r="GQ23" i="52"/>
  <c r="GP21" i="52"/>
  <c r="GQ21" i="52"/>
  <c r="GP15" i="52"/>
  <c r="GQ15" i="52"/>
  <c r="GP20" i="52"/>
  <c r="GQ20" i="52"/>
  <c r="GP31" i="52"/>
  <c r="GQ31" i="52"/>
  <c r="GL25" i="52"/>
  <c r="GM25" i="52"/>
  <c r="GL26" i="52"/>
  <c r="GM26" i="52"/>
  <c r="GL23" i="52"/>
  <c r="GM23" i="52"/>
  <c r="GL21" i="52"/>
  <c r="GM21" i="52"/>
  <c r="GL15" i="52"/>
  <c r="GM15" i="52"/>
  <c r="GL27" i="52"/>
  <c r="GM27" i="52"/>
  <c r="GL18" i="52"/>
  <c r="GM18" i="52"/>
  <c r="GL20" i="52"/>
  <c r="GM20" i="52"/>
  <c r="GL31" i="52"/>
  <c r="GM31" i="52"/>
  <c r="GL17" i="52"/>
  <c r="GM17" i="52"/>
  <c r="GL28" i="52"/>
  <c r="GM28" i="52"/>
  <c r="GL22" i="52"/>
  <c r="GM22" i="52"/>
  <c r="GL29" i="52"/>
  <c r="GM29" i="52"/>
  <c r="GL30" i="52"/>
  <c r="GM30" i="52"/>
  <c r="GL13" i="52"/>
  <c r="GM13" i="52"/>
  <c r="GJ17" i="52"/>
  <c r="GK17" i="52"/>
  <c r="GJ28" i="52"/>
  <c r="GK28" i="52"/>
  <c r="GJ30" i="52"/>
  <c r="GK30" i="52"/>
  <c r="GJ13" i="52"/>
  <c r="GK13" i="52"/>
  <c r="GJ22" i="52"/>
  <c r="GK22" i="52"/>
  <c r="GJ29" i="52"/>
  <c r="GK29" i="52"/>
  <c r="GJ25" i="52"/>
  <c r="GK25" i="52"/>
  <c r="GJ26" i="52"/>
  <c r="GK26" i="52"/>
  <c r="GJ23" i="52"/>
  <c r="GK23" i="52"/>
  <c r="GJ21" i="52"/>
  <c r="GK21" i="52"/>
  <c r="GJ15" i="52"/>
  <c r="GK15" i="52"/>
  <c r="GJ27" i="52"/>
  <c r="GK27" i="52"/>
  <c r="GJ18" i="52"/>
  <c r="GK18" i="52"/>
  <c r="GJ20" i="52"/>
  <c r="GK20" i="52"/>
  <c r="GJ31" i="52"/>
  <c r="GK31" i="52"/>
  <c r="W101" i="16"/>
  <c r="W15" i="16"/>
  <c r="CU21" i="52"/>
  <c r="DH21" i="52"/>
  <c r="CU18" i="52"/>
  <c r="AB93" i="56"/>
  <c r="DH18" i="52"/>
  <c r="AM93" i="56"/>
  <c r="CU22" i="52"/>
  <c r="DH22" i="52"/>
  <c r="CU20" i="52"/>
  <c r="DH20" i="52"/>
  <c r="DH30" i="52"/>
  <c r="CU30" i="52"/>
  <c r="CU15" i="52"/>
  <c r="DH15" i="52"/>
  <c r="CU26" i="52"/>
  <c r="DH26" i="52"/>
  <c r="CU27" i="52"/>
  <c r="DH27" i="52"/>
  <c r="CU29" i="52"/>
  <c r="DH29" i="52"/>
  <c r="CU28" i="52"/>
  <c r="DH28" i="52"/>
  <c r="DH23" i="52"/>
  <c r="CU23" i="52"/>
  <c r="CU31" i="52"/>
  <c r="DH31" i="52"/>
  <c r="FD34" i="52"/>
  <c r="FD33" i="52"/>
  <c r="CT29" i="52"/>
  <c r="FD35" i="52"/>
  <c r="CT32" i="52"/>
  <c r="FD19" i="52"/>
  <c r="CT27" i="52"/>
  <c r="DG29" i="52"/>
  <c r="CT18" i="52"/>
  <c r="AA93" i="56"/>
  <c r="DG18" i="52"/>
  <c r="AL93" i="56"/>
  <c r="CT20" i="52"/>
  <c r="DG28" i="52"/>
  <c r="CT31" i="52"/>
  <c r="DG27" i="52"/>
  <c r="CT22" i="52"/>
  <c r="DG23" i="52"/>
  <c r="DG21" i="52"/>
  <c r="DG22" i="52"/>
  <c r="CT17" i="52"/>
  <c r="AA92" i="56"/>
  <c r="DG30" i="52"/>
  <c r="CT28" i="52"/>
  <c r="DG26" i="52"/>
  <c r="DG15" i="52"/>
  <c r="CT30" i="52"/>
  <c r="CT13" i="52"/>
  <c r="AA90" i="56"/>
  <c r="CT26" i="52"/>
  <c r="CT23" i="52"/>
  <c r="CT21" i="52"/>
  <c r="CT15" i="52"/>
  <c r="DG20" i="52"/>
  <c r="DG31" i="52"/>
  <c r="FD30" i="52"/>
  <c r="FN20" i="52"/>
  <c r="FN22" i="52"/>
  <c r="FJ20" i="52"/>
  <c r="FM25" i="52"/>
  <c r="FM22" i="52"/>
  <c r="FM29" i="52"/>
  <c r="FJ28" i="52"/>
  <c r="FN21" i="52"/>
  <c r="FD20" i="52"/>
  <c r="FM27" i="52"/>
  <c r="FJ27" i="52"/>
  <c r="FJ21" i="52"/>
  <c r="FD31" i="52"/>
  <c r="FJ30" i="52"/>
  <c r="FM30" i="52"/>
  <c r="EZ26" i="52"/>
  <c r="FD23" i="52"/>
  <c r="FD22" i="52"/>
  <c r="FD26" i="52"/>
  <c r="EZ31" i="52"/>
  <c r="FN31" i="52"/>
  <c r="FN23" i="52"/>
  <c r="EZ20" i="52"/>
  <c r="EZ28" i="52"/>
  <c r="FN25" i="52"/>
  <c r="EZ27" i="52"/>
  <c r="FM23" i="52"/>
  <c r="FJ29" i="52"/>
  <c r="EZ21" i="52"/>
  <c r="FM21" i="52"/>
  <c r="FN24" i="52"/>
  <c r="FJ22" i="52"/>
  <c r="EZ30" i="52"/>
  <c r="FJ26" i="52"/>
  <c r="FN29" i="52"/>
  <c r="FD28" i="52"/>
  <c r="FD21" i="52"/>
  <c r="EZ23" i="52"/>
  <c r="FN27" i="52"/>
  <c r="FN26" i="52"/>
  <c r="FM28" i="52"/>
  <c r="FM26" i="52"/>
  <c r="FN30" i="52"/>
  <c r="FN28" i="52"/>
  <c r="FD25" i="52"/>
  <c r="FJ31" i="52"/>
  <c r="EZ29" i="52"/>
  <c r="FJ23" i="52"/>
  <c r="FD24" i="52"/>
  <c r="EZ22" i="52"/>
  <c r="FM20" i="52"/>
  <c r="FD27" i="52"/>
  <c r="FM31" i="52"/>
  <c r="FD29" i="52"/>
  <c r="EZ17" i="52"/>
  <c r="FN15" i="52"/>
  <c r="FD17" i="52"/>
  <c r="EZ16" i="52"/>
  <c r="FM18" i="52"/>
  <c r="FD15" i="52"/>
  <c r="FJ15" i="52"/>
  <c r="FD13" i="52"/>
  <c r="FJ18" i="52"/>
  <c r="FN18" i="52"/>
  <c r="EZ15" i="52"/>
  <c r="FN14" i="52"/>
  <c r="FM15" i="52"/>
  <c r="EZ13" i="52"/>
  <c r="EZ18" i="52"/>
  <c r="FD18" i="52"/>
  <c r="FD14" i="52"/>
  <c r="FD12" i="52"/>
  <c r="FD16" i="52"/>
  <c r="EY27" i="52"/>
  <c r="FB27" i="52"/>
  <c r="FC27" i="52"/>
  <c r="EX27" i="52"/>
  <c r="FC18" i="52"/>
  <c r="EY18" i="52"/>
  <c r="FB18" i="52"/>
  <c r="EX18" i="52"/>
  <c r="EY20" i="52"/>
  <c r="FB20" i="52"/>
  <c r="FC20" i="52"/>
  <c r="EX20" i="52"/>
  <c r="FB31" i="52"/>
  <c r="EY31" i="52"/>
  <c r="FC31" i="52"/>
  <c r="EX31" i="52"/>
  <c r="FI28" i="52"/>
  <c r="FL28" i="52"/>
  <c r="FH28" i="52"/>
  <c r="FF28" i="52"/>
  <c r="FG28" i="52"/>
  <c r="FL25" i="52"/>
  <c r="FI25" i="52"/>
  <c r="FH25" i="52"/>
  <c r="FF25" i="52"/>
  <c r="FG25" i="52"/>
  <c r="FI22" i="52"/>
  <c r="FL22" i="52"/>
  <c r="FH22" i="52"/>
  <c r="FG22" i="52"/>
  <c r="FF22" i="52"/>
  <c r="FI29" i="52"/>
  <c r="FL29" i="52"/>
  <c r="FH29" i="52"/>
  <c r="FF29" i="52"/>
  <c r="FG29" i="52"/>
  <c r="FB17" i="52"/>
  <c r="FC17" i="52"/>
  <c r="EY17" i="52"/>
  <c r="EX17" i="52"/>
  <c r="FI27" i="52"/>
  <c r="FL27" i="52"/>
  <c r="FH27" i="52"/>
  <c r="FF27" i="52"/>
  <c r="FG27" i="52"/>
  <c r="FL18" i="52"/>
  <c r="FI18" i="52"/>
  <c r="FF18" i="52"/>
  <c r="FG18" i="52"/>
  <c r="AR93" i="56"/>
  <c r="FH18" i="52"/>
  <c r="FI30" i="52"/>
  <c r="FL30" i="52"/>
  <c r="FG30" i="52"/>
  <c r="FH30" i="52"/>
  <c r="FF30" i="52"/>
  <c r="EY28" i="52"/>
  <c r="FB28" i="52"/>
  <c r="FC28" i="52"/>
  <c r="EX28" i="52"/>
  <c r="EY25" i="52"/>
  <c r="FC25" i="52"/>
  <c r="FB25" i="52"/>
  <c r="EX25" i="52"/>
  <c r="FC22" i="52"/>
  <c r="FB22" i="52"/>
  <c r="EY22" i="52"/>
  <c r="EX22" i="52"/>
  <c r="FB29" i="52"/>
  <c r="EY29" i="52"/>
  <c r="FC29" i="52"/>
  <c r="EX29" i="52"/>
  <c r="FI23" i="52"/>
  <c r="FL23" i="52"/>
  <c r="FH23" i="52"/>
  <c r="FF23" i="52"/>
  <c r="FG23" i="52"/>
  <c r="FI21" i="52"/>
  <c r="FL21" i="52"/>
  <c r="FH21" i="52"/>
  <c r="FF21" i="52"/>
  <c r="FG21" i="52"/>
  <c r="FI15" i="52"/>
  <c r="FL15" i="52"/>
  <c r="FH15" i="52"/>
  <c r="FF15" i="52"/>
  <c r="FG15" i="52"/>
  <c r="EY30" i="52"/>
  <c r="FC30" i="52"/>
  <c r="FB30" i="52"/>
  <c r="EX30" i="52"/>
  <c r="FB13" i="52"/>
  <c r="FC13" i="52"/>
  <c r="EY13" i="52"/>
  <c r="EX13" i="52"/>
  <c r="FI26" i="52"/>
  <c r="FL26" i="52"/>
  <c r="FF26" i="52"/>
  <c r="FG26" i="52"/>
  <c r="FH26" i="52"/>
  <c r="EY26" i="52"/>
  <c r="FC26" i="52"/>
  <c r="FB26" i="52"/>
  <c r="EX26" i="52"/>
  <c r="EY23" i="52"/>
  <c r="FC23" i="52"/>
  <c r="FB23" i="52"/>
  <c r="EX23" i="52"/>
  <c r="FB21" i="52"/>
  <c r="EY21" i="52"/>
  <c r="FC21" i="52"/>
  <c r="EX21" i="52"/>
  <c r="FB15" i="52"/>
  <c r="EY15" i="52"/>
  <c r="FC15" i="52"/>
  <c r="EX15" i="52"/>
  <c r="FL20" i="52"/>
  <c r="FI20" i="52"/>
  <c r="FH20" i="52"/>
  <c r="FF20" i="52"/>
  <c r="FG20" i="52"/>
  <c r="FI31" i="52"/>
  <c r="FL31" i="52"/>
  <c r="FH31" i="52"/>
  <c r="FF31" i="52"/>
  <c r="FG31" i="52"/>
  <c r="X15" i="16"/>
  <c r="CL12" i="52"/>
  <c r="U89" i="56"/>
  <c r="CL14" i="52"/>
  <c r="CY14" i="52"/>
  <c r="AB12" i="52"/>
  <c r="IF12" i="52"/>
  <c r="AB14" i="52"/>
  <c r="IF14" i="52"/>
  <c r="S101" i="16"/>
  <c r="AF101" i="16"/>
  <c r="AF16" i="16"/>
  <c r="D115" i="15"/>
  <c r="D114" i="15"/>
  <c r="AE56" i="60"/>
  <c r="JP36" i="52"/>
  <c r="GS38" i="52"/>
  <c r="AN56" i="60"/>
  <c r="HI37" i="52"/>
  <c r="FO36" i="52"/>
  <c r="AT94" i="56"/>
  <c r="JP37" i="52"/>
  <c r="AD48" i="60"/>
  <c r="AO48" i="60"/>
  <c r="AD46" i="60"/>
  <c r="AO46" i="60"/>
  <c r="AD44" i="60"/>
  <c r="AO44" i="60"/>
  <c r="AD18" i="60"/>
  <c r="AO18" i="60"/>
  <c r="S41" i="66"/>
  <c r="AN36" i="60"/>
  <c r="AC20" i="60"/>
  <c r="AN20" i="60"/>
  <c r="AC44" i="60"/>
  <c r="AN44" i="60"/>
  <c r="AQ24" i="60"/>
  <c r="AT24" i="60"/>
  <c r="AQ40" i="60"/>
  <c r="AT40" i="60"/>
  <c r="AQ32" i="60"/>
  <c r="AT32" i="60"/>
  <c r="AQ48" i="60"/>
  <c r="AT48" i="60"/>
  <c r="AQ20" i="60"/>
  <c r="AT20" i="60"/>
  <c r="AQ36" i="60"/>
  <c r="AT36" i="60"/>
  <c r="AQ26" i="60"/>
  <c r="AT26" i="60"/>
  <c r="AC26" i="60"/>
  <c r="AN26" i="60"/>
  <c r="AD22" i="60"/>
  <c r="AO22" i="60"/>
  <c r="AC52" i="60"/>
  <c r="AN52" i="60"/>
  <c r="AD24" i="60"/>
  <c r="AO24" i="60"/>
  <c r="AC38" i="60"/>
  <c r="AN38" i="60"/>
  <c r="S35" i="66"/>
  <c r="AN24" i="60"/>
  <c r="AD38" i="60"/>
  <c r="AO38" i="60"/>
  <c r="AD28" i="60"/>
  <c r="AO28" i="60"/>
  <c r="AD36" i="60"/>
  <c r="AO36" i="60"/>
  <c r="AC46" i="60"/>
  <c r="AN46" i="60"/>
  <c r="T14" i="66"/>
  <c r="AL16" i="60"/>
  <c r="AA16" i="60"/>
  <c r="R14" i="66"/>
  <c r="AH16" i="60"/>
  <c r="AD52" i="60"/>
  <c r="AO52" i="60"/>
  <c r="AD50" i="60"/>
  <c r="AO50" i="60"/>
  <c r="AD20" i="60"/>
  <c r="AO20" i="60"/>
  <c r="S33" i="66"/>
  <c r="AN22" i="60"/>
  <c r="S16" i="66"/>
  <c r="AN18" i="60"/>
  <c r="AC34" i="60"/>
  <c r="AN34" i="60"/>
  <c r="AC40" i="60"/>
  <c r="AN40" i="60"/>
  <c r="AQ52" i="60"/>
  <c r="AT52" i="60"/>
  <c r="AQ50" i="60"/>
  <c r="AT50" i="60"/>
  <c r="AQ44" i="60"/>
  <c r="AT44" i="60"/>
  <c r="AQ28" i="60"/>
  <c r="AT28" i="60"/>
  <c r="AQ22" i="60"/>
  <c r="AT22" i="60"/>
  <c r="AQ18" i="60"/>
  <c r="AT18" i="60"/>
  <c r="AQ46" i="60"/>
  <c r="AT46" i="60"/>
  <c r="AQ38" i="60"/>
  <c r="AT38" i="60"/>
  <c r="AQ34" i="60"/>
  <c r="AT34" i="60"/>
  <c r="AQ42" i="60"/>
  <c r="AT42" i="60"/>
  <c r="AD40" i="60"/>
  <c r="AO40" i="60"/>
  <c r="AD42" i="60"/>
  <c r="AO42" i="60"/>
  <c r="W30" i="60"/>
  <c r="AH30" i="60"/>
  <c r="AC48" i="60"/>
  <c r="AN48" i="60"/>
  <c r="AC42" i="60"/>
  <c r="AN42" i="60"/>
  <c r="AC50" i="60"/>
  <c r="AN50" i="60"/>
  <c r="AC28" i="60"/>
  <c r="AN28" i="60"/>
  <c r="AD26" i="60"/>
  <c r="AO26" i="60"/>
  <c r="AD34" i="60"/>
  <c r="AO34" i="60"/>
  <c r="S34" i="66"/>
  <c r="AN23" i="60"/>
  <c r="S40" i="66"/>
  <c r="AN35" i="60"/>
  <c r="S32" i="66"/>
  <c r="AN21" i="60"/>
  <c r="S15" i="66"/>
  <c r="AR20" i="60"/>
  <c r="AU20" i="60"/>
  <c r="AS54" i="60"/>
  <c r="AV54" i="60"/>
  <c r="AS56" i="60"/>
  <c r="AV56" i="60"/>
  <c r="AR58" i="60"/>
  <c r="AU58" i="60"/>
  <c r="AR54" i="60"/>
  <c r="AU54" i="60"/>
  <c r="AS58" i="60"/>
  <c r="AV58" i="60"/>
  <c r="AR56" i="60"/>
  <c r="AU56" i="60"/>
  <c r="HC36" i="52"/>
  <c r="JP28" i="52"/>
  <c r="HM35" i="52"/>
  <c r="R13" i="66"/>
  <c r="AC22" i="60"/>
  <c r="AC36" i="60"/>
  <c r="AC24" i="60"/>
  <c r="HW23" i="52"/>
  <c r="W16" i="60"/>
  <c r="AC18" i="60"/>
  <c r="FU28" i="52"/>
  <c r="AP101" i="61"/>
  <c r="W15" i="60"/>
  <c r="JT27" i="52"/>
  <c r="JT28" i="52"/>
  <c r="JT30" i="52"/>
  <c r="HI29" i="52"/>
  <c r="HS27" i="52"/>
  <c r="HS26" i="52"/>
  <c r="JT37" i="52"/>
  <c r="JP27" i="52"/>
  <c r="JT18" i="52"/>
  <c r="JT21" i="52"/>
  <c r="FA34" i="52"/>
  <c r="JT19" i="52"/>
  <c r="JT34" i="52"/>
  <c r="JT16" i="52"/>
  <c r="JP18" i="52"/>
  <c r="JP13" i="52"/>
  <c r="JT13" i="52"/>
  <c r="JT26" i="52"/>
  <c r="JT35" i="52"/>
  <c r="HS36" i="52"/>
  <c r="JP22" i="52"/>
  <c r="JP23" i="52"/>
  <c r="HW27" i="52"/>
  <c r="HI22" i="52"/>
  <c r="HS22" i="52"/>
  <c r="HW22" i="52"/>
  <c r="JT17" i="52"/>
  <c r="JP17" i="52"/>
  <c r="JP20" i="52"/>
  <c r="JP29" i="52"/>
  <c r="JT32" i="52"/>
  <c r="JP30" i="52"/>
  <c r="HM22" i="52"/>
  <c r="GE36" i="52"/>
  <c r="AS109" i="61"/>
  <c r="JP31" i="52"/>
  <c r="JP26" i="52"/>
  <c r="JP15" i="52"/>
  <c r="JT29" i="52"/>
  <c r="JT22" i="52"/>
  <c r="JP16" i="52"/>
  <c r="JP21" i="52"/>
  <c r="JT23" i="52"/>
  <c r="JT33" i="52"/>
  <c r="JT31" i="52"/>
  <c r="JT25" i="52"/>
  <c r="JT20" i="52"/>
  <c r="JT15" i="52"/>
  <c r="FY28" i="52"/>
  <c r="AQ101" i="61"/>
  <c r="JP35" i="52"/>
  <c r="HI26" i="52"/>
  <c r="JP33" i="52"/>
  <c r="HM29" i="52"/>
  <c r="HM28" i="52"/>
  <c r="JP32" i="52"/>
  <c r="HS29" i="52"/>
  <c r="HI28" i="52"/>
  <c r="HW29" i="52"/>
  <c r="HM26" i="52"/>
  <c r="JP34" i="52"/>
  <c r="JT36" i="52"/>
  <c r="HI23" i="52"/>
  <c r="HI13" i="52"/>
  <c r="HM23" i="52"/>
  <c r="HW26" i="52"/>
  <c r="HM34" i="52"/>
  <c r="GO19" i="52"/>
  <c r="HM13" i="52"/>
  <c r="HM32" i="52"/>
  <c r="HI19" i="52"/>
  <c r="GO34" i="52"/>
  <c r="HI17" i="52"/>
  <c r="HM17" i="52"/>
  <c r="HM27" i="52"/>
  <c r="JL24" i="52"/>
  <c r="JR24" i="52"/>
  <c r="JT24" i="52"/>
  <c r="JQ24" i="52"/>
  <c r="JK24" i="52"/>
  <c r="JN24" i="52"/>
  <c r="JM24" i="52"/>
  <c r="JL14" i="52"/>
  <c r="JN14" i="52"/>
  <c r="JM14" i="52"/>
  <c r="JQ14" i="52"/>
  <c r="JR14" i="52"/>
  <c r="JT14" i="52"/>
  <c r="AV16" i="60"/>
  <c r="JK14" i="52"/>
  <c r="JR12" i="52"/>
  <c r="JT12" i="52"/>
  <c r="JQ12" i="52"/>
  <c r="HI27" i="52"/>
  <c r="FY17" i="52"/>
  <c r="AQ90" i="61"/>
  <c r="HI32" i="52"/>
  <c r="HI34" i="52"/>
  <c r="GY36" i="52"/>
  <c r="HM36" i="52"/>
  <c r="GO33" i="52"/>
  <c r="FY27" i="52"/>
  <c r="AQ100" i="61"/>
  <c r="FE37" i="52"/>
  <c r="AQ95" i="56"/>
  <c r="KN21" i="52"/>
  <c r="AV23" i="60"/>
  <c r="KN27" i="52"/>
  <c r="AV35" i="60"/>
  <c r="JZ15" i="52"/>
  <c r="AR17" i="60"/>
  <c r="KD24" i="52"/>
  <c r="AS29" i="60"/>
  <c r="KD30" i="52"/>
  <c r="AS41" i="60"/>
  <c r="KD23" i="52"/>
  <c r="AS27" i="60"/>
  <c r="KD28" i="52"/>
  <c r="AS37" i="60"/>
  <c r="KD31" i="52"/>
  <c r="AS43" i="60"/>
  <c r="KN20" i="52"/>
  <c r="AV21" i="60"/>
  <c r="KN22" i="52"/>
  <c r="AV25" i="60"/>
  <c r="KN29" i="52"/>
  <c r="AV39" i="60"/>
  <c r="KD34" i="52"/>
  <c r="AS49" i="60"/>
  <c r="KD19" i="52"/>
  <c r="AS19" i="60"/>
  <c r="KD21" i="52"/>
  <c r="AS23" i="60"/>
  <c r="JZ32" i="52"/>
  <c r="AR45" i="60"/>
  <c r="JZ33" i="52"/>
  <c r="AR47" i="60"/>
  <c r="JZ35" i="52"/>
  <c r="AR51" i="60"/>
  <c r="KD15" i="52"/>
  <c r="AS17" i="60"/>
  <c r="JZ20" i="52"/>
  <c r="AR21" i="60"/>
  <c r="JZ22" i="52"/>
  <c r="AR25" i="60"/>
  <c r="JZ26" i="52"/>
  <c r="AR33" i="60"/>
  <c r="KD26" i="52"/>
  <c r="AS33" i="60"/>
  <c r="KJ15" i="52"/>
  <c r="AU17" i="60"/>
  <c r="KJ30" i="52"/>
  <c r="AU41" i="60"/>
  <c r="KJ23" i="52"/>
  <c r="AU27" i="60"/>
  <c r="KJ31" i="52"/>
  <c r="AU43" i="60"/>
  <c r="KJ26" i="52"/>
  <c r="AU33" i="60"/>
  <c r="JZ27" i="52"/>
  <c r="AR35" i="60"/>
  <c r="KJ27" i="52"/>
  <c r="AU35" i="60"/>
  <c r="KD32" i="52"/>
  <c r="AS45" i="60"/>
  <c r="KD33" i="52"/>
  <c r="AS47" i="60"/>
  <c r="KD35" i="52"/>
  <c r="AS51" i="60"/>
  <c r="KD20" i="52"/>
  <c r="AS21" i="60"/>
  <c r="KD22" i="52"/>
  <c r="AS25" i="60"/>
  <c r="JZ29" i="52"/>
  <c r="AR39" i="60"/>
  <c r="KD25" i="52"/>
  <c r="AS31" i="60"/>
  <c r="KN15" i="52"/>
  <c r="AV17" i="60"/>
  <c r="KN24" i="52"/>
  <c r="AV29" i="60"/>
  <c r="KN30" i="52"/>
  <c r="AV41" i="60"/>
  <c r="KN23" i="52"/>
  <c r="AV27" i="60"/>
  <c r="KJ28" i="52"/>
  <c r="AU37" i="60"/>
  <c r="KN31" i="52"/>
  <c r="AV43" i="60"/>
  <c r="KN26" i="52"/>
  <c r="AV33" i="60"/>
  <c r="KD27" i="52"/>
  <c r="AS35" i="60"/>
  <c r="KJ21" i="52"/>
  <c r="AU23" i="60"/>
  <c r="JZ30" i="52"/>
  <c r="AR41" i="60"/>
  <c r="JZ23" i="52"/>
  <c r="AR27" i="60"/>
  <c r="JZ28" i="52"/>
  <c r="AR37" i="60"/>
  <c r="KD29" i="52"/>
  <c r="AS39" i="60"/>
  <c r="JZ31" i="52"/>
  <c r="AR43" i="60"/>
  <c r="KJ20" i="52"/>
  <c r="AU21" i="60"/>
  <c r="KN28" i="52"/>
  <c r="AV37" i="60"/>
  <c r="KJ22" i="52"/>
  <c r="AU25" i="60"/>
  <c r="KJ29" i="52"/>
  <c r="AU39" i="60"/>
  <c r="KN25" i="52"/>
  <c r="AV31" i="60"/>
  <c r="JZ34" i="52"/>
  <c r="AR49" i="60"/>
  <c r="JZ19" i="52"/>
  <c r="AR19" i="60"/>
  <c r="JZ21" i="52"/>
  <c r="AR23" i="60"/>
  <c r="KE14" i="52"/>
  <c r="KL14" i="52"/>
  <c r="KH14" i="52"/>
  <c r="KK14" i="52"/>
  <c r="KG14" i="52"/>
  <c r="KF14" i="52"/>
  <c r="AT15" i="60"/>
  <c r="KA14" i="52"/>
  <c r="JW14" i="52"/>
  <c r="JV14" i="52"/>
  <c r="AQ15" i="60"/>
  <c r="JU14" i="52"/>
  <c r="KB14" i="52"/>
  <c r="JX14" i="52"/>
  <c r="KB12" i="52"/>
  <c r="KD12" i="52"/>
  <c r="JX12" i="52"/>
  <c r="KA12" i="52"/>
  <c r="JW12" i="52"/>
  <c r="JV12" i="52"/>
  <c r="JU12" i="52"/>
  <c r="JN12" i="52"/>
  <c r="JL12" i="52"/>
  <c r="JM12" i="52"/>
  <c r="JK12" i="52"/>
  <c r="HI36" i="52"/>
  <c r="FK36" i="52"/>
  <c r="AS94" i="56"/>
  <c r="HM37" i="52"/>
  <c r="FA35" i="52"/>
  <c r="FU23" i="52"/>
  <c r="AP96" i="61"/>
  <c r="HS37" i="52"/>
  <c r="GI22" i="52"/>
  <c r="AT95" i="61"/>
  <c r="FU22" i="52"/>
  <c r="AP95" i="61"/>
  <c r="HI35" i="52"/>
  <c r="FY19" i="52"/>
  <c r="AQ92" i="61"/>
  <c r="FS12" i="52"/>
  <c r="FU32" i="52"/>
  <c r="AP105" i="61"/>
  <c r="FU29" i="52"/>
  <c r="AP102" i="61"/>
  <c r="HW28" i="52"/>
  <c r="FU33" i="52"/>
  <c r="AP106" i="61"/>
  <c r="GO35" i="52"/>
  <c r="FU13" i="52"/>
  <c r="AP86" i="61"/>
  <c r="HI33" i="52"/>
  <c r="HM33" i="52"/>
  <c r="GO32" i="52"/>
  <c r="FA33" i="52"/>
  <c r="FU27" i="52"/>
  <c r="AP100" i="61"/>
  <c r="GE37" i="52"/>
  <c r="AS110" i="61"/>
  <c r="FY13" i="52"/>
  <c r="AQ86" i="61"/>
  <c r="FY37" i="52"/>
  <c r="AQ110" i="61"/>
  <c r="FU35" i="52"/>
  <c r="AP108" i="61"/>
  <c r="HM19" i="52"/>
  <c r="GI29" i="52"/>
  <c r="AT102" i="61"/>
  <c r="FY26" i="52"/>
  <c r="AQ99" i="61"/>
  <c r="GI27" i="52"/>
  <c r="AT100" i="61"/>
  <c r="GI28" i="52"/>
  <c r="AT101" i="61"/>
  <c r="GI26" i="52"/>
  <c r="AT99" i="61"/>
  <c r="GI23" i="52"/>
  <c r="AT96" i="61"/>
  <c r="GE22" i="52"/>
  <c r="AS95" i="61"/>
  <c r="GE27" i="52"/>
  <c r="AS100" i="61"/>
  <c r="GE29" i="52"/>
  <c r="AS102" i="61"/>
  <c r="GE28" i="52"/>
  <c r="AS101" i="61"/>
  <c r="GE26" i="52"/>
  <c r="AS99" i="61"/>
  <c r="FY22" i="52"/>
  <c r="AQ95" i="61"/>
  <c r="FY23" i="52"/>
  <c r="AQ96" i="61"/>
  <c r="FY34" i="52"/>
  <c r="AQ107" i="61"/>
  <c r="FY32" i="52"/>
  <c r="AQ105" i="61"/>
  <c r="FY36" i="52"/>
  <c r="AQ109" i="61"/>
  <c r="FU26" i="52"/>
  <c r="AP99" i="61"/>
  <c r="FU34" i="52"/>
  <c r="AP107" i="61"/>
  <c r="FU17" i="52"/>
  <c r="AP90" i="61"/>
  <c r="FY33" i="52"/>
  <c r="AQ106" i="61"/>
  <c r="FU19" i="52"/>
  <c r="AP92" i="61"/>
  <c r="FH24" i="52"/>
  <c r="FA32" i="52"/>
  <c r="GZ24" i="52"/>
  <c r="HE12" i="52"/>
  <c r="FQ12" i="52"/>
  <c r="AO85" i="61"/>
  <c r="HD12" i="52"/>
  <c r="FW12" i="52"/>
  <c r="HF12" i="52"/>
  <c r="FY35" i="52"/>
  <c r="AQ108" i="61"/>
  <c r="GV24" i="52"/>
  <c r="HG12" i="52"/>
  <c r="HJ12" i="52"/>
  <c r="FP12" i="52"/>
  <c r="FR12" i="52"/>
  <c r="FV12" i="52"/>
  <c r="HK12" i="52"/>
  <c r="HM12" i="52"/>
  <c r="AL103" i="61"/>
  <c r="AL95" i="61"/>
  <c r="AL94" i="61"/>
  <c r="AL104" i="61"/>
  <c r="AL102" i="61"/>
  <c r="AL96" i="61"/>
  <c r="AL100" i="61"/>
  <c r="AL99" i="61"/>
  <c r="AL101" i="61"/>
  <c r="FU36" i="52"/>
  <c r="AP109" i="61"/>
  <c r="GE23" i="52"/>
  <c r="AS96" i="61"/>
  <c r="HS23" i="52"/>
  <c r="FL24" i="52"/>
  <c r="FM24" i="52"/>
  <c r="GU24" i="52"/>
  <c r="FG24" i="52"/>
  <c r="FI24" i="52"/>
  <c r="GT24" i="52"/>
  <c r="GW24" i="52"/>
  <c r="HA24" i="52"/>
  <c r="HC24" i="52"/>
  <c r="FE36" i="52"/>
  <c r="AQ94" i="56"/>
  <c r="FU37" i="52"/>
  <c r="AP110" i="61"/>
  <c r="HW37" i="52"/>
  <c r="FC24" i="52"/>
  <c r="GS33" i="52"/>
  <c r="FY15" i="52"/>
  <c r="AQ88" i="61"/>
  <c r="GS34" i="52"/>
  <c r="GS32" i="52"/>
  <c r="GI37" i="52"/>
  <c r="AT110" i="61"/>
  <c r="FY29" i="52"/>
  <c r="AQ102" i="61"/>
  <c r="GS19" i="52"/>
  <c r="GE18" i="52"/>
  <c r="AS91" i="61"/>
  <c r="EV24" i="52"/>
  <c r="GS35" i="52"/>
  <c r="FU31" i="52"/>
  <c r="AP104" i="61"/>
  <c r="FU18" i="52"/>
  <c r="AP91" i="61"/>
  <c r="FY18" i="52"/>
  <c r="AQ91" i="61"/>
  <c r="FY25" i="52"/>
  <c r="AQ98" i="61"/>
  <c r="GP24" i="52"/>
  <c r="GI30" i="52"/>
  <c r="AT103" i="61"/>
  <c r="GI24" i="52"/>
  <c r="AT97" i="61"/>
  <c r="EX24" i="52"/>
  <c r="GK24" i="52"/>
  <c r="GM24" i="52"/>
  <c r="FB24" i="52"/>
  <c r="GJ24" i="52"/>
  <c r="GL24" i="52"/>
  <c r="EW24" i="52"/>
  <c r="EY24" i="52"/>
  <c r="GQ24" i="52"/>
  <c r="HW31" i="52"/>
  <c r="GE31" i="52"/>
  <c r="AS104" i="61"/>
  <c r="HM24" i="52"/>
  <c r="FU21" i="52"/>
  <c r="AP94" i="61"/>
  <c r="FU15" i="52"/>
  <c r="AP88" i="61"/>
  <c r="GE15" i="52"/>
  <c r="AS88" i="61"/>
  <c r="GI31" i="52"/>
  <c r="AT104" i="61"/>
  <c r="GI21" i="52"/>
  <c r="AT94" i="61"/>
  <c r="FY21" i="52"/>
  <c r="AQ94" i="61"/>
  <c r="GI18" i="52"/>
  <c r="AT91" i="61"/>
  <c r="FU30" i="52"/>
  <c r="AP103" i="61"/>
  <c r="FY24" i="52"/>
  <c r="AQ97" i="61"/>
  <c r="FY31" i="52"/>
  <c r="AQ104" i="61"/>
  <c r="GE30" i="52"/>
  <c r="AS103" i="61"/>
  <c r="GI20" i="52"/>
  <c r="AT93" i="61"/>
  <c r="FY20" i="52"/>
  <c r="AQ93" i="61"/>
  <c r="FY30" i="52"/>
  <c r="AQ103" i="61"/>
  <c r="GE21" i="52"/>
  <c r="AS94" i="61"/>
  <c r="GI25" i="52"/>
  <c r="AT98" i="61"/>
  <c r="FU20" i="52"/>
  <c r="AP93" i="61"/>
  <c r="GE20" i="52"/>
  <c r="AS93" i="61"/>
  <c r="GI15" i="52"/>
  <c r="AT88" i="61"/>
  <c r="HS18" i="52"/>
  <c r="HI18" i="52"/>
  <c r="HM30" i="52"/>
  <c r="GF14" i="52"/>
  <c r="GG14" i="52"/>
  <c r="GB14" i="52"/>
  <c r="GC14" i="52"/>
  <c r="FZ14" i="52"/>
  <c r="GA14" i="52"/>
  <c r="AR87" i="61"/>
  <c r="FV14" i="52"/>
  <c r="FW14" i="52"/>
  <c r="FR14" i="52"/>
  <c r="FS14" i="52"/>
  <c r="FP14" i="52"/>
  <c r="FQ14" i="52"/>
  <c r="AO87" i="61"/>
  <c r="HM18" i="52"/>
  <c r="HM25" i="52"/>
  <c r="EV12" i="52"/>
  <c r="EW12" i="52"/>
  <c r="AO89" i="56"/>
  <c r="EV14" i="52"/>
  <c r="EW14" i="52"/>
  <c r="HW21" i="52"/>
  <c r="HS31" i="52"/>
  <c r="HS20" i="52"/>
  <c r="HW18" i="52"/>
  <c r="HI21" i="52"/>
  <c r="HW15" i="52"/>
  <c r="HS21" i="52"/>
  <c r="HI20" i="52"/>
  <c r="HM31" i="52"/>
  <c r="HI31" i="52"/>
  <c r="HW24" i="52"/>
  <c r="HS15" i="52"/>
  <c r="HW25" i="52"/>
  <c r="HM20" i="52"/>
  <c r="HW20" i="52"/>
  <c r="HI30" i="52"/>
  <c r="HI15" i="52"/>
  <c r="HJ14" i="52"/>
  <c r="HD14" i="52"/>
  <c r="HK14" i="52"/>
  <c r="HE14" i="52"/>
  <c r="HF14" i="52"/>
  <c r="HG14" i="52"/>
  <c r="HM15" i="52"/>
  <c r="HM21" i="52"/>
  <c r="HS30" i="52"/>
  <c r="HW30" i="52"/>
  <c r="HP14" i="52"/>
  <c r="HQ14" i="52"/>
  <c r="HT14" i="52"/>
  <c r="HN14" i="52"/>
  <c r="HU14" i="52"/>
  <c r="HO14" i="52"/>
  <c r="FE32" i="52"/>
  <c r="GO22" i="52"/>
  <c r="GO28" i="52"/>
  <c r="GO18" i="52"/>
  <c r="GO13" i="52"/>
  <c r="GO20" i="52"/>
  <c r="GO26" i="52"/>
  <c r="GS21" i="52"/>
  <c r="GS29" i="52"/>
  <c r="GS15" i="52"/>
  <c r="GS17" i="52"/>
  <c r="GY31" i="52"/>
  <c r="GY26" i="52"/>
  <c r="GY27" i="52"/>
  <c r="HC15" i="52"/>
  <c r="HC18" i="52"/>
  <c r="HC29" i="52"/>
  <c r="HC26" i="52"/>
  <c r="GO17" i="52"/>
  <c r="GO23" i="52"/>
  <c r="GS13" i="52"/>
  <c r="GY23" i="52"/>
  <c r="GY15" i="52"/>
  <c r="HC21" i="52"/>
  <c r="HC30" i="52"/>
  <c r="HC22" i="52"/>
  <c r="GO27" i="52"/>
  <c r="GO15" i="52"/>
  <c r="GS31" i="52"/>
  <c r="GS23" i="52"/>
  <c r="GS25" i="52"/>
  <c r="GS22" i="52"/>
  <c r="GS28" i="52"/>
  <c r="GS18" i="52"/>
  <c r="GY28" i="52"/>
  <c r="GY20" i="52"/>
  <c r="GY18" i="52"/>
  <c r="GY29" i="52"/>
  <c r="HC27" i="52"/>
  <c r="HC28" i="52"/>
  <c r="HC20" i="52"/>
  <c r="HC25" i="52"/>
  <c r="GO30" i="52"/>
  <c r="GO29" i="52"/>
  <c r="GO31" i="52"/>
  <c r="GO21" i="52"/>
  <c r="GS20" i="52"/>
  <c r="GS26" i="52"/>
  <c r="GS30" i="52"/>
  <c r="GS27" i="52"/>
  <c r="GY21" i="52"/>
  <c r="GY30" i="52"/>
  <c r="GY22" i="52"/>
  <c r="HC23" i="52"/>
  <c r="HC31" i="52"/>
  <c r="FE34" i="52"/>
  <c r="FE33" i="52"/>
  <c r="FE35" i="52"/>
  <c r="FE19" i="52"/>
  <c r="GZ14" i="52"/>
  <c r="HA14" i="52"/>
  <c r="GV14" i="52"/>
  <c r="GW14" i="52"/>
  <c r="GT14" i="52"/>
  <c r="GU14" i="52"/>
  <c r="GP14" i="52"/>
  <c r="GQ14" i="52"/>
  <c r="GP12" i="52"/>
  <c r="GQ12" i="52"/>
  <c r="GL14" i="52"/>
  <c r="GM14" i="52"/>
  <c r="GL12" i="52"/>
  <c r="GM12" i="52"/>
  <c r="GJ14" i="52"/>
  <c r="GK14" i="52"/>
  <c r="GJ12" i="52"/>
  <c r="GK12" i="52"/>
  <c r="FA29" i="52"/>
  <c r="FE18" i="52"/>
  <c r="AQ93" i="56"/>
  <c r="FA13" i="52"/>
  <c r="AP90" i="56"/>
  <c r="FO21" i="52"/>
  <c r="FA23" i="52"/>
  <c r="FK26" i="52"/>
  <c r="FE22" i="52"/>
  <c r="FE25" i="52"/>
  <c r="FK30" i="52"/>
  <c r="FO27" i="52"/>
  <c r="FO29" i="52"/>
  <c r="FO26" i="52"/>
  <c r="FO23" i="52"/>
  <c r="FE15" i="52"/>
  <c r="FA26" i="52"/>
  <c r="FE30" i="52"/>
  <c r="FO15" i="52"/>
  <c r="FO22" i="52"/>
  <c r="FE13" i="52"/>
  <c r="AQ90" i="56"/>
  <c r="FE28" i="52"/>
  <c r="FA31" i="52"/>
  <c r="FA17" i="52"/>
  <c r="AP92" i="56"/>
  <c r="FK22" i="52"/>
  <c r="FK21" i="52"/>
  <c r="FA28" i="52"/>
  <c r="FE17" i="52"/>
  <c r="AQ92" i="56"/>
  <c r="FO25" i="52"/>
  <c r="FO28" i="52"/>
  <c r="FO31" i="52"/>
  <c r="FO20" i="52"/>
  <c r="FE23" i="52"/>
  <c r="FA30" i="52"/>
  <c r="FE31" i="52"/>
  <c r="FA27" i="52"/>
  <c r="FE21" i="52"/>
  <c r="FK18" i="52"/>
  <c r="AS93" i="56"/>
  <c r="FA18" i="52"/>
  <c r="AP93" i="56"/>
  <c r="FA21" i="52"/>
  <c r="FK23" i="52"/>
  <c r="FO18" i="52"/>
  <c r="AT93" i="56"/>
  <c r="FO30" i="52"/>
  <c r="FK29" i="52"/>
  <c r="FE20" i="52"/>
  <c r="FE27" i="52"/>
  <c r="FE29" i="52"/>
  <c r="FE26" i="52"/>
  <c r="FK27" i="52"/>
  <c r="FA22" i="52"/>
  <c r="FK28" i="52"/>
  <c r="FK31" i="52"/>
  <c r="FK20" i="52"/>
  <c r="FA20" i="52"/>
  <c r="FA15" i="52"/>
  <c r="FK15" i="52"/>
  <c r="FM14" i="52"/>
  <c r="FC12" i="52"/>
  <c r="EY12" i="52"/>
  <c r="FB12" i="52"/>
  <c r="EX12" i="52"/>
  <c r="FI14" i="52"/>
  <c r="FL14" i="52"/>
  <c r="FH14" i="52"/>
  <c r="FF14" i="52"/>
  <c r="FG14" i="52"/>
  <c r="EY14" i="52"/>
  <c r="FB14" i="52"/>
  <c r="FC14" i="52"/>
  <c r="EX14" i="52"/>
  <c r="AI24" i="52"/>
  <c r="AS25" i="52"/>
  <c r="AH24" i="52"/>
  <c r="M36" i="66"/>
  <c r="CR14" i="52"/>
  <c r="DE14" i="52"/>
  <c r="CR12" i="52"/>
  <c r="Y89" i="56"/>
  <c r="S16" i="16"/>
  <c r="R15" i="16"/>
  <c r="K16" i="16"/>
  <c r="AF15" i="16"/>
  <c r="AF13" i="16"/>
  <c r="K13" i="16"/>
  <c r="S13" i="16"/>
  <c r="S15" i="16"/>
  <c r="D98" i="15"/>
  <c r="D99" i="15"/>
  <c r="AQ16" i="60"/>
  <c r="AT16" i="60"/>
  <c r="AQ30" i="60"/>
  <c r="AT30" i="60"/>
  <c r="AR52" i="60"/>
  <c r="AU52" i="60"/>
  <c r="AS32" i="60"/>
  <c r="AV32" i="60"/>
  <c r="AR24" i="60"/>
  <c r="AU24" i="60"/>
  <c r="AR18" i="60"/>
  <c r="AU18" i="60"/>
  <c r="AR22" i="60"/>
  <c r="AU22" i="60"/>
  <c r="AR26" i="60"/>
  <c r="AU26" i="60"/>
  <c r="AS50" i="60"/>
  <c r="AV50" i="60"/>
  <c r="AS36" i="60"/>
  <c r="AV36" i="60"/>
  <c r="AR38" i="60"/>
  <c r="AU38" i="60"/>
  <c r="AS30" i="60"/>
  <c r="AV30" i="60"/>
  <c r="AS44" i="60"/>
  <c r="AV44" i="60"/>
  <c r="AR34" i="60"/>
  <c r="AU34" i="60"/>
  <c r="AR42" i="60"/>
  <c r="AU42" i="60"/>
  <c r="AS20" i="60"/>
  <c r="AV20" i="60"/>
  <c r="AR36" i="60"/>
  <c r="AU36" i="60"/>
  <c r="AR50" i="60"/>
  <c r="AU50" i="60"/>
  <c r="AR48" i="60"/>
  <c r="AU48" i="60"/>
  <c r="AS18" i="60"/>
  <c r="AV18" i="60"/>
  <c r="AS48" i="60"/>
  <c r="AV48" i="60"/>
  <c r="AS26" i="60"/>
  <c r="AV26" i="60"/>
  <c r="AR44" i="60"/>
  <c r="AU44" i="60"/>
  <c r="AS46" i="60"/>
  <c r="AV46" i="60"/>
  <c r="AS52" i="60"/>
  <c r="AV52" i="60"/>
  <c r="AS42" i="60"/>
  <c r="AV42" i="60"/>
  <c r="AR46" i="60"/>
  <c r="AU46" i="60"/>
  <c r="AS22" i="60"/>
  <c r="AV22" i="60"/>
  <c r="AS28" i="60"/>
  <c r="AV28" i="60"/>
  <c r="AS40" i="60"/>
  <c r="AV40" i="60"/>
  <c r="AR40" i="60"/>
  <c r="AU40" i="60"/>
  <c r="AR28" i="60"/>
  <c r="AU28" i="60"/>
  <c r="AS34" i="60"/>
  <c r="AV34" i="60"/>
  <c r="AS24" i="60"/>
  <c r="AV24" i="60"/>
  <c r="AS38" i="60"/>
  <c r="AV38" i="60"/>
  <c r="AS16" i="60"/>
  <c r="Q37" i="66"/>
  <c r="KD14" i="52"/>
  <c r="AS15" i="60"/>
  <c r="KN14" i="52"/>
  <c r="AV15" i="60"/>
  <c r="FY12" i="52"/>
  <c r="AQ85" i="61"/>
  <c r="JG25" i="52"/>
  <c r="AM31" i="60"/>
  <c r="ER25" i="52"/>
  <c r="W38" i="66"/>
  <c r="IY24" i="52"/>
  <c r="AG29" i="60"/>
  <c r="IL24" i="52"/>
  <c r="V29" i="60"/>
  <c r="FO24" i="52"/>
  <c r="AT25" i="52"/>
  <c r="ES25" i="52"/>
  <c r="T31" i="60"/>
  <c r="IT25" i="52"/>
  <c r="FE24" i="52"/>
  <c r="FY14" i="52"/>
  <c r="AQ87" i="61"/>
  <c r="GS14" i="52"/>
  <c r="HC14" i="52"/>
  <c r="GS24" i="52"/>
  <c r="GS12" i="52"/>
  <c r="AC25" i="52"/>
  <c r="IG25" i="52"/>
  <c r="GI14" i="52"/>
  <c r="AT87" i="61"/>
  <c r="HW14" i="52"/>
  <c r="HM14" i="52"/>
  <c r="DS25" i="52"/>
  <c r="Z98" i="61"/>
  <c r="EF25" i="52"/>
  <c r="AK98" i="61"/>
  <c r="D121" i="15"/>
  <c r="H28" i="15"/>
  <c r="D132" i="15"/>
  <c r="G26" i="15"/>
  <c r="M26" i="15"/>
  <c r="D134" i="15"/>
  <c r="G28" i="15"/>
  <c r="M28" i="15"/>
  <c r="D133" i="15"/>
  <c r="G27" i="15"/>
  <c r="M27" i="15"/>
  <c r="FO14" i="52"/>
  <c r="FE14" i="52"/>
  <c r="FE12" i="52"/>
  <c r="AQ89" i="56"/>
  <c r="AU25" i="52"/>
  <c r="ET25" i="52"/>
  <c r="CK24" i="52"/>
  <c r="CX24" i="52"/>
  <c r="AS12" i="52"/>
  <c r="AS14" i="52"/>
  <c r="AS24" i="52"/>
  <c r="AB24" i="52"/>
  <c r="U12" i="52"/>
  <c r="U14" i="52"/>
  <c r="AC24" i="52"/>
  <c r="U25" i="52"/>
  <c r="AC12" i="52"/>
  <c r="AC14" i="52"/>
  <c r="T16" i="16"/>
  <c r="T15" i="16"/>
  <c r="K15" i="16"/>
  <c r="T13" i="16"/>
  <c r="D110" i="15"/>
  <c r="E28" i="15"/>
  <c r="D120" i="15"/>
  <c r="H27" i="15"/>
  <c r="D109" i="15"/>
  <c r="E27" i="15"/>
  <c r="D119" i="15"/>
  <c r="H26" i="15"/>
  <c r="D108" i="15"/>
  <c r="E26" i="15"/>
  <c r="D87" i="15"/>
  <c r="U39" i="66"/>
  <c r="AM32" i="60"/>
  <c r="AB32" i="60"/>
  <c r="U38" i="66"/>
  <c r="JY25" i="52"/>
  <c r="JZ25" i="52"/>
  <c r="AR31" i="60"/>
  <c r="AB31" i="60"/>
  <c r="JO25" i="52"/>
  <c r="KI25" i="52"/>
  <c r="KJ25" i="52"/>
  <c r="AU31" i="60"/>
  <c r="Q36" i="66"/>
  <c r="D91" i="15"/>
  <c r="D27" i="15"/>
  <c r="I27" i="15"/>
  <c r="IG24" i="52"/>
  <c r="JG14" i="52"/>
  <c r="AM15" i="60"/>
  <c r="ER14" i="52"/>
  <c r="W13" i="66"/>
  <c r="JG24" i="52"/>
  <c r="AM29" i="60"/>
  <c r="ER24" i="52"/>
  <c r="W36" i="66"/>
  <c r="IT12" i="52"/>
  <c r="JY12" i="52"/>
  <c r="JZ12" i="52"/>
  <c r="ER12" i="52"/>
  <c r="W11" i="66"/>
  <c r="IV25" i="52"/>
  <c r="AD31" i="60"/>
  <c r="JI25" i="52"/>
  <c r="AO31" i="60"/>
  <c r="IU25" i="52"/>
  <c r="AC31" i="60"/>
  <c r="JH25" i="52"/>
  <c r="AT24" i="52"/>
  <c r="ES24" i="52"/>
  <c r="T29" i="60"/>
  <c r="IT24" i="52"/>
  <c r="AT14" i="52"/>
  <c r="ES14" i="52"/>
  <c r="T15" i="60"/>
  <c r="IT14" i="52"/>
  <c r="AB15" i="60"/>
  <c r="DS12" i="52"/>
  <c r="Z85" i="61"/>
  <c r="AT12" i="52"/>
  <c r="IG14" i="52"/>
  <c r="AD12" i="52"/>
  <c r="IG12" i="52"/>
  <c r="JO12" i="52"/>
  <c r="AD24" i="52"/>
  <c r="IF24" i="52"/>
  <c r="AE25" i="52"/>
  <c r="II25" i="52"/>
  <c r="AD25" i="52"/>
  <c r="IH25" i="52"/>
  <c r="AE14" i="52"/>
  <c r="DH14" i="52"/>
  <c r="AD14" i="52"/>
  <c r="AE12" i="52"/>
  <c r="CS25" i="52"/>
  <c r="DF25" i="52"/>
  <c r="GD25" i="52"/>
  <c r="FT25" i="52"/>
  <c r="DS14" i="52"/>
  <c r="Z87" i="61"/>
  <c r="EF14" i="52"/>
  <c r="AK87" i="61"/>
  <c r="HR25" i="52"/>
  <c r="EG25" i="52"/>
  <c r="DS24" i="52"/>
  <c r="Z97" i="61"/>
  <c r="EF24" i="52"/>
  <c r="AK97" i="61"/>
  <c r="HH25" i="52"/>
  <c r="DT25" i="52"/>
  <c r="AA98" i="61"/>
  <c r="EH25" i="52"/>
  <c r="AM98" i="61"/>
  <c r="DU25" i="52"/>
  <c r="AB98" i="61"/>
  <c r="AE24" i="52"/>
  <c r="AU14" i="52"/>
  <c r="ET14" i="52"/>
  <c r="AU24" i="52"/>
  <c r="ET24" i="52"/>
  <c r="AU12" i="52"/>
  <c r="ET12" i="52"/>
  <c r="AG24" i="52"/>
  <c r="AG25" i="52"/>
  <c r="EJ25" i="52"/>
  <c r="AG12" i="52"/>
  <c r="AG14" i="52"/>
  <c r="EJ14" i="52"/>
  <c r="CJ12" i="52"/>
  <c r="S89" i="56"/>
  <c r="CS24" i="52"/>
  <c r="DF24" i="52"/>
  <c r="CR24" i="52"/>
  <c r="DE24" i="52"/>
  <c r="CS14" i="52"/>
  <c r="DF14" i="52"/>
  <c r="CJ25" i="52"/>
  <c r="CW25" i="52"/>
  <c r="CJ14" i="52"/>
  <c r="CW14" i="52"/>
  <c r="CS12" i="52"/>
  <c r="Z89" i="56"/>
  <c r="U24" i="52"/>
  <c r="D88" i="15"/>
  <c r="I28" i="15"/>
  <c r="D86" i="15"/>
  <c r="I26" i="15"/>
  <c r="U37" i="66"/>
  <c r="AM30" i="60"/>
  <c r="AB30" i="60"/>
  <c r="S39" i="66"/>
  <c r="AN32" i="60"/>
  <c r="AD32" i="60"/>
  <c r="AO32" i="60"/>
  <c r="T37" i="66"/>
  <c r="AL30" i="60"/>
  <c r="AA30" i="60"/>
  <c r="U14" i="66"/>
  <c r="AM16" i="60"/>
  <c r="AB16" i="60"/>
  <c r="S38" i="66"/>
  <c r="AN31" i="60"/>
  <c r="U36" i="66"/>
  <c r="U13" i="66"/>
  <c r="JY24" i="52"/>
  <c r="JZ24" i="52"/>
  <c r="AR29" i="60"/>
  <c r="AB29" i="60"/>
  <c r="JY14" i="52"/>
  <c r="JZ14" i="52"/>
  <c r="AR15" i="60"/>
  <c r="JO14" i="52"/>
  <c r="JO24" i="52"/>
  <c r="AC32" i="60"/>
  <c r="KI24" i="52"/>
  <c r="KJ24" i="52"/>
  <c r="AU29" i="60"/>
  <c r="KI14" i="52"/>
  <c r="KJ14" i="52"/>
  <c r="AU15" i="60"/>
  <c r="Q19" i="66"/>
  <c r="IH12" i="52"/>
  <c r="CU14" i="52"/>
  <c r="IH14" i="52"/>
  <c r="IX24" i="52"/>
  <c r="AF29" i="60"/>
  <c r="EJ24" i="52"/>
  <c r="DJ12" i="52"/>
  <c r="S85" i="61"/>
  <c r="EJ12" i="52"/>
  <c r="IU12" i="52"/>
  <c r="ES12" i="52"/>
  <c r="AL98" i="61"/>
  <c r="HX24" i="52"/>
  <c r="EZ25" i="52"/>
  <c r="JP25" i="52"/>
  <c r="HX14" i="52"/>
  <c r="IX14" i="52"/>
  <c r="AF15" i="60"/>
  <c r="HX25" i="52"/>
  <c r="IX25" i="52"/>
  <c r="AF31" i="60"/>
  <c r="IV14" i="52"/>
  <c r="AD15" i="60"/>
  <c r="JI14" i="52"/>
  <c r="AO15" i="60"/>
  <c r="II24" i="52"/>
  <c r="IU14" i="52"/>
  <c r="AC15" i="60"/>
  <c r="JH14" i="52"/>
  <c r="AN15" i="60"/>
  <c r="IV24" i="52"/>
  <c r="AD29" i="60"/>
  <c r="JI24" i="52"/>
  <c r="AO29" i="60"/>
  <c r="IU24" i="52"/>
  <c r="AC29" i="60"/>
  <c r="JH24" i="52"/>
  <c r="HH12" i="52"/>
  <c r="HI12" i="52"/>
  <c r="DT12" i="52"/>
  <c r="AA85" i="61"/>
  <c r="FT12" i="52"/>
  <c r="DU12" i="52"/>
  <c r="AB85" i="61"/>
  <c r="IV12" i="52"/>
  <c r="IH24" i="52"/>
  <c r="II14" i="52"/>
  <c r="CU12" i="52"/>
  <c r="AB89" i="56"/>
  <c r="II12" i="52"/>
  <c r="CU25" i="52"/>
  <c r="DH25" i="52"/>
  <c r="HX12" i="52"/>
  <c r="GN25" i="52"/>
  <c r="GO25" i="52"/>
  <c r="CT25" i="52"/>
  <c r="GX25" i="52"/>
  <c r="GE25" i="52"/>
  <c r="AS98" i="61"/>
  <c r="FJ25" i="52"/>
  <c r="DG25" i="52"/>
  <c r="FU25" i="52"/>
  <c r="AP98" i="61"/>
  <c r="FT24" i="52"/>
  <c r="GD14" i="52"/>
  <c r="HI25" i="52"/>
  <c r="GD24" i="52"/>
  <c r="HS25" i="52"/>
  <c r="FT14" i="52"/>
  <c r="DJ24" i="52"/>
  <c r="S97" i="61"/>
  <c r="DW24" i="52"/>
  <c r="AD97" i="61"/>
  <c r="DU14" i="52"/>
  <c r="AB87" i="61"/>
  <c r="EH14" i="52"/>
  <c r="AM87" i="61"/>
  <c r="EH24" i="52"/>
  <c r="AM97" i="61"/>
  <c r="DU24" i="52"/>
  <c r="AB97" i="61"/>
  <c r="HR24" i="52"/>
  <c r="EG24" i="52"/>
  <c r="HR14" i="52"/>
  <c r="EG14" i="52"/>
  <c r="AL87" i="61"/>
  <c r="DJ14" i="52"/>
  <c r="S87" i="61"/>
  <c r="DW14" i="52"/>
  <c r="AD87" i="61"/>
  <c r="DJ25" i="52"/>
  <c r="S98" i="61"/>
  <c r="DW25" i="52"/>
  <c r="AD98" i="61"/>
  <c r="HH24" i="52"/>
  <c r="DT24" i="52"/>
  <c r="AA97" i="61"/>
  <c r="HH14" i="52"/>
  <c r="DT14" i="52"/>
  <c r="AA87" i="61"/>
  <c r="D92" i="15"/>
  <c r="D28" i="15"/>
  <c r="GX14" i="52"/>
  <c r="GX24" i="52"/>
  <c r="GN24" i="52"/>
  <c r="DG14" i="52"/>
  <c r="CT12" i="52"/>
  <c r="AA89" i="56"/>
  <c r="GN12" i="52"/>
  <c r="CT14" i="52"/>
  <c r="GN14" i="52"/>
  <c r="DH24" i="52"/>
  <c r="CU24" i="52"/>
  <c r="CT24" i="52"/>
  <c r="DG24" i="52"/>
  <c r="FJ24" i="52"/>
  <c r="EZ24" i="52"/>
  <c r="JP24" i="52"/>
  <c r="EZ12" i="52"/>
  <c r="EZ14" i="52"/>
  <c r="JP14" i="52"/>
  <c r="AU16" i="60"/>
  <c r="FJ14" i="52"/>
  <c r="D90" i="15"/>
  <c r="D26" i="15"/>
  <c r="CJ24" i="52"/>
  <c r="CW24" i="52"/>
  <c r="D95" i="15"/>
  <c r="F27" i="15"/>
  <c r="U16" i="60"/>
  <c r="AF16" i="60"/>
  <c r="AD16" i="60"/>
  <c r="AO16" i="60"/>
  <c r="S37" i="66"/>
  <c r="AN30" i="60"/>
  <c r="AD30" i="60"/>
  <c r="AO30" i="60"/>
  <c r="U32" i="60"/>
  <c r="AF32" i="60"/>
  <c r="U30" i="60"/>
  <c r="AF30" i="60"/>
  <c r="S14" i="66"/>
  <c r="AN16" i="60"/>
  <c r="S36" i="66"/>
  <c r="AN29" i="60"/>
  <c r="S13" i="66"/>
  <c r="AR30" i="60"/>
  <c r="AU30" i="60"/>
  <c r="AR32" i="60"/>
  <c r="AU32" i="60"/>
  <c r="AR16" i="60"/>
  <c r="AC30" i="60"/>
  <c r="AC16" i="60"/>
  <c r="JP12" i="52"/>
  <c r="FA25" i="52"/>
  <c r="FU12" i="52"/>
  <c r="AP85" i="61"/>
  <c r="AL97" i="61"/>
  <c r="FK25" i="52"/>
  <c r="GY25" i="52"/>
  <c r="GY14" i="52"/>
  <c r="GE14" i="52"/>
  <c r="AS87" i="61"/>
  <c r="GO14" i="52"/>
  <c r="GY24" i="52"/>
  <c r="GO12" i="52"/>
  <c r="GO24" i="52"/>
  <c r="GE24" i="52"/>
  <c r="AS97" i="61"/>
  <c r="FU14" i="52"/>
  <c r="AP87" i="61"/>
  <c r="FU24" i="52"/>
  <c r="AP97" i="61"/>
  <c r="HI24" i="52"/>
  <c r="HS24" i="52"/>
  <c r="HS14" i="52"/>
  <c r="HI14" i="52"/>
  <c r="FK24" i="52"/>
  <c r="FK14" i="52"/>
  <c r="FA24" i="52"/>
  <c r="FA12" i="52"/>
  <c r="AP89" i="56"/>
  <c r="FA14" i="52"/>
  <c r="D94" i="15"/>
  <c r="L27" i="15"/>
  <c r="D96" i="15"/>
  <c r="F28" i="15"/>
  <c r="AC30" i="8"/>
  <c r="AB30" i="8"/>
  <c r="Y20" i="8"/>
  <c r="AC19" i="8"/>
  <c r="X20" i="8"/>
  <c r="H52" i="49"/>
  <c r="AB19" i="8"/>
  <c r="J52" i="48"/>
  <c r="W20" i="8"/>
  <c r="H51" i="49"/>
  <c r="AA19" i="8"/>
  <c r="J51" i="48"/>
  <c r="V20" i="8"/>
  <c r="I18" i="66"/>
  <c r="Z19" i="8"/>
  <c r="I17" i="66"/>
  <c r="Y11" i="8"/>
  <c r="X11" i="8"/>
  <c r="W11" i="8"/>
  <c r="V11" i="8"/>
  <c r="AC10" i="8"/>
  <c r="AB10" i="8"/>
  <c r="AA10" i="8"/>
  <c r="P89" i="56"/>
  <c r="Z10" i="8"/>
  <c r="Y15" i="8"/>
  <c r="X15" i="8"/>
  <c r="W15" i="8"/>
  <c r="V15" i="8"/>
  <c r="I12" i="66"/>
  <c r="AC14" i="8"/>
  <c r="AB14" i="8"/>
  <c r="AA14" i="8"/>
  <c r="Z14" i="8"/>
  <c r="I11" i="66"/>
  <c r="Q85" i="61"/>
  <c r="R85" i="61"/>
  <c r="Q89" i="61"/>
  <c r="R89" i="61"/>
  <c r="P16" i="60"/>
  <c r="O87" i="61"/>
  <c r="P15" i="60"/>
  <c r="O85" i="61"/>
  <c r="Q18" i="60"/>
  <c r="Q17" i="60"/>
  <c r="P86" i="61"/>
  <c r="P88" i="61"/>
  <c r="O86" i="61"/>
  <c r="O88" i="61"/>
  <c r="P17" i="60"/>
  <c r="P18" i="60"/>
  <c r="R86" i="61"/>
  <c r="Q86" i="61"/>
  <c r="P85" i="61"/>
  <c r="Q16" i="60"/>
  <c r="P87" i="61"/>
  <c r="Q15" i="60"/>
  <c r="R90" i="61"/>
  <c r="Q90" i="61"/>
  <c r="H77" i="16"/>
  <c r="P90" i="56"/>
  <c r="R89" i="56"/>
  <c r="Q89" i="56"/>
  <c r="Q90" i="56"/>
  <c r="R90" i="56"/>
  <c r="G45" i="16"/>
  <c r="O89" i="56"/>
  <c r="G77" i="16"/>
  <c r="O90" i="56"/>
  <c r="R91" i="56"/>
  <c r="Q91" i="56"/>
  <c r="H45" i="16"/>
  <c r="R92" i="56"/>
  <c r="Q92" i="56"/>
  <c r="F26" i="15"/>
  <c r="L26" i="15"/>
  <c r="M30" i="8"/>
  <c r="M14" i="8"/>
  <c r="M15" i="8"/>
  <c r="M10" i="8"/>
  <c r="M11" i="8"/>
  <c r="J53" i="48"/>
  <c r="M19" i="8"/>
  <c r="M20" i="8"/>
  <c r="L28" i="15"/>
  <c r="J51" i="46"/>
  <c r="J51" i="44"/>
  <c r="H51" i="45"/>
  <c r="H51" i="47"/>
  <c r="J52" i="46"/>
  <c r="J52" i="44"/>
  <c r="H52" i="45"/>
  <c r="H52" i="47"/>
  <c r="J53" i="46"/>
  <c r="J53" i="44"/>
  <c r="H53" i="49"/>
  <c r="H53" i="45"/>
  <c r="H53" i="47"/>
  <c r="CC17" i="52"/>
  <c r="CC12" i="52"/>
  <c r="CC13" i="52"/>
  <c r="CC16" i="52"/>
  <c r="JD17" i="52"/>
  <c r="JD16" i="52"/>
  <c r="JD13" i="52"/>
  <c r="JD12" i="52"/>
  <c r="EC12" i="52"/>
  <c r="EC17" i="52"/>
  <c r="AH90" i="61"/>
  <c r="EC16" i="52"/>
  <c r="AH89" i="61"/>
  <c r="EC13" i="52"/>
  <c r="AH86" i="61"/>
  <c r="DC12" i="52"/>
  <c r="AH89" i="56"/>
  <c r="DC17" i="52"/>
  <c r="DC16" i="52"/>
  <c r="DC13" i="52"/>
  <c r="CE17" i="52"/>
  <c r="CE16" i="52"/>
  <c r="CF13" i="52"/>
  <c r="BX13" i="52"/>
  <c r="BX16" i="52"/>
  <c r="BZ13" i="52"/>
  <c r="CE12" i="52"/>
  <c r="CF12" i="52"/>
  <c r="CF16" i="52"/>
  <c r="BX12" i="52"/>
  <c r="CA16" i="52"/>
  <c r="CD13" i="52"/>
  <c r="BW13" i="52"/>
  <c r="CE13" i="52"/>
  <c r="CA12" i="52"/>
  <c r="CB13" i="52"/>
  <c r="CB16" i="52"/>
  <c r="BW12" i="52"/>
  <c r="BY12" i="52"/>
  <c r="CB12" i="52"/>
  <c r="BY13" i="52"/>
  <c r="CA17" i="52"/>
  <c r="CA13" i="52"/>
  <c r="BW17" i="52"/>
  <c r="BY17" i="52"/>
  <c r="CB17" i="52"/>
  <c r="BZ17" i="52"/>
  <c r="BX17" i="52"/>
  <c r="CD12" i="52"/>
  <c r="CD16" i="52"/>
  <c r="CF17" i="52"/>
  <c r="CD17" i="52"/>
  <c r="BZ12" i="52"/>
  <c r="AH85" i="61"/>
  <c r="AA12" i="66"/>
  <c r="AH90" i="56"/>
  <c r="AA17" i="66"/>
  <c r="AH91" i="56"/>
  <c r="AA18" i="66"/>
  <c r="AH92" i="56"/>
  <c r="AA11" i="66"/>
  <c r="P11" i="66"/>
  <c r="Q11" i="66"/>
  <c r="P17" i="66"/>
  <c r="Q17" i="66"/>
  <c r="P18" i="66"/>
  <c r="Q18" i="66"/>
  <c r="P12" i="66"/>
  <c r="Q12" i="66"/>
  <c r="DZ13" i="52"/>
  <c r="JA13" i="52"/>
  <c r="CZ13" i="52"/>
  <c r="X12" i="66"/>
  <c r="JB13" i="52"/>
  <c r="EA13" i="52"/>
  <c r="DA13" i="52"/>
  <c r="Y12" i="66"/>
  <c r="JB16" i="52"/>
  <c r="EA16" i="52"/>
  <c r="DA16" i="52"/>
  <c r="Y17" i="66"/>
  <c r="DA17" i="52"/>
  <c r="Y18" i="66"/>
  <c r="JB17" i="52"/>
  <c r="EA17" i="52"/>
  <c r="JA17" i="52"/>
  <c r="DZ17" i="52"/>
  <c r="CZ17" i="52"/>
  <c r="X18" i="66"/>
  <c r="DZ12" i="52"/>
  <c r="JA12" i="52"/>
  <c r="CZ12" i="52"/>
  <c r="X11" i="66"/>
  <c r="JB12" i="52"/>
  <c r="EA12" i="52"/>
  <c r="DA12" i="52"/>
  <c r="Y11" i="66"/>
  <c r="IY13" i="52"/>
  <c r="IY12" i="52"/>
  <c r="IY16" i="52"/>
  <c r="IY17" i="52"/>
  <c r="IX12" i="52"/>
  <c r="JG12" i="52"/>
  <c r="KI12" i="52"/>
  <c r="JG13" i="52"/>
  <c r="KI13" i="52"/>
  <c r="JG16" i="52"/>
  <c r="KI16" i="52"/>
  <c r="JG17" i="52"/>
  <c r="KI17" i="52"/>
  <c r="JF17" i="52"/>
  <c r="JF16" i="52"/>
  <c r="JF12" i="52"/>
  <c r="JF13" i="52"/>
  <c r="JE17" i="52"/>
  <c r="KM17" i="52"/>
  <c r="JE12" i="52"/>
  <c r="KM12" i="52"/>
  <c r="JE13" i="52"/>
  <c r="KM13" i="52"/>
  <c r="JE16" i="52"/>
  <c r="KM16" i="52"/>
  <c r="JC17" i="52"/>
  <c r="JC16" i="52"/>
  <c r="JC12" i="52"/>
  <c r="JC13" i="52"/>
  <c r="IZ13" i="52"/>
  <c r="IZ17" i="52"/>
  <c r="IZ12" i="52"/>
  <c r="IX17" i="52"/>
  <c r="IX13" i="52"/>
  <c r="CG13" i="52"/>
  <c r="JH13" i="52"/>
  <c r="CG17" i="52"/>
  <c r="JH17" i="52"/>
  <c r="CG12" i="52"/>
  <c r="JH12" i="52"/>
  <c r="DW17" i="52"/>
  <c r="AD90" i="61"/>
  <c r="DW13" i="52"/>
  <c r="AD86" i="61"/>
  <c r="EF16" i="52"/>
  <c r="AK89" i="61"/>
  <c r="EF17" i="52"/>
  <c r="AK90" i="61"/>
  <c r="EF13" i="52"/>
  <c r="AK86" i="61"/>
  <c r="EF12" i="52"/>
  <c r="AK85" i="61"/>
  <c r="EE16" i="52"/>
  <c r="AJ89" i="61"/>
  <c r="EE17" i="52"/>
  <c r="AJ90" i="61"/>
  <c r="EE12" i="52"/>
  <c r="AJ85" i="61"/>
  <c r="EE13" i="52"/>
  <c r="AJ86" i="61"/>
  <c r="ED17" i="52"/>
  <c r="AI90" i="61"/>
  <c r="ED13" i="52"/>
  <c r="AI86" i="61"/>
  <c r="ED16" i="52"/>
  <c r="AI89" i="61"/>
  <c r="ED12" i="52"/>
  <c r="AI85" i="61"/>
  <c r="EB17" i="52"/>
  <c r="AG90" i="61"/>
  <c r="EB12" i="52"/>
  <c r="AG85" i="61"/>
  <c r="EB13" i="52"/>
  <c r="AG86" i="61"/>
  <c r="EB16" i="52"/>
  <c r="AG89" i="61"/>
  <c r="DY13" i="52"/>
  <c r="AF86" i="61"/>
  <c r="DY12" i="52"/>
  <c r="AF85" i="61"/>
  <c r="DY17" i="52"/>
  <c r="AF90" i="61"/>
  <c r="DX17" i="52"/>
  <c r="AE90" i="61"/>
  <c r="DX12" i="52"/>
  <c r="AE85" i="61"/>
  <c r="DX13" i="52"/>
  <c r="AE86" i="61"/>
  <c r="DX16" i="52"/>
  <c r="AE89" i="61"/>
  <c r="DW12" i="52"/>
  <c r="AD85" i="61"/>
  <c r="CH16" i="52"/>
  <c r="JI16" i="52"/>
  <c r="CH17" i="52"/>
  <c r="JI17" i="52"/>
  <c r="CH12" i="52"/>
  <c r="JI12" i="52"/>
  <c r="CH13" i="52"/>
  <c r="JI13" i="52"/>
  <c r="CX16" i="52"/>
  <c r="AE91" i="56"/>
  <c r="CX12" i="52"/>
  <c r="AE89" i="56"/>
  <c r="CX17" i="52"/>
  <c r="AE92" i="56"/>
  <c r="CX13" i="52"/>
  <c r="AE90" i="56"/>
  <c r="DB17" i="52"/>
  <c r="DF17" i="52"/>
  <c r="CW12" i="52"/>
  <c r="AD89" i="56"/>
  <c r="DB13" i="52"/>
  <c r="DE17" i="52"/>
  <c r="DB12" i="52"/>
  <c r="AG89" i="56"/>
  <c r="DD12" i="52"/>
  <c r="AI89" i="56"/>
  <c r="DD16" i="52"/>
  <c r="AI91" i="56"/>
  <c r="DE13" i="52"/>
  <c r="CY17" i="52"/>
  <c r="DF12" i="52"/>
  <c r="DF16" i="52"/>
  <c r="DF13" i="52"/>
  <c r="CY13" i="52"/>
  <c r="CW17" i="52"/>
  <c r="AD92" i="56"/>
  <c r="DD17" i="52"/>
  <c r="AI92" i="56"/>
  <c r="DE12" i="52"/>
  <c r="CY12" i="52"/>
  <c r="AF89" i="56"/>
  <c r="DB16" i="52"/>
  <c r="DE16" i="52"/>
  <c r="DD13" i="52"/>
  <c r="AI90" i="56"/>
  <c r="CW13" i="52"/>
  <c r="AD90" i="56"/>
  <c r="U17" i="66"/>
  <c r="AK91" i="56"/>
  <c r="T18" i="66"/>
  <c r="AJ92" i="56"/>
  <c r="U11" i="66"/>
  <c r="AK89" i="56"/>
  <c r="T17" i="66"/>
  <c r="AJ91" i="56"/>
  <c r="T11" i="66"/>
  <c r="AJ89" i="56"/>
  <c r="U12" i="66"/>
  <c r="AK90" i="56"/>
  <c r="T12" i="66"/>
  <c r="AJ90" i="56"/>
  <c r="U18" i="66"/>
  <c r="AK92" i="56"/>
  <c r="Z17" i="66"/>
  <c r="AG91" i="56"/>
  <c r="Z12" i="66"/>
  <c r="AG90" i="56"/>
  <c r="R12" i="66"/>
  <c r="AF90" i="56"/>
  <c r="R18" i="66"/>
  <c r="AF92" i="56"/>
  <c r="Z18" i="66"/>
  <c r="AG92" i="56"/>
  <c r="Z11" i="66"/>
  <c r="R11" i="66"/>
  <c r="KL17" i="52"/>
  <c r="KN17" i="52"/>
  <c r="KH17" i="52"/>
  <c r="KJ17" i="52"/>
  <c r="KK17" i="52"/>
  <c r="KG17" i="52"/>
  <c r="KF17" i="52"/>
  <c r="KE17" i="52"/>
  <c r="KK13" i="52"/>
  <c r="KG13" i="52"/>
  <c r="KF13" i="52"/>
  <c r="KE13" i="52"/>
  <c r="KL13" i="52"/>
  <c r="KN13" i="52"/>
  <c r="KH13" i="52"/>
  <c r="KJ13" i="52"/>
  <c r="KF12" i="52"/>
  <c r="KE12" i="52"/>
  <c r="KG12" i="52"/>
  <c r="KL12" i="52"/>
  <c r="KN12" i="52"/>
  <c r="KH12" i="52"/>
  <c r="KJ12" i="52"/>
  <c r="KK12" i="52"/>
  <c r="EH12" i="52"/>
  <c r="AM85" i="61"/>
  <c r="GH17" i="52"/>
  <c r="GD12" i="52"/>
  <c r="GD17" i="52"/>
  <c r="GH12" i="52"/>
  <c r="GD16" i="52"/>
  <c r="GH13" i="52"/>
  <c r="GH16" i="52"/>
  <c r="GD13" i="52"/>
  <c r="GF12" i="52"/>
  <c r="GG12" i="52"/>
  <c r="GF13" i="52"/>
  <c r="GG13" i="52"/>
  <c r="GF17" i="52"/>
  <c r="GG17" i="52"/>
  <c r="GB12" i="52"/>
  <c r="GC12" i="52"/>
  <c r="GB13" i="52"/>
  <c r="GC13" i="52"/>
  <c r="GB17" i="52"/>
  <c r="GC17" i="52"/>
  <c r="FZ12" i="52"/>
  <c r="GA12" i="52"/>
  <c r="AR85" i="61"/>
  <c r="FZ13" i="52"/>
  <c r="GA13" i="52"/>
  <c r="AR86" i="61"/>
  <c r="FZ17" i="52"/>
  <c r="GA17" i="52"/>
  <c r="AR90" i="61"/>
  <c r="EH17" i="52"/>
  <c r="AM90" i="61"/>
  <c r="EH13" i="52"/>
  <c r="AM86" i="61"/>
  <c r="EH16" i="52"/>
  <c r="AM89" i="61"/>
  <c r="HB13" i="52"/>
  <c r="GX12" i="52"/>
  <c r="HR17" i="52"/>
  <c r="HA12" i="52"/>
  <c r="HV17" i="52"/>
  <c r="GX16" i="52"/>
  <c r="HB12" i="52"/>
  <c r="GX17" i="52"/>
  <c r="HR12" i="52"/>
  <c r="HB16" i="52"/>
  <c r="HV13" i="52"/>
  <c r="HR13" i="52"/>
  <c r="HB17" i="52"/>
  <c r="GX13" i="52"/>
  <c r="HR16" i="52"/>
  <c r="HV16" i="52"/>
  <c r="HV12" i="52"/>
  <c r="HT13" i="52"/>
  <c r="HU13" i="52"/>
  <c r="HT12" i="52"/>
  <c r="HU12" i="52"/>
  <c r="HT17" i="52"/>
  <c r="HU17" i="52"/>
  <c r="HP13" i="52"/>
  <c r="HQ13" i="52"/>
  <c r="HP12" i="52"/>
  <c r="HQ12" i="52"/>
  <c r="HP17" i="52"/>
  <c r="HQ17" i="52"/>
  <c r="HN13" i="52"/>
  <c r="HO13" i="52"/>
  <c r="HN12" i="52"/>
  <c r="HO12" i="52"/>
  <c r="HN17" i="52"/>
  <c r="HO17" i="52"/>
  <c r="GZ17" i="52"/>
  <c r="HA17" i="52"/>
  <c r="GZ13" i="52"/>
  <c r="HA13" i="52"/>
  <c r="GW12" i="52"/>
  <c r="GZ12" i="52"/>
  <c r="GV12" i="52"/>
  <c r="GV17" i="52"/>
  <c r="GW17" i="52"/>
  <c r="GV13" i="52"/>
  <c r="GW13" i="52"/>
  <c r="GT12" i="52"/>
  <c r="GU12" i="52"/>
  <c r="GT17" i="52"/>
  <c r="GU17" i="52"/>
  <c r="GT13" i="52"/>
  <c r="GU13" i="52"/>
  <c r="DH17" i="52"/>
  <c r="AM92" i="56"/>
  <c r="DH13" i="52"/>
  <c r="AM90" i="56"/>
  <c r="DH16" i="52"/>
  <c r="AM91" i="56"/>
  <c r="DH12" i="52"/>
  <c r="AM89" i="56"/>
  <c r="EG12" i="52"/>
  <c r="AL85" i="61"/>
  <c r="EG17" i="52"/>
  <c r="AL90" i="61"/>
  <c r="DG12" i="52"/>
  <c r="AL89" i="56"/>
  <c r="EG13" i="52"/>
  <c r="AL86" i="61"/>
  <c r="DG17" i="52"/>
  <c r="DG13" i="52"/>
  <c r="FN16" i="52"/>
  <c r="FN17" i="52"/>
  <c r="FJ13" i="52"/>
  <c r="FM12" i="52"/>
  <c r="FJ16" i="52"/>
  <c r="FM17" i="52"/>
  <c r="FN12" i="52"/>
  <c r="FJ17" i="52"/>
  <c r="FN13" i="52"/>
  <c r="FM13" i="52"/>
  <c r="FJ12" i="52"/>
  <c r="FI12" i="52"/>
  <c r="FL12" i="52"/>
  <c r="FH12" i="52"/>
  <c r="FF12" i="52"/>
  <c r="FG12" i="52"/>
  <c r="AR89" i="56"/>
  <c r="FI17" i="52"/>
  <c r="FL17" i="52"/>
  <c r="FH17" i="52"/>
  <c r="FF17" i="52"/>
  <c r="FG17" i="52"/>
  <c r="AR92" i="56"/>
  <c r="FL13" i="52"/>
  <c r="FI13" i="52"/>
  <c r="FH13" i="52"/>
  <c r="FF13" i="52"/>
  <c r="FG13" i="52"/>
  <c r="AR90" i="56"/>
  <c r="S18" i="66"/>
  <c r="AL92" i="56"/>
  <c r="S12" i="66"/>
  <c r="AL90" i="56"/>
  <c r="S11" i="66"/>
  <c r="GE13" i="52"/>
  <c r="AS86" i="61"/>
  <c r="GI17" i="52"/>
  <c r="AT90" i="61"/>
  <c r="GE17" i="52"/>
  <c r="AS90" i="61"/>
  <c r="GE12" i="52"/>
  <c r="AS85" i="61"/>
  <c r="GI13" i="52"/>
  <c r="AT86" i="61"/>
  <c r="GI12" i="52"/>
  <c r="AT85" i="61"/>
  <c r="GY12" i="52"/>
  <c r="GY17" i="52"/>
  <c r="GY13" i="52"/>
  <c r="HC13" i="52"/>
  <c r="HC17" i="52"/>
  <c r="HS17" i="52"/>
  <c r="HS12" i="52"/>
  <c r="HS13" i="52"/>
  <c r="HW17" i="52"/>
  <c r="HW12" i="52"/>
  <c r="HW13" i="52"/>
  <c r="HC12" i="52"/>
  <c r="FO17" i="52"/>
  <c r="AT92" i="56"/>
  <c r="FK17" i="52"/>
  <c r="AS92" i="56"/>
  <c r="FK12" i="52"/>
  <c r="AS89" i="56"/>
  <c r="FO13" i="52"/>
  <c r="AT90" i="56"/>
  <c r="FK13" i="52"/>
  <c r="AS90" i="56"/>
  <c r="FO12" i="52"/>
  <c r="AT89" i="56"/>
  <c r="BI37" i="52"/>
  <c r="BI32" i="52"/>
  <c r="BI31" i="52"/>
  <c r="BI30" i="52"/>
  <c r="BI34" i="52"/>
  <c r="BI14" i="52"/>
  <c r="AV37" i="52"/>
  <c r="AV28" i="52"/>
  <c r="AV18" i="52"/>
  <c r="AF21" i="52"/>
  <c r="AF27" i="52"/>
  <c r="AV15" i="52"/>
  <c r="AF29" i="52"/>
  <c r="AF31" i="52"/>
  <c r="AV32" i="52"/>
  <c r="AF30" i="52"/>
  <c r="AV19" i="52"/>
  <c r="AV25" i="52"/>
  <c r="AF24" i="52"/>
  <c r="BI36" i="52"/>
  <c r="BI13" i="52"/>
  <c r="BI35" i="52"/>
  <c r="BI24" i="52"/>
  <c r="BI23" i="52"/>
  <c r="BI33" i="52"/>
  <c r="AF36" i="52"/>
  <c r="AV35" i="52"/>
  <c r="AV26" i="52"/>
  <c r="AV34" i="52"/>
  <c r="AF17" i="52"/>
  <c r="AF15" i="52"/>
  <c r="AV21" i="52"/>
  <c r="AF26" i="52"/>
  <c r="AF18" i="52"/>
  <c r="AF34" i="52"/>
  <c r="AV17" i="52"/>
  <c r="AF22" i="52"/>
  <c r="AF33" i="52"/>
  <c r="AF32" i="52"/>
  <c r="AF28" i="52"/>
  <c r="BI20" i="52"/>
  <c r="BI12" i="52"/>
  <c r="BI17" i="52"/>
  <c r="BI27" i="52"/>
  <c r="BI21" i="52"/>
  <c r="BI26" i="52"/>
  <c r="AV23" i="52"/>
  <c r="AV36" i="52"/>
  <c r="AF37" i="52"/>
  <c r="AV31" i="52"/>
  <c r="AF13" i="52"/>
  <c r="AF23" i="52"/>
  <c r="AV16" i="52"/>
  <c r="AF35" i="52"/>
  <c r="AF16" i="52"/>
  <c r="AV30" i="52"/>
  <c r="AF19" i="52"/>
  <c r="AV12" i="52"/>
  <c r="AF12" i="52"/>
  <c r="AF14" i="52"/>
  <c r="BI25" i="52"/>
  <c r="AV22" i="52"/>
  <c r="AV14" i="52"/>
  <c r="BI19" i="52"/>
  <c r="BI22" i="52"/>
  <c r="AV29" i="52"/>
  <c r="BI29" i="52"/>
  <c r="BI28" i="52"/>
  <c r="AV27" i="52"/>
  <c r="AF20" i="52"/>
  <c r="BI18" i="52"/>
  <c r="BI15" i="52"/>
  <c r="AV33" i="52"/>
  <c r="AV20" i="52"/>
  <c r="AV13" i="52"/>
  <c r="AF25" i="52"/>
  <c r="AV24" i="52"/>
  <c r="CI37" i="52"/>
  <c r="BV20" i="52"/>
  <c r="BV29" i="52"/>
  <c r="CI29" i="52"/>
  <c r="CI30" i="52"/>
  <c r="JJ30" i="52"/>
  <c r="AP41" i="60"/>
  <c r="CI26" i="52"/>
  <c r="CI22" i="52"/>
  <c r="CI23" i="52"/>
  <c r="CI15" i="52"/>
  <c r="BV14" i="52"/>
  <c r="BV34" i="52"/>
  <c r="BV36" i="52"/>
  <c r="BV32" i="52"/>
  <c r="BV21" i="52"/>
  <c r="BV25" i="52"/>
  <c r="CI31" i="52"/>
  <c r="BV24" i="52"/>
  <c r="CI28" i="52"/>
  <c r="BV35" i="52"/>
  <c r="CI36" i="52"/>
  <c r="BV17" i="52"/>
  <c r="CI18" i="52"/>
  <c r="JJ18" i="52"/>
  <c r="BV22" i="52"/>
  <c r="BV31" i="52"/>
  <c r="BV33" i="52"/>
  <c r="BV15" i="52"/>
  <c r="BV27" i="52"/>
  <c r="BV13" i="52"/>
  <c r="BV12" i="52"/>
  <c r="CI21" i="52"/>
  <c r="CI24" i="52"/>
  <c r="JJ24" i="52"/>
  <c r="AP29" i="60"/>
  <c r="CI13" i="52"/>
  <c r="CI12" i="52"/>
  <c r="BV26" i="52"/>
  <c r="IW26" i="52"/>
  <c r="AE33" i="60"/>
  <c r="CI14" i="52"/>
  <c r="CI17" i="52"/>
  <c r="BV37" i="52"/>
  <c r="CI20" i="52"/>
  <c r="BV19" i="52"/>
  <c r="BV18" i="52"/>
  <c r="CI25" i="52"/>
  <c r="BV30" i="52"/>
  <c r="BV28" i="52"/>
  <c r="BV23" i="52"/>
  <c r="CI27" i="52"/>
  <c r="IW31" i="52"/>
  <c r="AE43" i="60"/>
  <c r="JJ23" i="52"/>
  <c r="AP27" i="60"/>
  <c r="JJ29" i="52"/>
  <c r="AP39" i="60"/>
  <c r="JJ12" i="52"/>
  <c r="JJ22" i="52"/>
  <c r="AP25" i="60"/>
  <c r="IW33" i="52"/>
  <c r="AE47" i="60"/>
  <c r="IJ15" i="52"/>
  <c r="IW30" i="52"/>
  <c r="AE41" i="60"/>
  <c r="JJ20" i="52"/>
  <c r="AP21" i="60"/>
  <c r="JJ14" i="52"/>
  <c r="AP15" i="60"/>
  <c r="JJ36" i="52"/>
  <c r="JJ26" i="52"/>
  <c r="AP33" i="60"/>
  <c r="EU18" i="52"/>
  <c r="EU25" i="52"/>
  <c r="EU22" i="52"/>
  <c r="EU21" i="52"/>
  <c r="EU28" i="52"/>
  <c r="IW23" i="52"/>
  <c r="AE27" i="60"/>
  <c r="IW15" i="52"/>
  <c r="AE17" i="60"/>
  <c r="IW35" i="52"/>
  <c r="AE51" i="60"/>
  <c r="JJ15" i="52"/>
  <c r="AP17" i="60"/>
  <c r="IW28" i="52"/>
  <c r="AE37" i="60"/>
  <c r="JJ28" i="52"/>
  <c r="AP37" i="60"/>
  <c r="IW14" i="52"/>
  <c r="AE15" i="60"/>
  <c r="EU19" i="52"/>
  <c r="IJ19" i="52"/>
  <c r="EU26" i="52"/>
  <c r="IW12" i="52"/>
  <c r="IW18" i="52"/>
  <c r="IJ28" i="52"/>
  <c r="JJ17" i="52"/>
  <c r="EU15" i="52"/>
  <c r="IJ35" i="52"/>
  <c r="IW24" i="52"/>
  <c r="AE29" i="60"/>
  <c r="JJ25" i="52"/>
  <c r="AP31" i="60"/>
  <c r="IW17" i="52"/>
  <c r="IW36" i="52"/>
  <c r="IW19" i="52"/>
  <c r="AE19" i="60"/>
  <c r="JJ21" i="52"/>
  <c r="AP23" i="60"/>
  <c r="IW21" i="52"/>
  <c r="AE23" i="60"/>
  <c r="EU17" i="52"/>
  <c r="IJ18" i="52"/>
  <c r="IW27" i="52"/>
  <c r="AE35" i="60"/>
  <c r="IW22" i="52"/>
  <c r="AE25" i="60"/>
  <c r="IW32" i="52"/>
  <c r="AE45" i="60"/>
  <c r="IJ37" i="52"/>
  <c r="JJ27" i="52"/>
  <c r="AP35" i="60"/>
  <c r="JJ31" i="52"/>
  <c r="AP43" i="60"/>
  <c r="JJ37" i="52"/>
  <c r="IW37" i="52"/>
  <c r="IJ32" i="52"/>
  <c r="IW29" i="52"/>
  <c r="AE39" i="60"/>
  <c r="IW25" i="52"/>
  <c r="AE31" i="60"/>
  <c r="JJ13" i="52"/>
  <c r="IW13" i="52"/>
  <c r="IW34" i="52"/>
  <c r="AE49" i="60"/>
  <c r="IJ25" i="52"/>
  <c r="EU35" i="52"/>
  <c r="EU12" i="52"/>
  <c r="EU33" i="52"/>
  <c r="EU13" i="52"/>
  <c r="EU14" i="52"/>
  <c r="EU32" i="52"/>
  <c r="EU29" i="52"/>
  <c r="EU20" i="52"/>
  <c r="EU23" i="52"/>
  <c r="EU36" i="52"/>
  <c r="EU34" i="52"/>
  <c r="EU27" i="52"/>
  <c r="EU24" i="52"/>
  <c r="EU30" i="52"/>
  <c r="EU31" i="52"/>
  <c r="EU37" i="52"/>
  <c r="IW20" i="52"/>
  <c r="AE21" i="60"/>
  <c r="IJ23" i="52"/>
  <c r="IJ12" i="52"/>
  <c r="IJ20" i="52"/>
  <c r="IJ14" i="52"/>
  <c r="IJ16" i="52"/>
  <c r="IJ13" i="52"/>
  <c r="IJ34" i="52"/>
  <c r="IJ24" i="52"/>
  <c r="IJ30" i="52"/>
  <c r="IJ33" i="52"/>
  <c r="IJ17" i="52"/>
  <c r="IJ36" i="52"/>
  <c r="IJ27" i="52"/>
  <c r="IJ22" i="52"/>
  <c r="IJ26" i="52"/>
  <c r="IJ31" i="52"/>
  <c r="IJ21" i="52"/>
  <c r="IJ29" i="52"/>
  <c r="DV33" i="52"/>
  <c r="AC106" i="61"/>
  <c r="DV26" i="52"/>
  <c r="AC99" i="61"/>
  <c r="DV12" i="52"/>
  <c r="AC85" i="61"/>
  <c r="EI27" i="52"/>
  <c r="AN100" i="61"/>
  <c r="DV22" i="52"/>
  <c r="AC95" i="61"/>
  <c r="EI36" i="52"/>
  <c r="AN109" i="61"/>
  <c r="EI26" i="52"/>
  <c r="AN99" i="61"/>
  <c r="EI37" i="52"/>
  <c r="AN110" i="61"/>
  <c r="DV18" i="52"/>
  <c r="AC91" i="61"/>
  <c r="EI17" i="52"/>
  <c r="AN90" i="61"/>
  <c r="EI12" i="52"/>
  <c r="AN85" i="61"/>
  <c r="EI24" i="52"/>
  <c r="AN97" i="61"/>
  <c r="DV17" i="52"/>
  <c r="AC90" i="61"/>
  <c r="EI23" i="52"/>
  <c r="AN96" i="61"/>
  <c r="EI29" i="52"/>
  <c r="AN102" i="61"/>
  <c r="EI18" i="52"/>
  <c r="AN91" i="61"/>
  <c r="DV28" i="52"/>
  <c r="AC101" i="61"/>
  <c r="DV19" i="52"/>
  <c r="AC92" i="61"/>
  <c r="EI21" i="52"/>
  <c r="AN94" i="61"/>
  <c r="EI28" i="52"/>
  <c r="AN101" i="61"/>
  <c r="DV21" i="52"/>
  <c r="AC94" i="61"/>
  <c r="DV36" i="52"/>
  <c r="AC109" i="61"/>
  <c r="DV29" i="52"/>
  <c r="AC102" i="61"/>
  <c r="EI25" i="52"/>
  <c r="AN98" i="61"/>
  <c r="DV25" i="52"/>
  <c r="AC98" i="61"/>
  <c r="EI13" i="52"/>
  <c r="AN86" i="61"/>
  <c r="DV13" i="52"/>
  <c r="AC86" i="61"/>
  <c r="DV34" i="52"/>
  <c r="AC107" i="61"/>
  <c r="DV20" i="52"/>
  <c r="AC93" i="61"/>
  <c r="EI20" i="52"/>
  <c r="AN93" i="61"/>
  <c r="EI14" i="52"/>
  <c r="AN87" i="61"/>
  <c r="EI31" i="52"/>
  <c r="AN104" i="61"/>
  <c r="EI15" i="52"/>
  <c r="AN88" i="61"/>
  <c r="EI30" i="52"/>
  <c r="AN103" i="61"/>
  <c r="EI22" i="52"/>
  <c r="AN95" i="61"/>
  <c r="DV27" i="52"/>
  <c r="AC100" i="61"/>
  <c r="DV24" i="52"/>
  <c r="AC97" i="61"/>
  <c r="DV32" i="52"/>
  <c r="AC105" i="61"/>
  <c r="DV14" i="52"/>
  <c r="AC87" i="61"/>
  <c r="DV37" i="52"/>
  <c r="AC110" i="61"/>
  <c r="DV15" i="52"/>
  <c r="AC88" i="61"/>
  <c r="DV35" i="52"/>
  <c r="AC108" i="61"/>
  <c r="DV30" i="52"/>
  <c r="AC103" i="61"/>
  <c r="DV23" i="52"/>
  <c r="AC96" i="61"/>
  <c r="DV31" i="52"/>
  <c r="AC104" i="61"/>
  <c r="CV27" i="52"/>
  <c r="DI26" i="52"/>
  <c r="CV12" i="52"/>
  <c r="AC89" i="56"/>
  <c r="CV22" i="52"/>
  <c r="DI24" i="52"/>
  <c r="DI29" i="52"/>
  <c r="DI27" i="52"/>
  <c r="CV28" i="52"/>
  <c r="DI23" i="52"/>
  <c r="DI18" i="52"/>
  <c r="AN93" i="56"/>
  <c r="DI17" i="52"/>
  <c r="AN92" i="56"/>
  <c r="CV33" i="52"/>
  <c r="CV26" i="52"/>
  <c r="DI31" i="52"/>
  <c r="CV19" i="52"/>
  <c r="CV31" i="52"/>
  <c r="CV21" i="52"/>
  <c r="DI20" i="52"/>
  <c r="CV32" i="52"/>
  <c r="CV14" i="52"/>
  <c r="CV15" i="52"/>
  <c r="DI15" i="52"/>
  <c r="DI30" i="52"/>
  <c r="DI36" i="52"/>
  <c r="AN94" i="56"/>
  <c r="CV23" i="52"/>
  <c r="CV18" i="52"/>
  <c r="AC93" i="56"/>
  <c r="DI12" i="52"/>
  <c r="AN89" i="56"/>
  <c r="DI21" i="52"/>
  <c r="DI14" i="52"/>
  <c r="CV34" i="52"/>
  <c r="DI28" i="52"/>
  <c r="DI13" i="52"/>
  <c r="AN90" i="56"/>
  <c r="CV13" i="52"/>
  <c r="AC90" i="56"/>
  <c r="CV35" i="52"/>
  <c r="DI37" i="52"/>
  <c r="AN95" i="56"/>
  <c r="CV30" i="52"/>
  <c r="CV17" i="52"/>
  <c r="AC92" i="56"/>
  <c r="CV36" i="52"/>
  <c r="AC94" i="56"/>
  <c r="DI22" i="52"/>
  <c r="CV20" i="52"/>
  <c r="DI25" i="52"/>
  <c r="CV37" i="52"/>
  <c r="AC95" i="56"/>
  <c r="CV25" i="52"/>
  <c r="CV29" i="52"/>
  <c r="CV24" i="52"/>
  <c r="AE44" i="60"/>
  <c r="AP44" i="60"/>
  <c r="AE30" i="60"/>
  <c r="AP30" i="60"/>
  <c r="AE16" i="60"/>
  <c r="AP16" i="60"/>
  <c r="AE34" i="60"/>
  <c r="AP34" i="60"/>
  <c r="AE50" i="60"/>
  <c r="AP50" i="60"/>
  <c r="AE22" i="60"/>
  <c r="AP22" i="60"/>
  <c r="AE46" i="60"/>
  <c r="AP46" i="60"/>
  <c r="AE18" i="60"/>
  <c r="AP18" i="60"/>
  <c r="AE40" i="60"/>
  <c r="AP40" i="60"/>
  <c r="AE26" i="60"/>
  <c r="AP26" i="60"/>
  <c r="AE48" i="60"/>
  <c r="AP48" i="60"/>
  <c r="AE32" i="60"/>
  <c r="AP32" i="60"/>
  <c r="AE38" i="60"/>
  <c r="AP38" i="60"/>
  <c r="AE20" i="60"/>
  <c r="AP20" i="60"/>
  <c r="AE24" i="60"/>
  <c r="AP24" i="60"/>
  <c r="AE36" i="60"/>
  <c r="AP36" i="60"/>
  <c r="AE42" i="60"/>
  <c r="AP42" i="60"/>
  <c r="AE28" i="60"/>
  <c r="AP28" i="60"/>
  <c r="AE52" i="60"/>
  <c r="AP52" i="60"/>
  <c r="M51" i="43" a="1"/>
  <c r="M51" i="43"/>
  <c r="D78" i="48"/>
  <c r="D102" i="48"/>
  <c r="D27" i="48"/>
  <c r="BL16" i="52"/>
  <c r="BV16" i="52"/>
  <c r="CV16" i="52"/>
  <c r="AC91" i="56"/>
  <c r="D79" i="48"/>
  <c r="D103" i="48"/>
  <c r="D28" i="48"/>
  <c r="BY16" i="52"/>
  <c r="CI16" i="52"/>
  <c r="DI16" i="52"/>
  <c r="AN91" i="56"/>
  <c r="EI16" i="52"/>
  <c r="AN89" i="61"/>
  <c r="DV16" i="52"/>
  <c r="AC89" i="61"/>
  <c r="D77" i="48"/>
  <c r="D101" i="48"/>
  <c r="D26" i="48"/>
  <c r="AY16" i="52"/>
  <c r="BI16" i="52"/>
  <c r="EU16" i="52"/>
  <c r="IW16" i="52"/>
  <c r="JJ16" i="52"/>
  <c r="CY16" i="52"/>
  <c r="FI16" i="52"/>
  <c r="FK16" i="52"/>
  <c r="AS91" i="56"/>
  <c r="FM16" i="52"/>
  <c r="FO16" i="52"/>
  <c r="AT91" i="56"/>
  <c r="GW16" i="52"/>
  <c r="GY16" i="52"/>
  <c r="DY16" i="52"/>
  <c r="HU16" i="52"/>
  <c r="HW16" i="52"/>
  <c r="HQ16" i="52"/>
  <c r="HS16" i="52"/>
  <c r="HA16" i="52"/>
  <c r="HC16" i="52"/>
  <c r="GC16" i="52"/>
  <c r="GE16" i="52"/>
  <c r="AS89" i="61"/>
  <c r="GG16" i="52"/>
  <c r="GI16" i="52"/>
  <c r="AT89" i="61"/>
  <c r="DG16" i="52"/>
  <c r="AL91" i="56"/>
  <c r="S17" i="66"/>
  <c r="FG16" i="52"/>
  <c r="AR91" i="56"/>
  <c r="FF16" i="52"/>
  <c r="FH16" i="52"/>
  <c r="FL16" i="52"/>
  <c r="EG16" i="52"/>
  <c r="AL89" i="61"/>
  <c r="GU16" i="52"/>
  <c r="GT16" i="52"/>
  <c r="GV16" i="52"/>
  <c r="GZ16" i="52"/>
  <c r="HO16" i="52"/>
  <c r="HN16" i="52"/>
  <c r="HP16" i="52"/>
  <c r="HT16" i="52"/>
  <c r="GA16" i="52"/>
  <c r="AR89" i="61"/>
  <c r="FZ16" i="52"/>
  <c r="GB16" i="52"/>
  <c r="GF16" i="52"/>
  <c r="IZ16" i="52"/>
  <c r="KG16" i="52"/>
  <c r="KK16" i="52"/>
  <c r="KH16" i="52"/>
  <c r="KJ16" i="52"/>
  <c r="KL16" i="52"/>
  <c r="KN16" i="52"/>
  <c r="KE16" i="52"/>
  <c r="KF16" i="52"/>
  <c r="AF91" i="56"/>
  <c r="R17" i="66"/>
  <c r="D107" i="48"/>
  <c r="F28" i="48"/>
  <c r="L28" i="48"/>
  <c r="BW16" i="52"/>
  <c r="CW16" i="52"/>
  <c r="AD91" i="56"/>
  <c r="AF89" i="61"/>
  <c r="DW16" i="52"/>
  <c r="AD89" i="61"/>
  <c r="CG16" i="52"/>
  <c r="JH16" i="52"/>
  <c r="IX16" i="52"/>
  <c r="J28" i="48"/>
  <c r="BZ16" i="52"/>
  <c r="DZ16" i="52"/>
  <c r="JA16" i="52"/>
  <c r="CZ16" i="52"/>
  <c r="X17" i="66"/>
  <c r="CL16" i="52"/>
  <c r="FC16" i="52"/>
  <c r="FE16" i="52"/>
  <c r="AQ91" i="56"/>
  <c r="EY16" i="52"/>
  <c r="FA16" i="52"/>
  <c r="AP91" i="56"/>
  <c r="GM16" i="52"/>
  <c r="GO16" i="52"/>
  <c r="GQ16" i="52"/>
  <c r="GS16" i="52"/>
  <c r="DL16" i="52"/>
  <c r="FW16" i="52"/>
  <c r="FY16" i="52"/>
  <c r="AQ89" i="61"/>
  <c r="FS16" i="52"/>
  <c r="FU16" i="52"/>
  <c r="AP89" i="61"/>
  <c r="HK16" i="52"/>
  <c r="HM16" i="52"/>
  <c r="HG16" i="52"/>
  <c r="HI16" i="52"/>
  <c r="EX16" i="52"/>
  <c r="FB16" i="52"/>
  <c r="CT16" i="52"/>
  <c r="AA91" i="56"/>
  <c r="GK16" i="52"/>
  <c r="GJ16" i="52"/>
  <c r="GL16" i="52"/>
  <c r="GP16" i="52"/>
  <c r="EW16" i="52"/>
  <c r="AO91" i="56"/>
  <c r="EV16" i="52"/>
  <c r="DT16" i="52"/>
  <c r="AA89" i="61"/>
  <c r="FP16" i="52"/>
  <c r="HF16" i="52"/>
  <c r="HE16" i="52"/>
  <c r="FQ16" i="52"/>
  <c r="AO89" i="61"/>
  <c r="HJ16" i="52"/>
  <c r="FR16" i="52"/>
  <c r="HD16" i="52"/>
  <c r="FV16" i="52"/>
  <c r="BG16" i="52"/>
  <c r="ES16" i="52"/>
  <c r="BT16" i="52"/>
  <c r="IU16" i="52"/>
  <c r="IM16" i="52"/>
  <c r="JU16" i="52"/>
  <c r="JV16" i="52"/>
  <c r="JW16" i="52"/>
  <c r="KA16" i="52"/>
  <c r="JX16" i="52"/>
  <c r="JZ16" i="52"/>
  <c r="KB16" i="52"/>
  <c r="KD16" i="52"/>
  <c r="D106" i="48"/>
  <c r="F27" i="48"/>
  <c r="L27" i="48"/>
  <c r="BJ16" i="52"/>
  <c r="CJ16" i="52"/>
  <c r="S91" i="56"/>
  <c r="U91" i="56"/>
  <c r="U89" i="61"/>
  <c r="EK16" i="52"/>
  <c r="D105" i="48"/>
  <c r="F26" i="48"/>
  <c r="L26" i="48"/>
  <c r="AW16" i="52"/>
  <c r="EJ16" i="52"/>
  <c r="DJ16" i="52"/>
  <c r="S89" i="61"/>
  <c r="J27" i="48"/>
  <c r="BM16" i="52"/>
  <c r="CM16" i="52"/>
  <c r="DM16" i="52"/>
  <c r="IN16" i="52"/>
  <c r="J26" i="48"/>
  <c r="AZ16" i="52"/>
  <c r="EL16" i="52"/>
  <c r="IK16" i="52"/>
</calcChain>
</file>

<file path=xl/comments1.xml><?xml version="1.0" encoding="utf-8"?>
<comments xmlns="http://schemas.openxmlformats.org/spreadsheetml/2006/main">
  <authors>
    <author>Theo Kassuga</author>
  </authors>
  <commentList>
    <comment ref="C9" authorId="0" shapeId="0">
      <text>
        <r>
          <rPr>
            <b/>
            <sz val="9"/>
            <color indexed="81"/>
            <rFont val="Tahoma"/>
            <family val="2"/>
          </rPr>
          <t>NCI:</t>
        </r>
        <r>
          <rPr>
            <sz val="9"/>
            <color indexed="81"/>
            <rFont val="Tahoma"/>
            <family val="2"/>
          </rPr>
          <t xml:space="preserve">
User input.
The user must set sequential equipment IDs. Do not repeat equipment IDs, simply create a new one by picking the next available number.</t>
        </r>
      </text>
    </comment>
    <comment ref="D9" authorId="0" shapeId="0">
      <text>
        <r>
          <rPr>
            <b/>
            <sz val="9"/>
            <color indexed="81"/>
            <rFont val="Tahoma"/>
            <family val="2"/>
          </rPr>
          <t>NCI:</t>
        </r>
        <r>
          <rPr>
            <sz val="9"/>
            <color indexed="81"/>
            <rFont val="Tahoma"/>
            <family val="2"/>
          </rPr>
          <t xml:space="preserve">
User input.
Name of the equipment being analyzed.</t>
        </r>
      </text>
    </comment>
    <comment ref="E9" authorId="0" shapeId="0">
      <text>
        <r>
          <rPr>
            <b/>
            <sz val="9"/>
            <color indexed="81"/>
            <rFont val="Tahoma"/>
            <family val="2"/>
          </rPr>
          <t>NCI:</t>
        </r>
        <r>
          <rPr>
            <sz val="9"/>
            <color indexed="81"/>
            <rFont val="Tahoma"/>
            <family val="2"/>
          </rPr>
          <t xml:space="preserve">
User input.
Secondary equipment are combinations of primary equipment, e.g. an A/C combined with a furnace.</t>
        </r>
      </text>
    </comment>
    <comment ref="F9" authorId="0" shapeId="0">
      <text>
        <r>
          <rPr>
            <b/>
            <sz val="9"/>
            <color indexed="81"/>
            <rFont val="Tahoma"/>
            <family val="2"/>
          </rPr>
          <t>NCI:</t>
        </r>
        <r>
          <rPr>
            <sz val="9"/>
            <color indexed="81"/>
            <rFont val="Tahoma"/>
            <family val="2"/>
          </rPr>
          <t xml:space="preserve">
User input.
Function provided by the equipment. This is used to QC the measure in the Measure List tab. Generally, the function should be the same for the baseline and the replacement, but exceptions exist (e.g. adding cooling capability by replacing a furnace with a heat pump).</t>
        </r>
      </text>
    </comment>
    <comment ref="G9" authorId="0" shapeId="0">
      <text>
        <r>
          <rPr>
            <b/>
            <sz val="9"/>
            <color indexed="81"/>
            <rFont val="Tahoma"/>
            <family val="2"/>
          </rPr>
          <t>Theo Kassuga:</t>
        </r>
        <r>
          <rPr>
            <sz val="9"/>
            <color indexed="81"/>
            <rFont val="Tahoma"/>
            <family val="2"/>
          </rPr>
          <t xml:space="preserve">
User input.
Fuel used by the measure.</t>
        </r>
      </text>
    </comment>
  </commentList>
</comments>
</file>

<file path=xl/comments2.xml><?xml version="1.0" encoding="utf-8"?>
<comments xmlns="http://schemas.openxmlformats.org/spreadsheetml/2006/main">
  <authors>
    <author>Theo Kassuga</author>
  </authors>
  <commentList>
    <comment ref="C12" authorId="0" shapeId="0">
      <text>
        <r>
          <rPr>
            <b/>
            <sz val="9"/>
            <color indexed="81"/>
            <rFont val="Tahoma"/>
            <family val="2"/>
          </rPr>
          <t xml:space="preserve">NCI:
</t>
        </r>
        <r>
          <rPr>
            <sz val="9"/>
            <color indexed="81"/>
            <rFont val="Tahoma"/>
            <family val="2"/>
          </rPr>
          <t>User input.
The user must set sequential measure IDs. Do not repeat measure IDs, simply create a new one by picking the next available number.</t>
        </r>
      </text>
    </comment>
    <comment ref="D12" authorId="0" shapeId="0">
      <text>
        <r>
          <rPr>
            <b/>
            <sz val="9"/>
            <color indexed="81"/>
            <rFont val="Tahoma"/>
            <family val="2"/>
          </rPr>
          <t>NCI:</t>
        </r>
        <r>
          <rPr>
            <sz val="9"/>
            <color indexed="81"/>
            <rFont val="Tahoma"/>
            <family val="2"/>
          </rPr>
          <t xml:space="preserve">
User input. Select the baseline equipment to be used in for this measure.</t>
        </r>
      </text>
    </comment>
  </commentList>
</comments>
</file>

<file path=xl/comments3.xml><?xml version="1.0" encoding="utf-8"?>
<comments xmlns="http://schemas.openxmlformats.org/spreadsheetml/2006/main">
  <authors>
    <author>Theo Kassuga</author>
  </authors>
  <commentList>
    <comment ref="C11" authorId="0" shapeId="0">
      <text>
        <r>
          <rPr>
            <b/>
            <sz val="9"/>
            <color indexed="81"/>
            <rFont val="Tahoma"/>
            <family val="2"/>
          </rPr>
          <t xml:space="preserve">NCI:
</t>
        </r>
        <r>
          <rPr>
            <sz val="9"/>
            <color indexed="81"/>
            <rFont val="Tahoma"/>
            <family val="2"/>
          </rPr>
          <t>User input.
The user must set sequential measure IDs. Do not repeat measure IDs, simply create a new one by picking the next available number.</t>
        </r>
      </text>
    </comment>
    <comment ref="D11" authorId="0" shapeId="0">
      <text>
        <r>
          <rPr>
            <b/>
            <sz val="9"/>
            <color indexed="81"/>
            <rFont val="Tahoma"/>
            <family val="2"/>
          </rPr>
          <t>NCI:</t>
        </r>
        <r>
          <rPr>
            <sz val="9"/>
            <color indexed="81"/>
            <rFont val="Tahoma"/>
            <family val="2"/>
          </rPr>
          <t xml:space="preserve">
User input. Select the baseline equipment to be used in for this measure.</t>
        </r>
      </text>
    </comment>
    <comment ref="H11" authorId="0" shapeId="0">
      <text>
        <r>
          <rPr>
            <b/>
            <sz val="9"/>
            <color indexed="81"/>
            <rFont val="Tahoma"/>
            <family val="2"/>
          </rPr>
          <t xml:space="preserve">NCI:
</t>
        </r>
        <r>
          <rPr>
            <sz val="9"/>
            <color indexed="81"/>
            <rFont val="Tahoma"/>
            <family val="2"/>
          </rPr>
          <t xml:space="preserve">User input. Select the efficiency level of the baseline.
</t>
        </r>
        <r>
          <rPr>
            <u/>
            <sz val="9"/>
            <color indexed="81"/>
            <rFont val="Tahoma"/>
            <family val="2"/>
          </rPr>
          <t>Existing</t>
        </r>
        <r>
          <rPr>
            <sz val="9"/>
            <color indexed="81"/>
            <rFont val="Tahoma"/>
            <family val="2"/>
          </rPr>
          <t xml:space="preserve"> - the efficiency of the equipment currently installed. Generally used for early replacement scenarios
</t>
        </r>
        <r>
          <rPr>
            <u/>
            <sz val="9"/>
            <color indexed="81"/>
            <rFont val="Tahoma"/>
            <family val="2"/>
          </rPr>
          <t>Code</t>
        </r>
        <r>
          <rPr>
            <sz val="9"/>
            <color indexed="81"/>
            <rFont val="Tahoma"/>
            <family val="2"/>
          </rPr>
          <t xml:space="preserve"> - the lowest efficiency currently allowable by applicable standards. Generally used for replace-on-burnout scenarios.</t>
        </r>
      </text>
    </comment>
    <comment ref="I11" authorId="0" shapeId="0">
      <text>
        <r>
          <rPr>
            <b/>
            <sz val="9"/>
            <color indexed="81"/>
            <rFont val="Tahoma"/>
            <family val="2"/>
          </rPr>
          <t xml:space="preserve">NCI:
</t>
        </r>
        <r>
          <rPr>
            <sz val="9"/>
            <color indexed="81"/>
            <rFont val="Tahoma"/>
            <family val="2"/>
          </rPr>
          <t>User input. Select the replacement equipment to be used in for this measure.</t>
        </r>
      </text>
    </comment>
    <comment ref="O11" authorId="0" shapeId="0">
      <text>
        <r>
          <rPr>
            <b/>
            <sz val="9"/>
            <color indexed="81"/>
            <rFont val="Tahoma"/>
            <family val="2"/>
          </rPr>
          <t>NCI:</t>
        </r>
        <r>
          <rPr>
            <sz val="9"/>
            <color indexed="81"/>
            <rFont val="Tahoma"/>
            <family val="2"/>
          </rPr>
          <t xml:space="preserve">
Calculated. QC cell. This flags cases where the replacement function does not match the baseline function. This is acceptable in some cases; users should verify on a case-by-case basis.</t>
        </r>
      </text>
    </comment>
  </commentList>
</comments>
</file>

<file path=xl/sharedStrings.xml><?xml version="1.0" encoding="utf-8"?>
<sst xmlns="http://schemas.openxmlformats.org/spreadsheetml/2006/main" count="10990" uniqueCount="1659">
  <si>
    <t>Input Sheet</t>
  </si>
  <si>
    <t>The following inputs are presented here:</t>
  </si>
  <si>
    <t>Equipment ID</t>
  </si>
  <si>
    <t>EQUI001</t>
  </si>
  <si>
    <t>Equipment Name</t>
  </si>
  <si>
    <t>Baseline</t>
  </si>
  <si>
    <t>Code</t>
  </si>
  <si>
    <t>Fuel Type</t>
  </si>
  <si>
    <t>EQUI002</t>
  </si>
  <si>
    <t>EQUI003</t>
  </si>
  <si>
    <t>EQUI004</t>
  </si>
  <si>
    <t>EQUI005</t>
  </si>
  <si>
    <t>EQUI006</t>
  </si>
  <si>
    <t>EQUI007</t>
  </si>
  <si>
    <t>EQUI008</t>
  </si>
  <si>
    <t>EQUI009</t>
  </si>
  <si>
    <t>EQUI010</t>
  </si>
  <si>
    <t>EQUI011</t>
  </si>
  <si>
    <t>EQUI012</t>
  </si>
  <si>
    <t>Measure (low)</t>
  </si>
  <si>
    <t>Measure (high)</t>
  </si>
  <si>
    <t>Electric+Oil</t>
  </si>
  <si>
    <t>Electric+Propane</t>
  </si>
  <si>
    <t>Oil Furnace</t>
  </si>
  <si>
    <t>Function</t>
  </si>
  <si>
    <t>Electric</t>
  </si>
  <si>
    <t>Heat</t>
  </si>
  <si>
    <t>Oil</t>
  </si>
  <si>
    <t>Propane</t>
  </si>
  <si>
    <t>Cool+Heat</t>
  </si>
  <si>
    <t>Oil Boiler</t>
  </si>
  <si>
    <t>Propane Boiler</t>
  </si>
  <si>
    <t>DMSHP+Oil Boiler</t>
  </si>
  <si>
    <t>DMSHP+Propane Boiler</t>
  </si>
  <si>
    <t>Electric Baseboard</t>
  </si>
  <si>
    <t>Electric Baseboard+DMSHP</t>
  </si>
  <si>
    <t>EQUI013</t>
  </si>
  <si>
    <t>EQUI014</t>
  </si>
  <si>
    <t>EQUI015</t>
  </si>
  <si>
    <t>EQUI016</t>
  </si>
  <si>
    <t>EQUI017</t>
  </si>
  <si>
    <t>EQUI018</t>
  </si>
  <si>
    <t>EQUI019</t>
  </si>
  <si>
    <t>EQUI020</t>
  </si>
  <si>
    <t>EQUI021</t>
  </si>
  <si>
    <t>EQUI022</t>
  </si>
  <si>
    <t>EQUI023</t>
  </si>
  <si>
    <t>EQUI024</t>
  </si>
  <si>
    <t>EQUI025</t>
  </si>
  <si>
    <t>EQUI026</t>
  </si>
  <si>
    <t>EQUI027</t>
  </si>
  <si>
    <t>Tankless Coil WH</t>
  </si>
  <si>
    <t>HW</t>
  </si>
  <si>
    <t>HPWH</t>
  </si>
  <si>
    <t>Gas Boiler</t>
  </si>
  <si>
    <t>Natural Gas</t>
  </si>
  <si>
    <t>Oil Boiler+Indirect WH</t>
  </si>
  <si>
    <t>Heat+HW</t>
  </si>
  <si>
    <t>Propane Boiler+Indirect WH</t>
  </si>
  <si>
    <t>Gas Boiler+Indirect WH</t>
  </si>
  <si>
    <t>Propane Furnace</t>
  </si>
  <si>
    <t>Gas Furnace</t>
  </si>
  <si>
    <t>Oil Boiler+Tankless Coil WH</t>
  </si>
  <si>
    <t>Gas Combination Boiler</t>
  </si>
  <si>
    <t>Propane Combination Boiler</t>
  </si>
  <si>
    <t>Oil Boiler+Storage WH</t>
  </si>
  <si>
    <t>Propane Boiler+Storage WH</t>
  </si>
  <si>
    <t>Oil Storage WH</t>
  </si>
  <si>
    <t>Propane Storage WH</t>
  </si>
  <si>
    <t>EQUI028</t>
  </si>
  <si>
    <t>EQUI029</t>
  </si>
  <si>
    <t>EQUI030</t>
  </si>
  <si>
    <t>Gas Storage WH</t>
  </si>
  <si>
    <t>Propane On-Demand WH</t>
  </si>
  <si>
    <t>Gas On-Demand WH</t>
  </si>
  <si>
    <t>Measure List</t>
  </si>
  <si>
    <t>Measure ID</t>
  </si>
  <si>
    <t>This sheet contains the list of measures for calculation.</t>
  </si>
  <si>
    <t>Baseline ID</t>
  </si>
  <si>
    <t>Baseline Name</t>
  </si>
  <si>
    <t>Replacement ID</t>
  </si>
  <si>
    <t>Replacement Name</t>
  </si>
  <si>
    <t>MEAS01</t>
  </si>
  <si>
    <t>MEAS02</t>
  </si>
  <si>
    <t>MEAS03</t>
  </si>
  <si>
    <t>MEAS04</t>
  </si>
  <si>
    <t>MEAS05</t>
  </si>
  <si>
    <t>MEAS06</t>
  </si>
  <si>
    <t>MEAS07</t>
  </si>
  <si>
    <t>MEAS08</t>
  </si>
  <si>
    <t>MEAS09</t>
  </si>
  <si>
    <t>MEAS10</t>
  </si>
  <si>
    <t>MEAS11</t>
  </si>
  <si>
    <t>MEAS12</t>
  </si>
  <si>
    <t>MEAS13</t>
  </si>
  <si>
    <t>MEAS14</t>
  </si>
  <si>
    <t>MEAS15</t>
  </si>
  <si>
    <t>MEAS16</t>
  </si>
  <si>
    <t>MEAS17</t>
  </si>
  <si>
    <t>MEAS18</t>
  </si>
  <si>
    <t>MEAS19</t>
  </si>
  <si>
    <t>MEAS20</t>
  </si>
  <si>
    <t>MEAS21</t>
  </si>
  <si>
    <t>MEAS22</t>
  </si>
  <si>
    <t>MEAS23</t>
  </si>
  <si>
    <t>MEAS24</t>
  </si>
  <si>
    <t>MEAS25</t>
  </si>
  <si>
    <t>MEAS26</t>
  </si>
  <si>
    <t>MEAS27</t>
  </si>
  <si>
    <t>MEAS28</t>
  </si>
  <si>
    <t>Baseline Efficiency Level</t>
  </si>
  <si>
    <t>Existing</t>
  </si>
  <si>
    <t>Baseline Function</t>
  </si>
  <si>
    <t>Replacement Function</t>
  </si>
  <si>
    <t>Type Check</t>
  </si>
  <si>
    <t>Equipment Level</t>
  </si>
  <si>
    <t>Secondary</t>
  </si>
  <si>
    <t>Primary</t>
  </si>
  <si>
    <t>No</t>
  </si>
  <si>
    <t>-</t>
  </si>
  <si>
    <t>Costs</t>
  </si>
  <si>
    <t>Baseline Fuel 1</t>
  </si>
  <si>
    <t>Baseline Fuel 2</t>
  </si>
  <si>
    <t>Replacement Fuel 1</t>
  </si>
  <si>
    <t>Replacement Fuel 2</t>
  </si>
  <si>
    <t>Level</t>
  </si>
  <si>
    <t>Number of Fuel Types</t>
  </si>
  <si>
    <t>Efficiency Level</t>
  </si>
  <si>
    <t>Link these cells to the analysis below.</t>
  </si>
  <si>
    <t>Analysis</t>
  </si>
  <si>
    <t>Bibliography</t>
  </si>
  <si>
    <t>Data Point</t>
  </si>
  <si>
    <t>Source</t>
  </si>
  <si>
    <t>10 SEER/8.5 EER</t>
  </si>
  <si>
    <t>13 SEER/11 EER</t>
  </si>
  <si>
    <t>83% AFUE</t>
  </si>
  <si>
    <t>78% AFUE (78.9%)</t>
  </si>
  <si>
    <t>18 SEER/9.6 HSPF</t>
  </si>
  <si>
    <t>75% AFUE</t>
  </si>
  <si>
    <t>1 COP</t>
  </si>
  <si>
    <t>Electric+Electric</t>
  </si>
  <si>
    <t>82% AFUE (79.3% actual)</t>
  </si>
  <si>
    <t>90% AFUE (87.2% actual)</t>
  </si>
  <si>
    <t>95% AFUE (89.4% actual)</t>
  </si>
  <si>
    <t>85% AFUE</t>
  </si>
  <si>
    <t>95% AFUE (95.4% actual) w/ ECM fan motor</t>
  </si>
  <si>
    <t>97% AFUE (97.2% actual) w/ ECM fan motor</t>
  </si>
  <si>
    <t>90% AFUE</t>
  </si>
  <si>
    <t>95% AFUE</t>
  </si>
  <si>
    <t>80% AFUE (77.4% actual)</t>
  </si>
  <si>
    <t>0.58 UEF</t>
  </si>
  <si>
    <t>0.80 UEF</t>
  </si>
  <si>
    <t>0.87 UEF</t>
  </si>
  <si>
    <t>Low Measure</t>
  </si>
  <si>
    <t>High Measure</t>
  </si>
  <si>
    <t>Space Heating Load</t>
  </si>
  <si>
    <t>MMBtu/yr</t>
  </si>
  <si>
    <t>Baseline Efficiency</t>
  </si>
  <si>
    <t>AFUE</t>
  </si>
  <si>
    <t>Code Efficiency</t>
  </si>
  <si>
    <t>Baseline Consumption</t>
  </si>
  <si>
    <t>Code Consumption</t>
  </si>
  <si>
    <t>Baseline Operating Cost</t>
  </si>
  <si>
    <t>Code Operating Cost</t>
  </si>
  <si>
    <t>USD</t>
  </si>
  <si>
    <t>Analysis Status</t>
  </si>
  <si>
    <t>Select Status</t>
  </si>
  <si>
    <t>Space Cooling Load</t>
  </si>
  <si>
    <t>Code Efficiency, consumption</t>
  </si>
  <si>
    <t>SEER</t>
  </si>
  <si>
    <t>kWh/yr</t>
  </si>
  <si>
    <t>2.6 ton (MA TRM)</t>
  </si>
  <si>
    <t>Tonnage</t>
  </si>
  <si>
    <t>ton</t>
  </si>
  <si>
    <t>Coincidence Factor</t>
  </si>
  <si>
    <t>EER</t>
  </si>
  <si>
    <t>kW</t>
  </si>
  <si>
    <t>Code Peak Demand</t>
  </si>
  <si>
    <t>Electricity</t>
  </si>
  <si>
    <t>Equipment Assumptions</t>
  </si>
  <si>
    <t>Low Measure Efficiency</t>
  </si>
  <si>
    <t>High Measure Efficiency</t>
  </si>
  <si>
    <t>HSPF</t>
  </si>
  <si>
    <t>Equipment Definitions</t>
  </si>
  <si>
    <t>Electricity Baseline Efficiency</t>
  </si>
  <si>
    <t>Electricity Code Efficiency</t>
  </si>
  <si>
    <t>Electricity Low Measure Efficiency</t>
  </si>
  <si>
    <t>Electricity High Measure Efficiency</t>
  </si>
  <si>
    <t>Natural Gas Baseline Efficiency</t>
  </si>
  <si>
    <t>Natural Gas Code Efficiency</t>
  </si>
  <si>
    <t>Natural Gas Low Measure Efficiency</t>
  </si>
  <si>
    <t>Natural Gas High Measure Efficiency</t>
  </si>
  <si>
    <t>Propane Baseline Efficiency</t>
  </si>
  <si>
    <t>Propane Code Efficiency</t>
  </si>
  <si>
    <t>Propane Low Measure Efficiency</t>
  </si>
  <si>
    <t>Propane High Measure Efficiency</t>
  </si>
  <si>
    <t>Oil Baseline Efficiency</t>
  </si>
  <si>
    <t>Oil Code Efficiency</t>
  </si>
  <si>
    <t>Oil Low Measure Efficiency</t>
  </si>
  <si>
    <t>Oil High Measure Efficiency</t>
  </si>
  <si>
    <t>Code Installed Costs (USD)</t>
  </si>
  <si>
    <t>Low Measure Efficiency, consumption</t>
  </si>
  <si>
    <t>High Measure Efficiency, consumption</t>
  </si>
  <si>
    <t>Low Measure Operating Cost</t>
  </si>
  <si>
    <t>High Measure Operating Cost</t>
  </si>
  <si>
    <t>HP Size</t>
  </si>
  <si>
    <t>2016-2018 MA TRM p. 70</t>
  </si>
  <si>
    <t>Average HP size</t>
  </si>
  <si>
    <t>Code Efficiency, cooling demand</t>
  </si>
  <si>
    <t>Coincidence Factor, 16 SEER</t>
  </si>
  <si>
    <t>Coincidence Factor, 18 SEER</t>
  </si>
  <si>
    <t>Code Peak Demand, cooling</t>
  </si>
  <si>
    <t>Low Measure Peak Demand, cooling</t>
  </si>
  <si>
    <t>Low Measure, cooling demand</t>
  </si>
  <si>
    <t>High Measure, cooling demand</t>
  </si>
  <si>
    <t>High Measure Peak Demand, cooling</t>
  </si>
  <si>
    <t>Undefined coincidence factor, so we used the 16 SEER value</t>
  </si>
  <si>
    <t>Code Efficiency, heating demand</t>
  </si>
  <si>
    <t>Low Measure, heating demand</t>
  </si>
  <si>
    <t>High Measure, heating demand</t>
  </si>
  <si>
    <t>Code Peak Demand, heating</t>
  </si>
  <si>
    <t>Low Measure Peak Demand, heating</t>
  </si>
  <si>
    <t>High Measure Peak Demand, heating</t>
  </si>
  <si>
    <t>Undefined, assumed same as code</t>
  </si>
  <si>
    <t>Low Measure Peak Demand</t>
  </si>
  <si>
    <t>High Measure Peak Demand</t>
  </si>
  <si>
    <t>Baseline Definitions</t>
  </si>
  <si>
    <t>BASE01</t>
  </si>
  <si>
    <t>BASE02</t>
  </si>
  <si>
    <t>BASE03</t>
  </si>
  <si>
    <t>BASE04</t>
  </si>
  <si>
    <t>BASE05</t>
  </si>
  <si>
    <t>BASE06</t>
  </si>
  <si>
    <t>BASE07</t>
  </si>
  <si>
    <t>BASE08</t>
  </si>
  <si>
    <t>BASE09</t>
  </si>
  <si>
    <t>BASE10</t>
  </si>
  <si>
    <t>BASE11</t>
  </si>
  <si>
    <t>BASE12</t>
  </si>
  <si>
    <t>BASE13</t>
  </si>
  <si>
    <t>BASE14</t>
  </si>
  <si>
    <t>BASE15</t>
  </si>
  <si>
    <t>BASE16</t>
  </si>
  <si>
    <t>BASE17</t>
  </si>
  <si>
    <t>Water Heating Load</t>
  </si>
  <si>
    <t>Baseline Fuel(s)</t>
  </si>
  <si>
    <t>This tab defines the equipment used in the baselines and the measures.</t>
  </si>
  <si>
    <t>Baseline Summary</t>
  </si>
  <si>
    <t>Baseline Calculations</t>
  </si>
  <si>
    <t>Baseline Case</t>
  </si>
  <si>
    <t>From EERE-2014-BT-STD-0031-0217, p. 7-12, Table 7.4.1:</t>
  </si>
  <si>
    <t>Baseline kWh</t>
  </si>
  <si>
    <t>Code kWh</t>
  </si>
  <si>
    <t>Baseline Oil Cost</t>
  </si>
  <si>
    <t>Code Oil Cost</t>
  </si>
  <si>
    <t>Assumes that the electricity consumption of an oil furnace is equivalent to that of a gas furnace</t>
  </si>
  <si>
    <t>Baseline Elec. Cost</t>
  </si>
  <si>
    <t>Code Elec. Cost</t>
  </si>
  <si>
    <t>From RES 19 Task 5 Final Report - Total installed cost of oil-fired furnaces at 91 MBH</t>
  </si>
  <si>
    <t>Free analysis area</t>
  </si>
  <si>
    <t>Fuel</t>
  </si>
  <si>
    <t>Baseline Annual Energy Cost (USD)</t>
  </si>
  <si>
    <t>Baseline Electric Annual Consumption  (kWh)</t>
  </si>
  <si>
    <t>Baseline Natural Gas Annual Consumption  (therms)</t>
  </si>
  <si>
    <t>Baseline Propane Annual Consumption  (MMBtu)</t>
  </si>
  <si>
    <t>Baseline Oil Annual Consumption  (MMBtu)</t>
  </si>
  <si>
    <t>Code Electric Annual Consumption (kWh)</t>
  </si>
  <si>
    <t>Code Natural Gas Annual Consumption (therms)</t>
  </si>
  <si>
    <t>Code Propane Annual Consumption (MMBtu)</t>
  </si>
  <si>
    <t>Code Oil Annual Consumption (MMBtu)</t>
  </si>
  <si>
    <t>Baseline Case Selection and Reference Information</t>
  </si>
  <si>
    <t>Baseline Case Outputs</t>
  </si>
  <si>
    <t>Free Analysis</t>
  </si>
  <si>
    <t>The Baseline Case Selection and Reference Information section provides helpful information to the analyst.
The analyst is expected to develop the estimates in the Free Analysis section, then link those results into the Baseline Case Outputs section.
The Baseline Case Outputs are rolled up into the table at the top of this sheet.</t>
  </si>
  <si>
    <t>Baseline kWh, heating</t>
  </si>
  <si>
    <t>Code kWh, heating</t>
  </si>
  <si>
    <t>Baseline Elec. Cost, heating</t>
  </si>
  <si>
    <t>Code Elec. Cost, heating</t>
  </si>
  <si>
    <t>Heating</t>
  </si>
  <si>
    <t>Cooling</t>
  </si>
  <si>
    <t>Code Annual Energy Cost (USD)</t>
  </si>
  <si>
    <t>Code Installed Cost</t>
  </si>
  <si>
    <t>MA_Pas_2016_CoolSmart_Calculations_Report</t>
  </si>
  <si>
    <t>Measure Tab</t>
  </si>
  <si>
    <t>Measure</t>
  </si>
  <si>
    <t>Measure Efficiency Definitions</t>
  </si>
  <si>
    <t>Measure Information</t>
  </si>
  <si>
    <t>Baseline Equipment ID</t>
  </si>
  <si>
    <t>Measure Number</t>
  </si>
  <si>
    <t>Baseline Number</t>
  </si>
  <si>
    <t>Pick the measure from the dropdown.</t>
  </si>
  <si>
    <t>Every baseline must be defined for each type of load.</t>
  </si>
  <si>
    <t>Code Consumption, heating</t>
  </si>
  <si>
    <t>Low Measure Consumption, heating</t>
  </si>
  <si>
    <t>High Measure Consumption, heating</t>
  </si>
  <si>
    <t>Code Consumption, cooling</t>
  </si>
  <si>
    <t>Low Measure Consumption, cooling</t>
  </si>
  <si>
    <t>High Measure Consumption, cooling</t>
  </si>
  <si>
    <t>Code, overall consumption</t>
  </si>
  <si>
    <t>Low measure, overall consumption</t>
  </si>
  <si>
    <t>High measure, overall consumption</t>
  </si>
  <si>
    <t>Heating efficiency of the replacements, seasonal</t>
  </si>
  <si>
    <t>Cooling efficiency of the replacements, consumption (seasonal efficiency)</t>
  </si>
  <si>
    <t>Heating efficiency of the replacements, demand</t>
  </si>
  <si>
    <t>Cooling efficiency of the replacements, demand</t>
  </si>
  <si>
    <t>Consumption of the replacements during the heating season</t>
  </si>
  <si>
    <t>Consumption of the replacements during the cooling season</t>
  </si>
  <si>
    <t>Consumption of the replacements, yearly</t>
  </si>
  <si>
    <t>Energy cost of the replacements, yearly</t>
  </si>
  <si>
    <t>Measure costs</t>
  </si>
  <si>
    <t>Replacement Outputs</t>
  </si>
  <si>
    <t>Assumes that the electricity consumption of a propane furnace is equivalent to that of a gas furnace</t>
  </si>
  <si>
    <t>From RES 19 Task 5 Final Report - Total installed cost of propane furnaces at 80 MBH</t>
  </si>
  <si>
    <t>Baseline Propane Cost</t>
  </si>
  <si>
    <t>Code Propane Cost</t>
  </si>
  <si>
    <t>Test procedure for gas-fired WH. U.S. Code of Federal Regulations. 10 CFR 430, Appendix E to Subpart B.</t>
  </si>
  <si>
    <t>RES 19 Water Heating, Boiler, and Furnace Cost Study: Final Report</t>
  </si>
  <si>
    <t>http://ma-eeac.org/wordpress/wp-content/uploads/RES19_Task5_FinalReport_v3.0_clean.pdf</t>
  </si>
  <si>
    <t>UEF of code level</t>
  </si>
  <si>
    <t>UEF</t>
  </si>
  <si>
    <t>UEF of efficient level</t>
  </si>
  <si>
    <t>Therm/yr</t>
  </si>
  <si>
    <t>Source Material</t>
  </si>
  <si>
    <t>Minimum allowed efficiency for gas instantaneous WH, per 10 CFR 430.31(d)</t>
  </si>
  <si>
    <t>Total Installed Costs</t>
  </si>
  <si>
    <t>Annual Consumption (therms/yr)</t>
  </si>
  <si>
    <t>Annual Energy Costs ($)</t>
  </si>
  <si>
    <t xml:space="preserve">Overview: </t>
  </si>
  <si>
    <t>Measure involves the removal of an existing propane on-demand tankless WH and replacement with a gas on-demand tankless WH.</t>
  </si>
  <si>
    <t>Code Gas Consumption</t>
  </si>
  <si>
    <t>Low Measure Gas Consumption</t>
  </si>
  <si>
    <t>Code Level Total Installed Costs</t>
  </si>
  <si>
    <t>Low Measure Total Installed Costs</t>
  </si>
  <si>
    <t>0.711 UEF</t>
  </si>
  <si>
    <t>Baseline Propane Consumption</t>
  </si>
  <si>
    <t>Source: DOE-EERE (2010). Technical Support Document for the 2010 DOE Water Heater Rule. p. 7-28</t>
  </si>
  <si>
    <t>Efficiency Vermont (2015). "Technical Reference User Manual (TRM) Measure Savings Algorithms and Cost Assumptions." p.398.</t>
  </si>
  <si>
    <t>http://puc.vermont.gov/sites/psbnew/files/doc_library/ev-technical-reference-manual.pdf</t>
  </si>
  <si>
    <t>The DOE test procedure calculates a heating load based on an assumed volume of hot water per day, with volume depending on the usage pattern associated with the WH type.</t>
  </si>
  <si>
    <t>Code Gas Operating Cost</t>
  </si>
  <si>
    <t>Low Measure Gas Operating Cost</t>
  </si>
  <si>
    <t>Low Measure kWh</t>
  </si>
  <si>
    <t>Annual Gas Consumption</t>
  </si>
  <si>
    <t>Annual kWh Consumption</t>
  </si>
  <si>
    <t>DOE-EERE (2010). Technical Support Document for the 2010 DOE Water Heater Rule. p. 7-28</t>
  </si>
  <si>
    <t>Annual Consumption (kWh/yr)</t>
  </si>
  <si>
    <t>Full Load water heating hours</t>
  </si>
  <si>
    <t>Full Load Water Heating Hours</t>
  </si>
  <si>
    <t>Source: Efficiency Vermont (2015). "Technical Reference User Manual (TRM) Measure Savings Algorithms and Cost Assumptions." p.398.</t>
  </si>
  <si>
    <t>Code kW Demand</t>
  </si>
  <si>
    <t>Low Measure kW Demand</t>
  </si>
  <si>
    <t>Measure involves the removal of a tankless coil WH from an oil-fired system, and installation of a gas on-demand tankless WH.</t>
  </si>
  <si>
    <t>This analysis uses the DOE test procedure method to estimate annual energy use of gas tankless WH.</t>
  </si>
  <si>
    <t>Baseline Oil Consumption</t>
  </si>
  <si>
    <t>No electrical components for oil tankless WH coil</t>
  </si>
  <si>
    <t>3. Ready</t>
  </si>
  <si>
    <t>COP</t>
  </si>
  <si>
    <t>Assumptions</t>
  </si>
  <si>
    <t>Baseboards heaters per home</t>
  </si>
  <si>
    <t>NGRID MA Baseline Study</t>
  </si>
  <si>
    <t>Baseboard heater length (feet)</t>
  </si>
  <si>
    <t>Professional judgement (8 is the likely average, but adjusted to 10 ft to account for the fact that there may be some that are smaller in the home and to adjust baseline consumption higher post calibration)</t>
  </si>
  <si>
    <t>Watts/foot</t>
  </si>
  <si>
    <t>Internet Research</t>
  </si>
  <si>
    <t>Estimated Capacity</t>
  </si>
  <si>
    <t>kWh</t>
  </si>
  <si>
    <t>Peak Demand</t>
  </si>
  <si>
    <t>2016-2018 MA TRM p.74 (assumes same as mini-split heat pump)</t>
  </si>
  <si>
    <t>Energy Costs</t>
  </si>
  <si>
    <t>Heating load, kWh</t>
  </si>
  <si>
    <t>RES 19 Task 5 Final Report</t>
  </si>
  <si>
    <t>Heating efficiency of the replacements</t>
  </si>
  <si>
    <t>therms</t>
  </si>
  <si>
    <t>Available Efficiencies</t>
  </si>
  <si>
    <t>0.63 UEF</t>
  </si>
  <si>
    <t>Discount Rate</t>
  </si>
  <si>
    <t>years</t>
  </si>
  <si>
    <t>Baseline Installed Cost</t>
  </si>
  <si>
    <t>No electric consumption</t>
  </si>
  <si>
    <t>Measure involves the removal of a propane storage WH and installation of a gas on-demand tankless WH.</t>
  </si>
  <si>
    <t>Measure involves the removal of an oil storage WH and installation of a gas on-demand tankless WH.</t>
  </si>
  <si>
    <t>MMBtu/year</t>
  </si>
  <si>
    <t>Referenced from Baseline definition. Assumes that the installation of efficient equipment will not affect the household water heating load.</t>
  </si>
  <si>
    <t>0.62 UEF</t>
  </si>
  <si>
    <t>Code Propane Consumption</t>
  </si>
  <si>
    <t>Code Oil Consumption</t>
  </si>
  <si>
    <t>Product cost</t>
  </si>
  <si>
    <t>Measure involves the removal of a propane storage WH and installation of a gas storage WH.</t>
  </si>
  <si>
    <t>UEF of low measure level</t>
  </si>
  <si>
    <t>UEF of high measure level</t>
  </si>
  <si>
    <t>High Measure Gas Consumption</t>
  </si>
  <si>
    <t>High Measure kWh</t>
  </si>
  <si>
    <t>Source: DOE-EERE (2010). Technical Support Document for the 2010 DOE Water Heater Rule. p. 7-27</t>
  </si>
  <si>
    <t>High Measure Total Installed Costs</t>
  </si>
  <si>
    <t>RES 19 Task 5 Final Report, Table 2, Natural Gas 40-gal Storage at 0.58 UEF</t>
  </si>
  <si>
    <t>RES 19 Task 5 Final Report, Table 2, Natural Gas 40-gal Storage at 0.64 UEF</t>
  </si>
  <si>
    <t>RES 19 Task 5 Final Report, Table 2, Natural Gas 50-gal Storage at 0.80 UEF</t>
  </si>
  <si>
    <t>hours/year</t>
  </si>
  <si>
    <t>Annual Elec Consumption</t>
  </si>
  <si>
    <t>Test procedure for electric WH. U.S. Code of Federal Regulations. 10 CFR 430, Appendix E to Subpart B.</t>
  </si>
  <si>
    <t>Measure involves the removal of an oil-fired storage WH and installation of a gas storage WH.</t>
  </si>
  <si>
    <t>Measure involves the removal of a tankless coil WH from an oil-fired system, and installation of an electric heat pump WH.</t>
  </si>
  <si>
    <t>This analysis uses the DOE test procedure method to estimate annual energy use of electric WH.</t>
  </si>
  <si>
    <t xml:space="preserve">No models in this class are rated at exactly 2.00 UEF. </t>
  </si>
  <si>
    <t>The next lowest efficiency models that are ENERGY STAR qualified are rated at 2.45 UEF.</t>
  </si>
  <si>
    <r>
      <t xml:space="preserve">For electric storage water heaters &lt;55 gal., the rebate requirement is UEF </t>
    </r>
    <r>
      <rPr>
        <sz val="11"/>
        <color theme="1"/>
        <rFont val="Times New Roman"/>
        <family val="1"/>
      </rPr>
      <t>≥</t>
    </r>
    <r>
      <rPr>
        <sz val="11"/>
        <color theme="1"/>
        <rFont val="Calibri"/>
        <family val="2"/>
      </rPr>
      <t xml:space="preserve"> 2.00.</t>
    </r>
  </si>
  <si>
    <t>2.45 UEF</t>
  </si>
  <si>
    <t>0.92 UEF</t>
  </si>
  <si>
    <t>Code Electric Consumption</t>
  </si>
  <si>
    <t>Low Measure Electric Consumption</t>
  </si>
  <si>
    <t>Secondary Energy Impacts</t>
  </si>
  <si>
    <t>Navigant (2017) "Heat Pump Water Heaters Impact Study: Volume 1 Final Report"</t>
  </si>
  <si>
    <t>http://ma-eeac.org/wordpress/wp-content/uploads/Heat-Pump-Water-Heater-Impact-Study-Volume-1.pdf</t>
  </si>
  <si>
    <t>Heat pump water heaters transfer heat from their surroundings to water inside the water heater tank.</t>
  </si>
  <si>
    <t>Operation of HPWHs has an impact on space-conditioning loads because heat generated by the heating system is transferred from the conditioned space to the water tank.</t>
  </si>
  <si>
    <t xml:space="preserve">This impact is dependent on the HPWH’s location (fully conditioned or semi-conditioned spaces), home insulation and sealing, thermostat location and set point, hot-water usage, and efficiency of home heating system.  </t>
  </si>
  <si>
    <t>An HPWH impact study prepared in 2017 for the electric PAs of Massachusetts estimated the secondary impacts of HPWH on electric and gas consumption.</t>
  </si>
  <si>
    <t>The study also estimated a penalty of 0.50 MMBtu/year for oil customers.</t>
  </si>
  <si>
    <t>Secondary Impact on Oil Consumption</t>
  </si>
  <si>
    <t>RES 19 Task 5 Final Report, Table 2, Electric Storage WH at 0.92 UEF</t>
  </si>
  <si>
    <t>Baseline Electric Consumption</t>
  </si>
  <si>
    <t>Source: DOE 2015 Residential Boilers Technical Support Document, Table 7.4.1</t>
  </si>
  <si>
    <t>Heating Full Load Hours (EFLH_heat)</t>
  </si>
  <si>
    <t>Source: MA TRM 2016-2018, p.388, Table 6, average of entries</t>
  </si>
  <si>
    <t>Baseline Electric Demand</t>
  </si>
  <si>
    <t>Code Electric Demand</t>
  </si>
  <si>
    <t>Baseline Electric Cost</t>
  </si>
  <si>
    <t>Code Electric Cost</t>
  </si>
  <si>
    <t>Code Total Installed Cost</t>
  </si>
  <si>
    <t>Source: RES19 Task 5, Table 2, Propane Boilers at 82% AFUE</t>
  </si>
  <si>
    <t>Code Gas Consumption, heating</t>
  </si>
  <si>
    <t>Low Measure Gas Consumption, heating</t>
  </si>
  <si>
    <t>High Measure Gas Consumption, heating</t>
  </si>
  <si>
    <t>High Measure Electric Consumption</t>
  </si>
  <si>
    <t>kWh/year</t>
  </si>
  <si>
    <t>Source: DOE 2015 Residential Boilers TSD</t>
  </si>
  <si>
    <t>Electric Consumption</t>
  </si>
  <si>
    <t>DOE-EERE (2015). Technical Support Document for the 2015 DOE Residential Boilers Rule. p. 7-18</t>
  </si>
  <si>
    <t>Heating Full Load Hours</t>
  </si>
  <si>
    <t>MA TRM 2016-2018, p. 388, Table 6</t>
  </si>
  <si>
    <t>Low Measure Electric Demand</t>
  </si>
  <si>
    <t>High Measure Electric Demand</t>
  </si>
  <si>
    <t>84% AFUE</t>
  </si>
  <si>
    <t>75% AFUE, 0.58 UEF</t>
  </si>
  <si>
    <t>84% AFUE, 0.62 UEF</t>
  </si>
  <si>
    <t>Baseline Boiler Efficiency</t>
  </si>
  <si>
    <t>Code Boiler Efficiency</t>
  </si>
  <si>
    <t>Baseline Oil Boiler Consumption</t>
  </si>
  <si>
    <t>Code Oil Boiler Consumption</t>
  </si>
  <si>
    <t>Baseline WH Efficiency</t>
  </si>
  <si>
    <t>Code WH Efficiency</t>
  </si>
  <si>
    <t>Code Boiler Total Installed Cost</t>
  </si>
  <si>
    <t>Code WH Total Installed Cost</t>
  </si>
  <si>
    <t>Overview:</t>
  </si>
  <si>
    <t>Measure involves the removal of an oil-fired boiler and oil-fired storage WH and installation of a gas combination boiler.</t>
  </si>
  <si>
    <t>RES 19 Task 5 Final Report, Table 2, Natural Gas Combination Boiler at 90% AFUE</t>
  </si>
  <si>
    <t>RES 19 Task 5 Final Report, Table 2, Natural Gas Combination Boiler at 95% AFUE</t>
  </si>
  <si>
    <t xml:space="preserve">Note: The code level for combination boilers is equal to Federal minimum standard for gas boilers at 82% AFUE. </t>
  </si>
  <si>
    <t xml:space="preserve">However, no models are available on the market at efficiencies below 90% AFUE. </t>
  </si>
  <si>
    <t>Here, the code level is treated as the market baseline of 90% AFUE.</t>
  </si>
  <si>
    <t>The low measure and high measure costs are identical because our analysis concluded there is no incremental cost between 90% and 95% AFUE for combination boilers.</t>
  </si>
  <si>
    <t>Source: DOE 2015 Residential Boilers TSD. Assume gas combi boilers have same ignition and pump consumption as gas non-combi boilers</t>
  </si>
  <si>
    <t>82% AFUE (79.3% actual), 0.62 UEF</t>
  </si>
  <si>
    <t>Baseline Propane Boiler Consumption</t>
  </si>
  <si>
    <t>Code Propane Boiler Consumption</t>
  </si>
  <si>
    <t>Source: RES19 Task 5, Table 2, Gas Storage WH at 0.60 UEF</t>
  </si>
  <si>
    <t>Measure involves the removal of a propane-fired boiler and propane storage WH and installation of a gas combination boiler.</t>
  </si>
  <si>
    <t>Fuel Oil</t>
  </si>
  <si>
    <t>Units</t>
  </si>
  <si>
    <t>Gallon</t>
  </si>
  <si>
    <t>Therm</t>
  </si>
  <si>
    <t>$/Unit</t>
  </si>
  <si>
    <t>Btu/Unit</t>
  </si>
  <si>
    <t>$/MMBtu</t>
  </si>
  <si>
    <t>Data Source</t>
  </si>
  <si>
    <t>Retail Energy Prices (2017-2018)</t>
  </si>
  <si>
    <t>Unit Conversion Factors</t>
  </si>
  <si>
    <t>From</t>
  </si>
  <si>
    <t>To</t>
  </si>
  <si>
    <t>Factor</t>
  </si>
  <si>
    <t>Btu</t>
  </si>
  <si>
    <t>MMBtu</t>
  </si>
  <si>
    <t>Consumption - DMSHP + Gas (therms)</t>
  </si>
  <si>
    <t>COP - DMSHP</t>
  </si>
  <si>
    <t>Consumption - CHP + Gas (therms)</t>
  </si>
  <si>
    <t>COP - CHP</t>
  </si>
  <si>
    <t>heating load (Btu)</t>
  </si>
  <si>
    <t>Heating-degree hours (MMBtu)</t>
  </si>
  <si>
    <t>Number of hours</t>
  </si>
  <si>
    <t>DMSHP</t>
  </si>
  <si>
    <t>CHP</t>
  </si>
  <si>
    <t>Outputs</t>
  </si>
  <si>
    <t>Btu to kWh =</t>
  </si>
  <si>
    <t>AFUE =</t>
  </si>
  <si>
    <t>Total heating load =</t>
  </si>
  <si>
    <t>Source: calculated from NEEP database.</t>
  </si>
  <si>
    <t>B =</t>
  </si>
  <si>
    <t>A =</t>
  </si>
  <si>
    <t>COP = A + B * T</t>
  </si>
  <si>
    <t>Gas switchover threshold =</t>
  </si>
  <si>
    <t>COP as a function of temperature:</t>
  </si>
  <si>
    <t>Resistance heat temperature threshold =</t>
  </si>
  <si>
    <t>DMSHP - 10 HSPF</t>
  </si>
  <si>
    <t>CHP - 10 HSPF</t>
  </si>
  <si>
    <t>Inputs</t>
  </si>
  <si>
    <t>Heat Pump Analysis</t>
  </si>
  <si>
    <t>CHP+Gas</t>
  </si>
  <si>
    <t>CHP Consumption</t>
  </si>
  <si>
    <t>Gas Furnace Consumption</t>
  </si>
  <si>
    <t>DMSHP+Gas</t>
  </si>
  <si>
    <t>Consumption - CHP only (kWh)</t>
  </si>
  <si>
    <t>Consumption - Fan only</t>
  </si>
  <si>
    <t>Consumption - DMSHP only (kWh)</t>
  </si>
  <si>
    <t>Consumption - DMSHP Fan only</t>
  </si>
  <si>
    <t>DMSHP fan capacity factor =</t>
  </si>
  <si>
    <t>DMSHP fan power =</t>
  </si>
  <si>
    <t>HPGASCALC_CHP_FURNACEFANCONSUMPTION</t>
  </si>
  <si>
    <t>HPGASCALC_CHP_HPCONSUMPTION</t>
  </si>
  <si>
    <t>HPGASCALC_CHP_FURNACEGASCONSUMPTION</t>
  </si>
  <si>
    <t>DMSHP Consumption</t>
  </si>
  <si>
    <t>HPGASCALC_DMSHP_FURNACEFANCONSUMPTION</t>
  </si>
  <si>
    <t>HPGASCALC_DMSHP_HPCONSUMPTION</t>
  </si>
  <si>
    <t>HPGASCALC_DMSHP_FURNACEGASCONSUMPTION</t>
  </si>
  <si>
    <t>Reference HSPF =</t>
  </si>
  <si>
    <t>HPGASCALC_REF_CHP_AFUE</t>
  </si>
  <si>
    <t>HPGASCALC_REF_DMSHP_AFUE</t>
  </si>
  <si>
    <t>Furnace fan power</t>
  </si>
  <si>
    <t>HP consumption + HP fan consumption + furnace fan consumption</t>
  </si>
  <si>
    <t>Furnace fan capacity factor</t>
  </si>
  <si>
    <t>Existing Efficiency</t>
  </si>
  <si>
    <t>Measure level consumption</t>
  </si>
  <si>
    <t>Heating - Electric Consumption</t>
  </si>
  <si>
    <t>Cooling - Electric</t>
  </si>
  <si>
    <t>Heating - Propane</t>
  </si>
  <si>
    <t>Boiler fan and pump power</t>
  </si>
  <si>
    <t>Boiler fan and pump capacity factor</t>
  </si>
  <si>
    <t>Undefined coincidence factor, so we used the 18 SEER value</t>
  </si>
  <si>
    <t>Coincidence Factor, 20 SEER</t>
  </si>
  <si>
    <t>2016-2018 MA TRM p. 73</t>
  </si>
  <si>
    <t>Heating - Oil</t>
  </si>
  <si>
    <t>Heating - Baseboard</t>
  </si>
  <si>
    <t>Heating - DMSHP Consumption</t>
  </si>
  <si>
    <t>Baseboard peak demand</t>
  </si>
  <si>
    <t>Equipment Price</t>
  </si>
  <si>
    <t>DOE Furnaces Rulemaking SNOPR TSD</t>
  </si>
  <si>
    <t>https://www.regulations.gov/document?D=EERE-2014-BT-STD-0031-0217</t>
  </si>
  <si>
    <t>ECM Electric Savings</t>
  </si>
  <si>
    <t>MA TRM 2016-2018. p. 96 Savings for Furnace Fan Motors</t>
  </si>
  <si>
    <t>This measure removes an oil-fired warm air furnace and replaces it with a gas-fired furnace.</t>
  </si>
  <si>
    <t>Referenced from Baseline definition. Assumes that the installation of efficient equipment will not affect the household space heating load.</t>
  </si>
  <si>
    <t>Heating Penalty of ECM Fan Motor</t>
  </si>
  <si>
    <t>MMBtu/Unit</t>
  </si>
  <si>
    <t>Source: MA TRM 2016-2018. p.97. Secondary Energy Impacts</t>
  </si>
  <si>
    <t>Space Heating Load divided by Code Efficiency</t>
  </si>
  <si>
    <t>Space Heating Load divided by Low Measure Efficiency minus Heating Penalty</t>
  </si>
  <si>
    <t>Space Heating Load divided by High Measure Efficiency minus Heating Penalty</t>
  </si>
  <si>
    <t>Assumed that code level furnace is equipped with single speed permanent split capacitor (PSC) motor.</t>
  </si>
  <si>
    <t>Low Measure and High Measure levels are equipped with electonic commutating motor (ECM).</t>
  </si>
  <si>
    <t>Code-level electric consumption is referenced from DOE residential furnaces rulemaking</t>
  </si>
  <si>
    <t>Efficient level electric consumption is determined by ECM fan savings stated in MA TRM.</t>
  </si>
  <si>
    <t>Electric Savings of ECM Motor</t>
  </si>
  <si>
    <t>Source: MA TRM 2016-2018. p.96. Furnace Fan Motor Savings</t>
  </si>
  <si>
    <t>Demand Savings of ECM Motor</t>
  </si>
  <si>
    <t>Coincidence Factor for Winter Peak</t>
  </si>
  <si>
    <t>unitless</t>
  </si>
  <si>
    <t xml:space="preserve">Source: MA TRM 2016-2018. p.97. Impact Factors </t>
  </si>
  <si>
    <t>Source: DOE 2016 Residential Furnaces Rulemaking, SNOPR Technical Support Document Table 7.4.1. North class EL0.</t>
  </si>
  <si>
    <t>Code consumption minus ECM motor savings</t>
  </si>
  <si>
    <t>Code Demand at Peak</t>
  </si>
  <si>
    <t>Code Electric Consumption divided by EFLH_heat, multiplied by winter peak coincidence factor</t>
  </si>
  <si>
    <t>Low Measure Demand at Peak</t>
  </si>
  <si>
    <t>Code Electric Consumption divided by EFLH_heat minus Demand Savings, multiplied by winter peak coincidence factor</t>
  </si>
  <si>
    <t>High Measure Demand at Peak</t>
  </si>
  <si>
    <t>RES 19 Task 5 Final Report, Table 2, Footnote 2, Natural Gas Furnace at 85% AFUE is average of costs for 80% AFUE and 92% AFUE</t>
  </si>
  <si>
    <t>Equipment Life Reference</t>
  </si>
  <si>
    <t>MA TRM, and Environmental Protection Agency (2009). Life Cycle Cost Estimate for ENERGY STAR Furnace.</t>
  </si>
  <si>
    <t>MA TRM, and Environmental Protection Agency (2009). Life Cycle Cost Estimate for
ENERGY STAR Qualified Boilers</t>
  </si>
  <si>
    <t>MA TRM, and GDS Associates, Inc. (2007). Measure Life Report: Residential and Commercial/Industrial Lighting and HVAC Measures.</t>
  </si>
  <si>
    <t>MA TRM, and Environmental Protection Agency (2009). Life Cycle Cost Estimate for ENERGY STAR Qualified Boilers</t>
  </si>
  <si>
    <t>MA TRM, Equipment Warrranty</t>
  </si>
  <si>
    <t>MA TRM, and Environmental Protection Agency (2009). Life Cycle Cost Estimate for ENERGY STAR Qualified Boiler.</t>
  </si>
  <si>
    <t>MA TRM, Environmental Protection Agency (2009). Life Cycle Cost Estimate for ENERGY STAR Qualified Boiler; measure life assumed to be the same as a boiler.</t>
  </si>
  <si>
    <t>MA TRM, GDS Associates, Inc. (2009). Natural Gas Energy Efficiency Potential in Massachusetts.</t>
  </si>
  <si>
    <t>MA TRM, DOE (2008). ENERGY STAR® Residential Water Heaters: Final Criteria Analysis; Page 10.</t>
  </si>
  <si>
    <t>MA TRM, DOE (2008). ENERGY STAR® Residential Water Heaters: Final CriteriaAnalysis.</t>
  </si>
  <si>
    <t>MA TRM, DOE (2008). ENERGY STAR® Residential Water Heaters: Final Criteria Analysis; Page 10. Adjusted to reflect the mix of replace on failure and early replacement.</t>
  </si>
  <si>
    <t>MA TRM, and The Cadmus Group (2013). 2012 Residential Heating, Water Heating, and Cooling Equipment Evaluation: Net-to-Gross, Market Effects, and Equipment Replacement Timing. Lifetime has been adjusted to reflect the mix of replace on failure and early replacement.</t>
  </si>
  <si>
    <t>Industry Expertise</t>
  </si>
  <si>
    <t>MA TRM, and Environmental Protection Agency (2009). Life Cycle Cost Estimate for ENERGY STAR Furnace</t>
  </si>
  <si>
    <t>75% AFUE, UA 4.1 Btu/hr-F</t>
  </si>
  <si>
    <t>84% AFUE, UA 4.1 Btu/hr-F</t>
  </si>
  <si>
    <t>82% AFUE (79.3% actual), UA 4.1 Btu/hr-F</t>
  </si>
  <si>
    <t>Temp Difference bt Ambient and Tank</t>
  </si>
  <si>
    <t>deg F</t>
  </si>
  <si>
    <t>Assumes 120F Tank and 70F ambient</t>
  </si>
  <si>
    <t>Hours per year</t>
  </si>
  <si>
    <t>Heat Loss Coefficient of Tank</t>
  </si>
  <si>
    <t>Btu/hr.degF</t>
  </si>
  <si>
    <t>Standby Loss of Tank</t>
  </si>
  <si>
    <t xml:space="preserve">Typical UA for indirect WH tank. </t>
  </si>
  <si>
    <t>Code Level Boiler Installation Cost</t>
  </si>
  <si>
    <t>Code Level Indirect WH Installation Cost</t>
  </si>
  <si>
    <t>Source: RES19 Task 5, Table 2, Oil Boilers at 84% AFUE</t>
  </si>
  <si>
    <t>Source: RES19 Task 5, Table 2, Indirect WH attached to boiler</t>
  </si>
  <si>
    <t>Source: DOE 2015 Residential Boilers TSD, Table 7.4.1</t>
  </si>
  <si>
    <t>Temp Difference x Hours x Heat Loss Coefficient</t>
  </si>
  <si>
    <t>365 days x 24 hrs/day</t>
  </si>
  <si>
    <t>Code Level Propane Boiler Installation Cost</t>
  </si>
  <si>
    <t>Source: RES19 Task 5, Table 2, Oil Boilers at 84% AFUE plus 7.5% adder for tankless coil</t>
  </si>
  <si>
    <t>Source: RES19 Task 5, Table 2, Propane Combination Boilers at 90% AFUE</t>
  </si>
  <si>
    <t>Space Heating Load (MMBtu/yr)</t>
  </si>
  <si>
    <t>Space Cooling Load (MMBtu/yr)</t>
  </si>
  <si>
    <t>Water Heating Load (MMBtu/yr)</t>
  </si>
  <si>
    <t>Baseline Oil WH Consumption</t>
  </si>
  <si>
    <t>Code Oil WH Consumption</t>
  </si>
  <si>
    <t>Baseline Propane WH Consumption</t>
  </si>
  <si>
    <t>Code Propane WH Consumption</t>
  </si>
  <si>
    <t>Measure involves the removal of an oil-fired boiler and indirect WH and installation of a gas-fired boiler and indirect WH.</t>
  </si>
  <si>
    <t>Code Level Boiler Installed Costs</t>
  </si>
  <si>
    <t>Low Measure Boiler Installed Costs</t>
  </si>
  <si>
    <t>High Measure Boiler Installed Costs</t>
  </si>
  <si>
    <t>Indirect WH Installed Costs</t>
  </si>
  <si>
    <t>This measure removes an propane-fired warm air furnace and replaces it with a gas-fired furnace.</t>
  </si>
  <si>
    <t>Measure involves the removal of a propane-fired boiler and indirect WH and installation of a gas-fired boiler and indirect WH.</t>
  </si>
  <si>
    <t>Measure involves the removal of an oil-fired boiler and tankless WH coil  and installation of a gas combination boiler.</t>
  </si>
  <si>
    <t>EQUI031</t>
  </si>
  <si>
    <t>Room AC</t>
  </si>
  <si>
    <t>Cool</t>
  </si>
  <si>
    <t>MA TRM, Environmental Protection Agency (2009). Life Cycle Cost Estimate for ENERGY STAR Room Air Conditioner</t>
  </si>
  <si>
    <t>8 EER</t>
  </si>
  <si>
    <t>10 EER</t>
  </si>
  <si>
    <t>Number of room Acs</t>
  </si>
  <si>
    <t>kBtu</t>
  </si>
  <si>
    <t>Room AC EFLH</t>
  </si>
  <si>
    <t>Deferred Replacement Credit (USD)</t>
  </si>
  <si>
    <t>Equipment Life</t>
  </si>
  <si>
    <t>Remaining Life</t>
  </si>
  <si>
    <t>This tab calculates generic heat pump performance that can be scaled into other tabs.</t>
  </si>
  <si>
    <t>Two reference heat pumps are used: a central heat pump (CHP) and a ductless mini-split heat pump (DMSHP). Both reference heat pumps have an HSPF of 10.</t>
  </si>
  <si>
    <t>- Due to the different components and arrangement, it is best to calculate efficiency trends separately for DMSHPs and CHPs.</t>
  </si>
  <si>
    <t>- CHPs use the same fan as the existing furnace. DMSHPs have a fan in each indoor and outdoor unit, and additionally the electricity requirements of the furnace or boiler.</t>
  </si>
  <si>
    <t>For that reason, we based our analysis on separate COP curves and separate fan performance data for CHPs and DMSHPs.</t>
  </si>
  <si>
    <t>Gas equipment eletrical power =</t>
  </si>
  <si>
    <t>Gas equipment capacity factor =</t>
  </si>
  <si>
    <t>The DMSHP analysis uses two reference power values: the gas equipment power (boiler pumps and blower) and the DMSHP fan power (indoor and outdoor units). This allows for the scaling of the gas equipment power and the DMSHP power independently.</t>
  </si>
  <si>
    <t>The CHP analysis only uses the gas equipment power because the heat pump and the furnace share the fan.</t>
  </si>
  <si>
    <t xml:space="preserve">  All consumption calculations must be scaled by the heating load. The reference heating load is 1 Mmbtu/yr. The consumption at measure level can be calculated by multiplying the reference consumption by the ratio of the measure heating load to the reference heating load.</t>
  </si>
  <si>
    <t xml:space="preserve">  The gas equipment can be scaled by AFUE. The reference AFUE is 100%. The consumption for other AFUEs is the consumption at 100% times the AFUE divided by 100%.</t>
  </si>
  <si>
    <t xml:space="preserve">  The heat pumps can be scaled based on the HSPF using the same logic as that used for AFUE.</t>
  </si>
  <si>
    <t xml:space="preserve">  Similarly, the electric consumption of the gas equipment can also be scaled in terms of power draw and in terms of the capacity factor.</t>
  </si>
  <si>
    <t xml:space="preserve">  Additionally, the model allows the use to select the gas switchover temperature, i.e. the temperature at which the heat pump shuts off and the gas equipment kicks in.</t>
  </si>
  <si>
    <t xml:space="preserve">  This allows for simulation of cases where the controls were ideally set up for lowest cost, and for cases where the controls were not set up appropriately.</t>
  </si>
  <si>
    <t xml:space="preserve">  All reference values are provided with named ranges for easy use in the measure tabs.</t>
  </si>
  <si>
    <r>
      <t xml:space="preserve">The calculation is designed to be </t>
    </r>
    <r>
      <rPr>
        <b/>
        <sz val="8"/>
        <color rgb="FF648C1A"/>
        <rFont val="Arial"/>
        <family val="2"/>
      </rPr>
      <t>scalable</t>
    </r>
    <r>
      <rPr>
        <sz val="8"/>
        <color rgb="FF648C1A"/>
        <rFont val="Arial"/>
        <family val="2"/>
      </rPr>
      <t xml:space="preserve"> and </t>
    </r>
    <r>
      <rPr>
        <b/>
        <sz val="8"/>
        <color rgb="FF648C1A"/>
        <rFont val="Arial"/>
        <family val="2"/>
      </rPr>
      <t>flexible</t>
    </r>
    <r>
      <rPr>
        <sz val="8"/>
        <color rgb="FF648C1A"/>
        <rFont val="Arial"/>
        <family val="2"/>
      </rPr>
      <t>.</t>
    </r>
  </si>
  <si>
    <r>
      <t xml:space="preserve">- </t>
    </r>
    <r>
      <rPr>
        <b/>
        <sz val="8"/>
        <color rgb="FF648C1A"/>
        <rFont val="Arial"/>
        <family val="2"/>
      </rPr>
      <t>Scalable:</t>
    </r>
    <r>
      <rPr>
        <sz val="8"/>
        <color rgb="FF648C1A"/>
        <rFont val="Arial"/>
        <family val="2"/>
      </rPr>
      <t xml:space="preserve"> each consumption value can be scaled based on the the reference equipment.</t>
    </r>
  </si>
  <si>
    <r>
      <t xml:space="preserve">- </t>
    </r>
    <r>
      <rPr>
        <b/>
        <sz val="8"/>
        <color rgb="FF648C1A"/>
        <rFont val="Arial"/>
        <family val="2"/>
      </rPr>
      <t>Flexible:</t>
    </r>
    <r>
      <rPr>
        <sz val="8"/>
        <color rgb="FF648C1A"/>
        <rFont val="Arial"/>
        <family val="2"/>
      </rPr>
      <t xml:space="preserve"> heat pumps often have backup electric resistance heat to help in particularly cold days. This model allows the user to select when the backup resistance heat kicks in.</t>
    </r>
  </si>
  <si>
    <t>We used two reference heat pumps because each type of heat pump operates differently with different components:</t>
  </si>
  <si>
    <r>
      <t xml:space="preserve">F, </t>
    </r>
    <r>
      <rPr>
        <i/>
        <sz val="8"/>
        <rFont val="Arial"/>
        <family val="2"/>
      </rPr>
      <t>RESISTANCE_HEAT_THRESHOLD</t>
    </r>
  </si>
  <si>
    <r>
      <t xml:space="preserve">F, </t>
    </r>
    <r>
      <rPr>
        <i/>
        <sz val="8"/>
        <rFont val="Arial"/>
        <family val="2"/>
      </rPr>
      <t>GAS_THRESHOLD</t>
    </r>
  </si>
  <si>
    <r>
      <t xml:space="preserve">kW, </t>
    </r>
    <r>
      <rPr>
        <i/>
        <sz val="8"/>
        <rFont val="Arial"/>
        <family val="2"/>
      </rPr>
      <t>HPGASCALC_REF_GASEQUIPKWH</t>
    </r>
  </si>
  <si>
    <t>HPGASCALC_REF_GASPOWER_CF</t>
  </si>
  <si>
    <r>
      <t xml:space="preserve">kW, </t>
    </r>
    <r>
      <rPr>
        <i/>
        <sz val="8"/>
        <rFont val="Arial"/>
        <family val="2"/>
      </rPr>
      <t>HPGASCALC_REF_DMSHPFAN</t>
    </r>
  </si>
  <si>
    <t>HPGASCALC_REF_DMSHPFAN_CF</t>
  </si>
  <si>
    <r>
      <t xml:space="preserve">MMBtu/yr, </t>
    </r>
    <r>
      <rPr>
        <i/>
        <sz val="8"/>
        <rFont val="Arial"/>
        <family val="2"/>
      </rPr>
      <t>HPGASCALC_REF_HEATINGLOAD</t>
    </r>
  </si>
  <si>
    <r>
      <t xml:space="preserve">kWh per Btu, </t>
    </r>
    <r>
      <rPr>
        <i/>
        <sz val="8"/>
        <rFont val="Arial"/>
        <family val="2"/>
      </rPr>
      <t>KWH_PER_BTU</t>
    </r>
  </si>
  <si>
    <t>Energy Consumption, Demand, Customer Cost, and Carbon Emissions Analysis</t>
  </si>
  <si>
    <t xml:space="preserve">Created by: </t>
  </si>
  <si>
    <t xml:space="preserve">Navigant Consulting </t>
  </si>
  <si>
    <t xml:space="preserve">Last updated: </t>
  </si>
  <si>
    <t>Context:</t>
  </si>
  <si>
    <t>Model Structure:</t>
  </si>
  <si>
    <t>Spreadsheet Tab</t>
  </si>
  <si>
    <t>Description</t>
  </si>
  <si>
    <t>This tab contains all general inputs that pertain to multiple tabs or measures. Includes inputs regarding cooling, heating, and water heating loads; retail energy prices; unit conversion factors; equipment size assumptions; threshold temperatures for dual-fuel systems; and discount rate.  Users may update input assumptions on this tab and observe the effects in the output sheets.</t>
  </si>
  <si>
    <t xml:space="preserve">This tab defines the equipment types and equipment combinations that are used in the baselines and measures considered in this model. This tab does not contain any calculations, it merely serves as reference sheet for the equipment definitions. An equipment identifier (EQUIxxx) is assigned to each unique equipment type. The tab defines the efficiency levels that are considered in the model for all fuel types that pertain to the equipment. </t>
  </si>
  <si>
    <t xml:space="preserve">More than one fuel type may be relevant to one equipment type if the equipment is defined as a combination of two products. For example, the 'A/C + Oil Furnace" equipment type has an electric efficiency relevant to the A/C and an oil efficiency relevant to the furnace.
Some equipment types are defined with multiple efficiency metrics for the same fuel type, if they include more than one product that consumes the same fuel. For example, the "Oil Boiler + Storage WH" measure includes separate oil efficiency metrics for the boiler and WH.
</t>
  </si>
  <si>
    <t>For each equipment type, up to four efficiency levels may be defined for each fuel type: 
- Baseline efficiency represents the efficiency of equipment currently installed in the field.
- Code efficiency represents the minimum efficiency available to customers today. This is the larger of either the minimum federal efficiency standard or the minimum efficiency available in the market.
- Low measure efficiency represents the lowest efficiency level incentivized by the program. 
- High Measure efficiencies represents the highest efficiency level incentivized by the program, if the program incentivizes multiple levels.</t>
  </si>
  <si>
    <t>This tab defines each of the measures considered in this model and reports the cost and energy savings associated with each measure. A measure identifier (MEASxx) is assigned to each unique measure. The tab defines the baseline equipment and replacement equipment (with identifiers) for each measure, and the fuel type(s) used by the baseline and replacement equipment. 
Measures are defined by the Equipment IDs and Baseline IDs input by the user in orange-shaded columns.  All of the descriptive information regarding measure definitions and fuel types are pulled into this sheet from other tabs using index formulas, and are reported in green-shaded columns.
The cost and savings outputs reported in this tab are calculated in realtime based on analysis in other sheets of the model. For example, consumption savings for each fuel type are calculated as measure level consumption (calculated in the MEASxx measure tab) minus baseline level consumption (calculated in the Baseline Calculations tab).</t>
  </si>
  <si>
    <t>This tab calculates and reports the consumption and costs associated with each equipment type that is modeled as a baseline case. A baseline identifier (BASExx) is assigned to each baseline case. The "Baseline Calculations" in the lower section of the tab includes the calculations relevant to each baseline case. The "Baseline Summary" table in the upper section of the tab gathers the results of the baseline calculations into a summary table that is referenced by other worksheets in the model.</t>
  </si>
  <si>
    <t>This tab calculates the consumption of fuel displacement measures. These fuel displacement measures involve the installation of heat pumps alongside oil or propane equipment, such that the heat pumps displace fuel consumption but do not entirely replace the oil- or propane-fired equipment. This tab uses hourly weather data to estimate the proportions of the heating load that is supplied by the heat pump and by the oil- or propane-fired equipment.</t>
  </si>
  <si>
    <t xml:space="preserve">MEASxx </t>
  </si>
  <si>
    <t xml:space="preserve">For each measure considered in the model, there is a unique tab containing the measure calculations that is named by the measure identifier (e.g., MEAS01, MEAS02, etc.).  The first 55 rows of each measure tab contain a standardized template for summarizing the consumption, demand, and cost information for the measure. These rows are referenced by the output table in the "Measure List" tab, and their structure should not be altered. After row 56, the evaluation team presents the assumptions and calculations that were used to estimate the measure cost and savings.  </t>
  </si>
  <si>
    <t>Cooling Load</t>
  </si>
  <si>
    <t>Load</t>
  </si>
  <si>
    <t>Load Type</t>
  </si>
  <si>
    <t>- Unit conversion factors</t>
  </si>
  <si>
    <t>- Assumptions regarding common equipment types</t>
  </si>
  <si>
    <t>Lb CO2/Unit</t>
  </si>
  <si>
    <t>MWh</t>
  </si>
  <si>
    <t>Carbon Emissions Factors</t>
  </si>
  <si>
    <t>https://www.eia.gov/tools/faqs/faq.php?id=73&amp;t=11</t>
  </si>
  <si>
    <t>EIA. "How much carbon dioxide is produced when different fuels are burned?"</t>
  </si>
  <si>
    <t>Baseline Energy Cost (USD/yr)</t>
  </si>
  <si>
    <t>Baseline Oil Annual Consumption (MMBtu/yr)</t>
  </si>
  <si>
    <t>Baseline Electric Annual Consumption (kWh/yr)</t>
  </si>
  <si>
    <t>Baseline Natural Gas Annual Consumption (therms/yr)</t>
  </si>
  <si>
    <t>Baseline Propane Annual Consumption (MMBtu/yr)</t>
  </si>
  <si>
    <t>Lbs</t>
  </si>
  <si>
    <t>Short Ton</t>
  </si>
  <si>
    <t>Code (old fuel) Electric Annual Consumption (kWh/yr)</t>
  </si>
  <si>
    <t>Code (old fuel) Natural Gas Annual Consumption (therms/yr)</t>
  </si>
  <si>
    <t>Code (old fuel) Propane Annual Consumption (MMBtu/yr)</t>
  </si>
  <si>
    <t>Code (old fuel) Oil Annual Consumption (MMBtu/yr)</t>
  </si>
  <si>
    <t>Code (old fuel) Deferred Replacement Credit (USD)</t>
  </si>
  <si>
    <t>CO2</t>
  </si>
  <si>
    <t>Code (new fuel) Electric Annual Consumption (kWh/yr)</t>
  </si>
  <si>
    <t>Code (new fuel) Natural Gas Annual Consumption (therms/yr)</t>
  </si>
  <si>
    <t>Code (new fuel) Propane Annual Consumption (MMBtu/yr)</t>
  </si>
  <si>
    <t>Code (new fuel) Oil Annual Consumption (MMBtu/yr)</t>
  </si>
  <si>
    <t>Low Measure Energy Cost (USD/yr)</t>
  </si>
  <si>
    <t>Low Measure Electric Annual Consumption (kWh/yr)</t>
  </si>
  <si>
    <t>Low Measure Natural Gas Annual Consumption (therms/yr)</t>
  </si>
  <si>
    <t>Low Measure Propane Annual Consumption (MMBtu/yr)</t>
  </si>
  <si>
    <t>Low Measure Oil Annual Consumption (MMBtu/yr)</t>
  </si>
  <si>
    <t>High Measure Energy Cost (USD/yr)</t>
  </si>
  <si>
    <t>High Measure Electric Annual Consumption (kWh/yr)</t>
  </si>
  <si>
    <t>High Measure Natural Gas Annual Consumption (therms/yr)</t>
  </si>
  <si>
    <t>High Measure Propane Annual Consumption (MMBtu/yr)</t>
  </si>
  <si>
    <t>High Measure Oil Annual Consumption (MMBtu/yr)</t>
  </si>
  <si>
    <t>ER Low Measure Electric Annual Consumption Savings (kWh/yr)</t>
  </si>
  <si>
    <t>ER Low Measure Energy Cost Savings (USD/yr)</t>
  </si>
  <si>
    <t>ER High Measure Energy Cost Savings (USD/yr)</t>
  </si>
  <si>
    <t>ER High Measure Electric Annual Consumption Savings (kWh/yr)</t>
  </si>
  <si>
    <t>ROF Low Measure Electric Annual Consumption Savings (kWh/yr)</t>
  </si>
  <si>
    <t>ROF High Measure Electric Annual Consumption Savings (kWh/yr)</t>
  </si>
  <si>
    <t>ROF Low Measure Energy Cost Savings (USD/yr)</t>
  </si>
  <si>
    <t>ROF High Measure Energy Cost Savings (USD/yr)</t>
  </si>
  <si>
    <t>Code replacement costs</t>
  </si>
  <si>
    <t>$110 for equipment + $75 for labor and supplies per baseboard</t>
  </si>
  <si>
    <t>Measure level cost</t>
  </si>
  <si>
    <t>Baseboard Peak Demand</t>
  </si>
  <si>
    <t>Baseboard Operating Cost</t>
  </si>
  <si>
    <t>- Cooling and heating loads per year</t>
  </si>
  <si>
    <t>- Retail energy prices per fuel unit</t>
  </si>
  <si>
    <t>- Discount rate</t>
  </si>
  <si>
    <t>- Carbon emissions factors</t>
  </si>
  <si>
    <t>Code Installation Cost</t>
  </si>
  <si>
    <t>Source: Estimate of $300 for the coil, plus $300 for installation</t>
  </si>
  <si>
    <t>Code Furnace Installed Cost</t>
  </si>
  <si>
    <t>Capacity Factor, Winter Peak (CFwp)</t>
  </si>
  <si>
    <t>Source: Assume same CFwp as res. furnaces. MA TRM 2016-2018, p.120, Impact Factors</t>
  </si>
  <si>
    <t>Source: MA TRM 2016-2018, p.120, Impact Factors</t>
  </si>
  <si>
    <t>Baseline Summer Peak Demand</t>
  </si>
  <si>
    <t>Code Summer Peak Demand</t>
  </si>
  <si>
    <t>Baseline Winter Peak Demand</t>
  </si>
  <si>
    <t>Code Winter Peak Demand</t>
  </si>
  <si>
    <t>WH Operating Hours</t>
  </si>
  <si>
    <t>Source: Assume same CFwp as HPWH. MA TRM 2016-2018, p.194, Impact Factors</t>
  </si>
  <si>
    <t>Code (old fuel) Energy Cost (USD/yr)</t>
  </si>
  <si>
    <t>Code (new fuel) Energy Cost (USD/yr)</t>
  </si>
  <si>
    <t>Yes</t>
  </si>
  <si>
    <t>Keep Existing Heating Equipment?</t>
  </si>
  <si>
    <t>Code (old fuel) A/C-only Deferred Replacement Credit (USD)</t>
  </si>
  <si>
    <t>Code A/C-only Installed Cost (USD)</t>
  </si>
  <si>
    <t>A/C-only Deferred Replacement Credit (USD)</t>
  </si>
  <si>
    <t>Source: MA TRM 2016-2018, p.194, Impact Factors</t>
  </si>
  <si>
    <t>Annual Consumption (MMBtu/yr)</t>
  </si>
  <si>
    <t>Heat Pump Settings</t>
  </si>
  <si>
    <t>User input: For dual-fuel systems, the temperature at which the system switches between electric heat pump operation and fossil fuel heating.</t>
  </si>
  <si>
    <t>Resistance Heat Switchover Temperature</t>
  </si>
  <si>
    <t>User input: For electric heat pumps without fuel-fired backup, the temperature at which the heat pump switches between vapor compression heating and electric resistance heating.</t>
  </si>
  <si>
    <t>CHP Consumption Correction Factor</t>
  </si>
  <si>
    <t>DMSHP Consumption Correction Factor</t>
  </si>
  <si>
    <t>Consumption correction factor to account for sub-optimal configuration of the furnace-heat pump combination. Applied as a multiplication factor over the overall consumption.</t>
  </si>
  <si>
    <t>Consumption correction factor to account for sub-optimal configuration of the boiler-heat pump combination. Applied as a multiplication factor over the overall consumption.</t>
  </si>
  <si>
    <t>CHP Only</t>
  </si>
  <si>
    <t>DMSHP Only</t>
  </si>
  <si>
    <t>CHP Resistance Heat Consumption</t>
  </si>
  <si>
    <t>CHP Resistance Consumption</t>
  </si>
  <si>
    <t>Gas Furnace Fan Consumption</t>
  </si>
  <si>
    <t>DMSHP Resistance Heat</t>
  </si>
  <si>
    <t>DMSHP Resistance Consumption</t>
  </si>
  <si>
    <t>HPGASCALC_CHP_CHPRESISTANCECONSUMPTION</t>
  </si>
  <si>
    <t>HPGASCALC_DMSHP_DMSHPRESISTANCECONSUMPTION</t>
  </si>
  <si>
    <t>HPONLYCALC_CHP_CHPRESISTANCECONSUMPTION</t>
  </si>
  <si>
    <t>HPONLYCALC_CHP_HPCONSUMPTION</t>
  </si>
  <si>
    <t>HPONLYCALC_DMSHP_DMSHPRESISTANCECONSUMPTION</t>
  </si>
  <si>
    <t>HPONLYCALC_DMSHP_HPCONSUMPTION</t>
  </si>
  <si>
    <t>RES 1 Baseline Study (on-going)</t>
  </si>
  <si>
    <t>30 kBtu/h Cooling Capacity x 419 hours EFLH.  Cooling Capacity: 2016-2018 MA TRM p.60; EFLH: RES 1 Baseline Study (on-going) .</t>
  </si>
  <si>
    <t>Boiler Heating Load</t>
  </si>
  <si>
    <t>Furnace Heating Load</t>
  </si>
  <si>
    <t>Combo Boiler Heating Load</t>
  </si>
  <si>
    <t>Source: RES19 Task 5, Table 2, Assume same cost as Gas Storage WH 50-gal 40 MBH at 0.60 UEF</t>
  </si>
  <si>
    <t>The analysis assumes different baseline heating loads for households equipped with furnaces, boilers, or combination boilers, based on 2015 HEHE Impact Evaluation.</t>
  </si>
  <si>
    <t>RES 19 Task 5 Final Report, Table 2, Natural Gas On-Demand Tankless WH at 0.80 UEF, updated 7/20/2018</t>
  </si>
  <si>
    <t>RES 19 Task 5 Final Report, Table 2, Natural Gas On-Demand Tankless WH at 0.87 UEF, updated 7/20/2018</t>
  </si>
  <si>
    <t>Source: RES19 Task 5, Table 2, Propane On-Demand WH at 0.80 UEF, updated 7/20/2018</t>
  </si>
  <si>
    <t>RES 19 Task 5 Final Report, Table 2, Electric Storage WH at 2.00 UEF, updated 7/20/2018</t>
  </si>
  <si>
    <t>State T&amp;D Loss Factor</t>
  </si>
  <si>
    <t>Avoided Energy Supply Components in New England: 2018 Report</t>
  </si>
  <si>
    <t>http://www.synapse-energy.com/sites/default/files/AESC-2018-17-080.pdf</t>
  </si>
  <si>
    <t>Unit</t>
  </si>
  <si>
    <t>Percent</t>
  </si>
  <si>
    <t>Coal</t>
  </si>
  <si>
    <t>Gas</t>
  </si>
  <si>
    <t>Calculation Factor</t>
  </si>
  <si>
    <t>Heat Rate of Generation, by Fuel Type</t>
  </si>
  <si>
    <t>Input Btu/Output kWh</t>
  </si>
  <si>
    <t>Eversource Analysis of ISO-NE Site-Source Data</t>
  </si>
  <si>
    <t>Heat Value of Fuel, by Fuel Type</t>
  </si>
  <si>
    <t>Btu per pound coal</t>
  </si>
  <si>
    <t>Btu per cubic foot gas</t>
  </si>
  <si>
    <t>Btu per gallon oil</t>
  </si>
  <si>
    <t>pound coal per site kWh</t>
  </si>
  <si>
    <t>cu.ft. gas per site kWh</t>
  </si>
  <si>
    <t>gallon oil per site kWh</t>
  </si>
  <si>
    <t>Equals 1 kWh x T&amp;D Loss Factor x Portion of Electric Generation x Heat Rate / Heat Value</t>
  </si>
  <si>
    <t>Btu per site kWh</t>
  </si>
  <si>
    <t>Equals 1 kWh x T&amp;D Loss Factor x Portion of Electric Generation x Heat Rate</t>
  </si>
  <si>
    <t>Replace On Failure - Consumption and Cost Savings</t>
  </si>
  <si>
    <t>- Source fuel consumption factors</t>
  </si>
  <si>
    <t>Installation Costs</t>
  </si>
  <si>
    <t>Number of zones</t>
  </si>
  <si>
    <t>18 SEER, 10 HSPF</t>
  </si>
  <si>
    <t>20 SEER, 12 HSPF</t>
  </si>
  <si>
    <t>28 SEER, 14 HSPF</t>
  </si>
  <si>
    <t>9 ± 1.5</t>
  </si>
  <si>
    <t>12 ± 1.5</t>
  </si>
  <si>
    <t>24 ± 3</t>
  </si>
  <si>
    <t>30 ± 3</t>
  </si>
  <si>
    <t>36 ± 3</t>
  </si>
  <si>
    <t>Capacity, kBtu/h</t>
  </si>
  <si>
    <t>Cold Climate</t>
  </si>
  <si>
    <t>Number of Zones</t>
  </si>
  <si>
    <t>15 SEER, 8.2 HSPF</t>
  </si>
  <si>
    <t>16 SEER, 8.5 HSPF</t>
  </si>
  <si>
    <t>17 SEER, 9 HSPF</t>
  </si>
  <si>
    <t>Non-Cold Climate</t>
  </si>
  <si>
    <t>Efficiency</t>
  </si>
  <si>
    <t>DMSHP installed cost data from RES 28 Task 4 Final Report.</t>
  </si>
  <si>
    <t>Cost</t>
  </si>
  <si>
    <t>RES 28 Task 4 Final Report</t>
  </si>
  <si>
    <t>Data Flow Diagram:</t>
  </si>
  <si>
    <t>Intermediate steps</t>
  </si>
  <si>
    <t>Max. Capacity (ton)</t>
  </si>
  <si>
    <t>DO NOT sort this table. The capacity must be in descending order to allow for proper functioning of the INDEX-MATCH.</t>
  </si>
  <si>
    <t>EQUI032</t>
  </si>
  <si>
    <t>EQUI033</t>
  </si>
  <si>
    <t>EQUI034</t>
  </si>
  <si>
    <t>EQUI035</t>
  </si>
  <si>
    <t>MEAS29</t>
  </si>
  <si>
    <t>MEAS30</t>
  </si>
  <si>
    <t>BASE18</t>
  </si>
  <si>
    <t>BASE19</t>
  </si>
  <si>
    <t>Source: RES19 Task 5, 3.2.6, Oil Boilers at 84% AFUE</t>
  </si>
  <si>
    <t>Original Fuel: Baseline Efficiency Level</t>
  </si>
  <si>
    <t>Original Fuel: Code Efficiency Level</t>
  </si>
  <si>
    <t>Replacement Fuel: Code Efficiency Level</t>
  </si>
  <si>
    <t>Replacement Fuel: PA Program Low Efficiency Tier</t>
  </si>
  <si>
    <t>Replacement Fuel: PA Program High Efficiency Tier</t>
  </si>
  <si>
    <t>PA Program Low Efficiency Tier</t>
  </si>
  <si>
    <t>PA Program High Efficiency Tier</t>
  </si>
  <si>
    <t>Central HP+Oil Furnace</t>
  </si>
  <si>
    <t>Central HP+Propane Furnace</t>
  </si>
  <si>
    <t>Central HP</t>
  </si>
  <si>
    <t>Central HP+Oil Boiler</t>
  </si>
  <si>
    <t>Central HP+Propane Boiler</t>
  </si>
  <si>
    <t>Gas Switchover Temperature</t>
  </si>
  <si>
    <t>Oil Switchover Temperature</t>
  </si>
  <si>
    <t>Propane Switchover Temperature</t>
  </si>
  <si>
    <t>Oil switchover threshold =</t>
  </si>
  <si>
    <t>Propane switchover threshold =</t>
  </si>
  <si>
    <r>
      <t xml:space="preserve">F, </t>
    </r>
    <r>
      <rPr>
        <i/>
        <sz val="8"/>
        <rFont val="Arial"/>
        <family val="2"/>
      </rPr>
      <t>OIL_THRESHOLD</t>
    </r>
  </si>
  <si>
    <r>
      <t xml:space="preserve">F, </t>
    </r>
    <r>
      <rPr>
        <i/>
        <sz val="8"/>
        <rFont val="Arial"/>
        <family val="2"/>
      </rPr>
      <t>PROPANE_THRESHOLD</t>
    </r>
  </si>
  <si>
    <t>Oil Furnace Fan Consumption</t>
  </si>
  <si>
    <t>Propane Furnace Fan Consumption</t>
  </si>
  <si>
    <t>HPOILCALC_CHP_FURNACEFANCONSUMPTION</t>
  </si>
  <si>
    <t>HPOILCALC_CHP_CHPRESISTANCECONSUMPTION</t>
  </si>
  <si>
    <t>HPOILCALC_CHP_HPCONSUMPTION</t>
  </si>
  <si>
    <t>HPOILCALC_CHP_FURNACEOILCONSUMPTION</t>
  </si>
  <si>
    <t>HPPROPANECALC_CHP_FURNACEFANCONSUMPTION</t>
  </si>
  <si>
    <t>HPPROPANECALC_CHP_CHPRESISTANCECONSUMPTION</t>
  </si>
  <si>
    <t>HPPROPANECALC_CHP_HPCONSUMPTION</t>
  </si>
  <si>
    <t>HPPROPANECALC_CHP_FURNACEPROPANECONSUMPTION</t>
  </si>
  <si>
    <t>HPPROPANECALC_DMSHP_FURNACEFANCONSUMPTION</t>
  </si>
  <si>
    <t>HPPROPANECALC_DMSHP_DMSHPRESISTANCECONSUMPTION</t>
  </si>
  <si>
    <t>HPPROPANECALC_DMSHP_HPCONSUMPTION</t>
  </si>
  <si>
    <t>HPPROPANECALC_DMSHP_FURNACEPROPANECONSUMPTION</t>
  </si>
  <si>
    <t>HPOILCALC_DMSHP_FURNACEFANCONSUMPTION</t>
  </si>
  <si>
    <t>HPOILCALC_DMSHP_DMSHPRESISTANCECONSUMPTION</t>
  </si>
  <si>
    <t>HPOILCALC_DMSHP_HPCONSUMPTION</t>
  </si>
  <si>
    <t>HPOILCALC_DMSHP_FURNACEOILCONSUMPTION</t>
  </si>
  <si>
    <t>CHP+Oil</t>
  </si>
  <si>
    <t>DMSHP+Oil</t>
  </si>
  <si>
    <t>CHP+Propane</t>
  </si>
  <si>
    <t>DMSHP+Propane</t>
  </si>
  <si>
    <t>Oil Furnace Consumption</t>
  </si>
  <si>
    <t>Propane Furnace Consumption</t>
  </si>
  <si>
    <t>HPFUELCALC_REF_AFUE</t>
  </si>
  <si>
    <t>Electric Baseboard Switchover Temperature</t>
  </si>
  <si>
    <t>CHP+Electric Baseboard</t>
  </si>
  <si>
    <t>DMSHP+Electric Baseboard</t>
  </si>
  <si>
    <t>HPBASEBOARDCALC_CHP_CHPRESISTANCECONSUMPTION</t>
  </si>
  <si>
    <t>HPBASEBOARDCALC_CHP_HPCONSUMPTION</t>
  </si>
  <si>
    <t>HPBASEBOARDCALC_DMSHP_DMSHPRESISTANCECONSUMPTION</t>
  </si>
  <si>
    <t>HPBASEBOARDCALC_DMSHP_HPCONSUMPTION</t>
  </si>
  <si>
    <t>Baseboard switchover threshold =</t>
  </si>
  <si>
    <r>
      <t xml:space="preserve">F, </t>
    </r>
    <r>
      <rPr>
        <i/>
        <sz val="8"/>
        <rFont val="Arial"/>
        <family val="2"/>
      </rPr>
      <t>BASEBOARD_THRESHOLD</t>
    </r>
  </si>
  <si>
    <t>Baseboard Furnace Consumption</t>
  </si>
  <si>
    <t>HPBASEBOARDCALC_CHP_BASEBOARDCONSUMPTION</t>
  </si>
  <si>
    <t>HPBASEBOARDCALC_DMSHP_BASEBOARDCONSUMPTION</t>
  </si>
  <si>
    <t>ER Low Measure Annual Energy Savings on MMBtu Basis (MMBtu/yr)</t>
  </si>
  <si>
    <t>ER High Measure Annual Energy Savings on MMBtu Basis (MMBtu/yr)</t>
  </si>
  <si>
    <t>ROF Low Measure Annual Energy Savings on MMBtu Basis (MMBtu/yr)</t>
  </si>
  <si>
    <t>ROF High Measure Annual Energy Savings on MMBtu Basis (MMBtu/yr)</t>
  </si>
  <si>
    <t>A/C Life (years)</t>
  </si>
  <si>
    <t>Remaining A/C Life for Early Replacement (years)</t>
  </si>
  <si>
    <t>A/C Remaining Life</t>
  </si>
  <si>
    <t>A/C Equipment Life</t>
  </si>
  <si>
    <t>Remaining Life for Early Replacement (years)</t>
  </si>
  <si>
    <t>Baseline Carbon Emissions, Site (tons CO2/yr)</t>
  </si>
  <si>
    <t>Baseline Carbon Emissions, Source (tons CO2/yr)</t>
  </si>
  <si>
    <t>Code (old fuel) Carbon Emissions, Source (tons CO2/yr)</t>
  </si>
  <si>
    <t>Code (old fuel) Carbon Emissions, Site (tons CO2/yr)</t>
  </si>
  <si>
    <t>Code (new fuel) Carbon Emissions, Source (tons CO2/yr)</t>
  </si>
  <si>
    <t>Code (new fuel) Carbon Emissions, Site (tons CO2/yr)</t>
  </si>
  <si>
    <t>Low Measure Carbon Emissions, Source (tons CO2/yr)</t>
  </si>
  <si>
    <t>Low Measure Carbon Emissions, Site (tons CO2/yr)</t>
  </si>
  <si>
    <t>High Measure Carbon Emissions, Source (tons CO2/yr)</t>
  </si>
  <si>
    <t>High Measure Carbon Emissions, Site (tons CO2/yr)</t>
  </si>
  <si>
    <t>ER Low Measure Carbon Emissions Reduction, Site (tons CO2/yr)</t>
  </si>
  <si>
    <t>ROF Low Measure Carbon Emissions Reduction, Site (tons CO2/yr)</t>
  </si>
  <si>
    <t>ROF High Measure Carbon Emissions Reduction, Site (tons CO2/yr)</t>
  </si>
  <si>
    <t>Heat pumps and air conditioners are sized by cooling capacity in this model.</t>
  </si>
  <si>
    <t>AC Cooling Capacity</t>
  </si>
  <si>
    <t>Cooling Capacity of room AC</t>
  </si>
  <si>
    <t>The heat pump capacity is used in the peak demand calculations and in the installed costs calculations.</t>
  </si>
  <si>
    <t>Based on NEEP data, the cooling capacity is on average approximately the same as the heating capacity at 47F.</t>
  </si>
  <si>
    <t>Web search, consistent with previous studies</t>
  </si>
  <si>
    <t>Total Code Installed Cost</t>
  </si>
  <si>
    <t>Room AC Inputs</t>
  </si>
  <si>
    <t>Heat Pump Inputs, Central AC Inputs</t>
  </si>
  <si>
    <t>Cost per Unit</t>
  </si>
  <si>
    <t>AC Life</t>
  </si>
  <si>
    <t>AC Remaing Life</t>
  </si>
  <si>
    <t>BASE20</t>
  </si>
  <si>
    <t>BASE21</t>
  </si>
  <si>
    <t>BASE22</t>
  </si>
  <si>
    <t>EQUI036</t>
  </si>
  <si>
    <t>EQUI037</t>
  </si>
  <si>
    <t>EQUI038</t>
  </si>
  <si>
    <t>EQUI039</t>
  </si>
  <si>
    <t>EQUI040</t>
  </si>
  <si>
    <t>ER Low Measure Carbon Emissions Reduction, Source (tons CO2/yr)</t>
  </si>
  <si>
    <t>ER High Measure Carbon Emissions Reduction, Source (tons CO2/yr)</t>
  </si>
  <si>
    <t>ER High Measure Carbon Emissions Reduction, Site (tons CO2/yr)</t>
  </si>
  <si>
    <t>ROF Low Measure Carbon Emissions Reduction, Source (tons CO2/yr)</t>
  </si>
  <si>
    <t>ROF High Measure Carbon Emissions Reduction, Source (tons CO2/yr)</t>
  </si>
  <si>
    <t>Coincidence Factor, Winter (CFwp)</t>
  </si>
  <si>
    <t>Coincidence Factor, Winter Peak (CFwp)</t>
  </si>
  <si>
    <t>Consumption from EERE-2014-BT-STD-0031-0217, p. 7-12, Table 7.4.1 divided by the average EFLH from 2018-2018 MA TRM.</t>
  </si>
  <si>
    <t>Consumption from the DOE 2015 Residential Boilers Technical Support Document, Table 7.4.1 divided by the average EFLH from the 2016-2018 MA TRM.</t>
  </si>
  <si>
    <t>Residential CF from RES 1</t>
  </si>
  <si>
    <t>The selected peak demand is the greatest of the two options: heat pump or baseboard heat.</t>
  </si>
  <si>
    <t>Maximum Heating Peak Demand</t>
  </si>
  <si>
    <t>Winter Peak Demand (kW)</t>
  </si>
  <si>
    <t>Source Fuel Consumption Factors - Current</t>
  </si>
  <si>
    <t>Summer Peak Demand (kW)</t>
  </si>
  <si>
    <t>Home Energy Services (HES) Impact Evaluation (RES 34) Engineering Algorithm Workbook Ex Post Furnace Heating Load</t>
  </si>
  <si>
    <t>Home Energy Services (HES) Impact Evaluation (RES 34) Engineering Algorithm Workbook HES Ex Post Furnace Heating Load</t>
  </si>
  <si>
    <t>Assume the fan runs 25% of the time when it is cold enough to run the furnace (the burner generally runs slightly less often).</t>
  </si>
  <si>
    <t>Assume the electric equipment (blower, pumps, etc.) runs 25% of the time when it is cold enough to run the furnace (the burner generally runs slightly less often).</t>
  </si>
  <si>
    <t>Baseline Electric Baseline Winter Peak Demand (kW)</t>
  </si>
  <si>
    <t>Code Electric Winter Peak Demand (kW)</t>
  </si>
  <si>
    <t>Baseline Electric Winter Peak Demand (kW)</t>
  </si>
  <si>
    <t>Code (old fuel) Electric Winter Peak Demand (kW)</t>
  </si>
  <si>
    <t>Code (new fuel) Electric Winter Peak Demand (kW)</t>
  </si>
  <si>
    <t>Low Measure Electric Winter Peak Demand (kW)</t>
  </si>
  <si>
    <t>High Measure Electric Winter Peak Demand (kW)</t>
  </si>
  <si>
    <t>ER Low Measure Electric Winter Peak Demand Savings (kW)</t>
  </si>
  <si>
    <t>ER High Measure Electric Winter Peak Demand Savings (kW)</t>
  </si>
  <si>
    <t>ROF Low Measure Electric Winter Peak Demand Savings (kW)</t>
  </si>
  <si>
    <t>ROF High Measure Electric Winter Peak Demand Savings (kW)</t>
  </si>
  <si>
    <t>Baseline Electric Baseline Summer Peak Demand (kW)</t>
  </si>
  <si>
    <t>Code Electric Summer Peak Demand (kW)</t>
  </si>
  <si>
    <t>Consumption in the summer is only for water heating.</t>
  </si>
  <si>
    <t>The peak demand is assumed to be nearly zero.</t>
  </si>
  <si>
    <t>Baseline Winter Electric Demand</t>
  </si>
  <si>
    <t>Code Winter Electric Demand</t>
  </si>
  <si>
    <t>Baseline Summer Electric Demand</t>
  </si>
  <si>
    <t>Code Summer Electric Demand</t>
  </si>
  <si>
    <t>Coincidence Factor, Summer Peak (CFsp)</t>
  </si>
  <si>
    <t>Code (new fuel) Electric Summer Peak Demand (kW)</t>
  </si>
  <si>
    <t>Low Measure Electric Summer Peak Demand (kW)</t>
  </si>
  <si>
    <t>High Measure Electric Summer Peak Demand (kW)</t>
  </si>
  <si>
    <t>ER Low Measure Electric Summer Peak Demand Savings (kW)</t>
  </si>
  <si>
    <t>Baseline Electric Summer Peak Demand (kW)</t>
  </si>
  <si>
    <t>ER High Measure Electric Summer Peak Demand Savings (kW)</t>
  </si>
  <si>
    <t>ROF Low Measure Electric Summer Peak Demand Savings (kW)</t>
  </si>
  <si>
    <t>ROF High Measure Electric Summer Peak Demand Savings (kW)</t>
  </si>
  <si>
    <t>Current ER Low Measure Coal Source Fuel Savings (lbs coal/year)</t>
  </si>
  <si>
    <t>Current ER Low Measure Oil Total Fuel Savings (gallons oil/year)</t>
  </si>
  <si>
    <t>Current ER Low Measure Gas Total Fuel Savings (1,000 cu.ft. gas/year)</t>
  </si>
  <si>
    <t>Current ER High Measure Coal Source Fuel Savings (lbs coal/year)</t>
  </si>
  <si>
    <t>Current ER High Measure Oil Total Fuel Savings (gallons oil/year)</t>
  </si>
  <si>
    <t>Current ER High Measure Gas Total Fuel Savings (1,000 cu.ft. gas/year)</t>
  </si>
  <si>
    <t>Current ROF Low Measure Coal Source Heat Savings (MMBtu/year)</t>
  </si>
  <si>
    <t>Current ROF Low Measure Coal Source Fuel Savings (lbs coal/year)</t>
  </si>
  <si>
    <t>Current ROF Low Measure Oil Source Heat Savings (MMBtu/year)</t>
  </si>
  <si>
    <t>Current ROF Low Measure Oil Source Fuel Savings (gallons oil/year)</t>
  </si>
  <si>
    <t>Current ROF Low Measure Oil Site Fuel Savings (gallons oil/year)</t>
  </si>
  <si>
    <t>Current ROF Low Measure Oil Total Fuel Savings (gallons oil/year)</t>
  </si>
  <si>
    <t>Current ROF Low Measure Gas Source Heat Savings (MMBtu/year)</t>
  </si>
  <si>
    <t>Current ROF Low Measure Gas Source Fuel Savings (1,000 cu.ft. gas/year)</t>
  </si>
  <si>
    <t>Current ROF Low Measure Gas Site Fuel Savings (1,000 cu.ft gas/year)</t>
  </si>
  <si>
    <t>Current ROF Low Measure Gas Total Fuel Savings (1,000 cu.ft. gas/year)</t>
  </si>
  <si>
    <t>Current ROF High Measure Coal Source Heat Savings (MMBtu/year)</t>
  </si>
  <si>
    <t>Current ROF High Measure Coal Source Fuel Savings (lbs coal/year)</t>
  </si>
  <si>
    <t>Current ROF High Measure Oil Source Heat Savings (MMBtu/year)</t>
  </si>
  <si>
    <t>Current ROF High Measure Oil Source Fuel Savings (gallons oil/year)</t>
  </si>
  <si>
    <t>Current ROF High Measure Oil Site Fuel Savings (gallons oil/year)</t>
  </si>
  <si>
    <t>Current ROF High Measure Oil Total Fuel Savings (gallons oil/year)</t>
  </si>
  <si>
    <t>Current ROF High Measure Gas Source Heat Savings (MMBtu/year)</t>
  </si>
  <si>
    <t>Current ROF High Measure Gas Source Fuel Savings (1,000 cu.ft. gas/year)</t>
  </si>
  <si>
    <t>Current ROF High Measure Gas Site Fuel Savings (1,000 cu.ft gas/year)</t>
  </si>
  <si>
    <t>Current ROF High Measure Gas Total Fuel Savings (1,000 cu.ft. gas/year)</t>
  </si>
  <si>
    <t>CES ER Low Measure Coal Source Heat Savings (MMBtu/year)</t>
  </si>
  <si>
    <t>CES ER Low Measure Coal Source Fuel Savings (lbs coal/year)</t>
  </si>
  <si>
    <t>CES ER Low Measure Oil Source Heat Savings (MMBtu/year)</t>
  </si>
  <si>
    <t>CES ER Low Measure Oil Source Fuel Savings (gallons oil/year)</t>
  </si>
  <si>
    <t>CES ER Low Measure Oil Site Fuel Savings (gallons oil/year)</t>
  </si>
  <si>
    <t>CES ER Low Measure Oil Total Fuel Savings (gallons oil/year)</t>
  </si>
  <si>
    <t>CES ER Low Measure Gas Source Heat Savings (MMBtu/year)</t>
  </si>
  <si>
    <t>CES ER Low Measure Gas Source Fuel Savings (1,000 cu.ft. gas/year)</t>
  </si>
  <si>
    <t>CES ER Low Measure Gas Site Fuel Savings (1,000 cu.ft gas/year)</t>
  </si>
  <si>
    <t>CES ER Low Measure Gas Total Fuel Savings (1,000 cu.ft. gas/year)</t>
  </si>
  <si>
    <t>CES ER High Measure Coal Source Heat Savings (MMBtu/year)</t>
  </si>
  <si>
    <t>CES ER High Measure Coal Source Fuel Savings (lbs coal/year)</t>
  </si>
  <si>
    <t>CES ER High Measure Oil Source Heat Savings (MMBtu/year)</t>
  </si>
  <si>
    <t>CES ER High Measure Oil Source Fuel Savings (gallons oil/year)</t>
  </si>
  <si>
    <t>CES ER High Measure Oil Site Fuel Savings (gallons oil/year)</t>
  </si>
  <si>
    <t>CES ER High Measure Oil Total Fuel Savings (gallons oil/year)</t>
  </si>
  <si>
    <t>CES ER High Measure Gas Source Heat Savings (MMBtu/year)</t>
  </si>
  <si>
    <t>CES ER High Measure Gas Source Fuel Savings (1,000 cu.ft. gas/year)</t>
  </si>
  <si>
    <t>CES ER High Measure Gas Site Fuel Savings (1,000 cu.ft gas/year)</t>
  </si>
  <si>
    <t>CES ER High Measure Gas Total Fuel Savings (1,000 cu.ft. gas/year)</t>
  </si>
  <si>
    <t>Replace On Failure - Current Site and Source Fuel Savings</t>
  </si>
  <si>
    <t>Some measures calculated in this model use heat pumps alongside other heating equipment.</t>
  </si>
  <si>
    <t>Considering the discussion above and the results in Ductless Mini‐Split Heat Pump Impact Evaluation (CADMUS, December 30, 2016), we suggest the following switchover temperatures:</t>
  </si>
  <si>
    <t>In those cases, the heat pump is assumed to run down to a certain switchover temperature, at which point it shuts down and the other heating equipment turns on to provide all of the home's heating needs.</t>
  </si>
  <si>
    <t>In calculating the minimum temperature, we conservatively assumed that the heating capacity of the heat pump degrades by 25% at low temperatures (that is, a 2.5 ton HP is assumed to provide 1.875 ton of heating at low temperatures).</t>
  </si>
  <si>
    <t>To determine the minimum switchover temperature, we considered the minimum temperature at which a 2.5 ton HP could provide all heating needs for a house with a heating load of 70 MMBtu/yr.</t>
  </si>
  <si>
    <t>For temperatures below 15°F, the hourly heating load of the home (in Btu/h) is greater than the estimated capacity of 1.875 ton, so the 2.5 ton HP would no longer suffice.</t>
  </si>
  <si>
    <r>
      <t xml:space="preserve">Therefore, </t>
    </r>
    <r>
      <rPr>
        <b/>
        <sz val="8"/>
        <color rgb="FF648C1A"/>
        <rFont val="Arial"/>
        <family val="2"/>
      </rPr>
      <t>we recommend selecting fuel switchover temperatures greater than or equal to 15°F</t>
    </r>
    <r>
      <rPr>
        <sz val="8"/>
        <color rgb="FF648C1A"/>
        <rFont val="Arial"/>
        <family val="2"/>
      </rPr>
      <t>.</t>
    </r>
  </si>
  <si>
    <r>
      <t xml:space="preserve">Based on those considerations, </t>
    </r>
    <r>
      <rPr>
        <b/>
        <sz val="8"/>
        <color rgb="FF648C1A"/>
        <rFont val="Arial"/>
        <family val="2"/>
      </rPr>
      <t>we recommend selecting fuel switchover temperatures less than or equal to 50°F</t>
    </r>
    <r>
      <rPr>
        <sz val="8"/>
        <color rgb="FF648C1A"/>
        <rFont val="Arial"/>
        <family val="2"/>
      </rPr>
      <t>.</t>
    </r>
  </si>
  <si>
    <t>We then compared the 1.875 ton value to the heating loads calculated in the Heat Pump Analysis, and found that the lowest temperature at which a 2.5 ton HP would be able to provide all heating needs of a 70 MMBtu/yr house is 15°F.</t>
  </si>
  <si>
    <t>High switchover temperatures would translate into very little heat pump usage, which would make the payback period very long.</t>
  </si>
  <si>
    <t>Therefore, we assume that consumers would only install heat pumps if they could use them in the fall, spring and part of the winter, thus ensuring usage for a significant portion of the heating season.</t>
  </si>
  <si>
    <t>Heat Pumps Operating with Additional Heating Equipment (Boiler, Furnace or Electric Baseboard Heat)</t>
  </si>
  <si>
    <t>Internal Supplemental Electric Resistance Heat</t>
  </si>
  <si>
    <t>The COP curves developed for the heat pumps in this model account for any electric supplemental heat sold as part of the heat pump package.</t>
  </si>
  <si>
    <t>Note: for measures that include additional heating equipment, the electric resistance supplemental heat is only accounted for if the Resistance Heat Switchover Temperature is greater than the fuel switchover temperature.</t>
  </si>
  <si>
    <t>The model also offers the option to set a switchover temperature for the internal electric resistance heat. For temperatures below that switchover temperature, the COP is assumed to have a value of 1 regardless of the calculated value in the COP curve.</t>
  </si>
  <si>
    <r>
      <t xml:space="preserve">Because the COP curve already accounts for some internal electric resistance supplemental heat, we recommend selecting a low Resistance Heat Switchover Temperature. Since 5°F is the lowest performance point reported in the NEEP database, </t>
    </r>
    <r>
      <rPr>
        <b/>
        <sz val="8"/>
        <color rgb="FF648C1A"/>
        <rFont val="Arial"/>
        <family val="2"/>
      </rPr>
      <t>we recommend selecting a Resistance Heat Switchover Temperature less than or equal to 5°F</t>
    </r>
    <r>
      <rPr>
        <sz val="8"/>
        <color rgb="FF648C1A"/>
        <rFont val="Arial"/>
        <family val="2"/>
      </rPr>
      <t>.</t>
    </r>
  </si>
  <si>
    <t>- Gas Switchover Temperature: 50°F</t>
  </si>
  <si>
    <t>- Oil Switchover Temperature: 30°F</t>
  </si>
  <si>
    <t>- Propane Switchover Temperature: 15°F</t>
  </si>
  <si>
    <t>- Electric Baseboard Switchover Temperature: 15°F</t>
  </si>
  <si>
    <t>°F</t>
  </si>
  <si>
    <t>Temperature, °F</t>
  </si>
  <si>
    <t>Note: generally, the more expensive the fuel, the lower the switchover temperature should be. Therefore, future model users should consider the fuel and electricity costs at the time of use when selecting the switchover temperatures.</t>
  </si>
  <si>
    <t>Overall Heat Pump Efficiency Factor</t>
  </si>
  <si>
    <t>- Resistance Heat Switchover Temperature: 0°F</t>
  </si>
  <si>
    <t>Efficiency correction factor to account for sub-optimal performance of the heat pump. Applied to all heat pump measures, including the ones with an additional source of heating. This factor multiplies the COP of the heat pump in consumption calculations. Lower factor values lead to lower efficiency.</t>
  </si>
  <si>
    <t>16 SEER/8.5 HSPF</t>
  </si>
  <si>
    <t>18 SEER/10.0 HSPF</t>
  </si>
  <si>
    <t>20 SEER/12.0 HSPF</t>
  </si>
  <si>
    <t>14 SEER/11.7 EER/8.2 HSPF</t>
  </si>
  <si>
    <t>15 SEER/12 EER/8.2 HSPF</t>
  </si>
  <si>
    <t>Baseline Fuel</t>
  </si>
  <si>
    <t>Replacement Fuel</t>
  </si>
  <si>
    <t>Original Fuel Baseline Efficiency</t>
  </si>
  <si>
    <t>Original Fuel Code Efficiency</t>
  </si>
  <si>
    <t>Replacement Fuel Low Tier Efficiency</t>
  </si>
  <si>
    <t>Replacement Fuel High Tier Efficiency</t>
  </si>
  <si>
    <t>Measure Definition</t>
  </si>
  <si>
    <t>Data Slicers</t>
  </si>
  <si>
    <t>Measure Results - Graphs</t>
  </si>
  <si>
    <t>Select which results you would like to see here. To use the slicers:</t>
  </si>
  <si>
    <t>- Hold Ctrl to select more than one button. Hold Shift to select all buttons within an interval.</t>
  </si>
  <si>
    <t>- Click on a button to filter the data. The data corresponding to the selected buttons will appear on the graphs and the table.</t>
  </si>
  <si>
    <t>- If all of the buttons are active, all of the data will be shown in the graphs and table.</t>
  </si>
  <si>
    <t>- Click the "Clear Filter" button to reactivate all options on a slicer. This will show all of the data.</t>
  </si>
  <si>
    <t>Note that all slicers update when the user makes a selection (certain options may become unavailable if that combination of values does not exist in the dataset).</t>
  </si>
  <si>
    <t>Select the data you would like to investigate using the Data Slicers.</t>
  </si>
  <si>
    <t>For an at-a-glance perspective, refer to the Measure Results - Graphs section.</t>
  </si>
  <si>
    <t>For a more in-depth perspective, refer to the Measure Results - Table section.</t>
  </si>
  <si>
    <t>For the specifics of each calculation, refer to the Measure List tab.</t>
  </si>
  <si>
    <t>Measure Results - Table</t>
  </si>
  <si>
    <t>Electricity, at generation source</t>
  </si>
  <si>
    <t>MWH</t>
  </si>
  <si>
    <t>Electricity, at site (incl. T&amp;D loss)</t>
  </si>
  <si>
    <t>Electricity at generation source, multiplied by T&amp;D Loss Factor</t>
  </si>
  <si>
    <t>Source Fuel Consumption Factors - 2025 Forecast under Clean Energy Standard</t>
  </si>
  <si>
    <t>Assumed same as 2018</t>
  </si>
  <si>
    <t>Source Fuel Consumption per kWh of Site Electric Consumption, 2025</t>
  </si>
  <si>
    <t>Source Heat Input per kWh of Site Electric Consumption, 2025</t>
  </si>
  <si>
    <t>Portion of Electric Generation, by Fuel Type, 2025</t>
  </si>
  <si>
    <t>Portion of Electric Generation, by Fuel Type, 2018</t>
  </si>
  <si>
    <t>Heat Rate of Generation, by Fuel Type, 2018</t>
  </si>
  <si>
    <t>Heat Value of Fuel, by Fuel Type, 2018</t>
  </si>
  <si>
    <t>Source Heat Input per kWh of Site Electric Consumption, 2018</t>
  </si>
  <si>
    <t>Source Fuel Consumption per kWh of Site Electric Consumption, 2018</t>
  </si>
  <si>
    <t>Early Replacement - 2025 Site and Source Fuel Savings</t>
  </si>
  <si>
    <t>Capacity Factor, Summer Peak (CFsp)</t>
  </si>
  <si>
    <t>Baseline Electric Winter Demand</t>
  </si>
  <si>
    <t>Code Electric Winter Demand</t>
  </si>
  <si>
    <t>Baseline Electric Summer Demand</t>
  </si>
  <si>
    <t>Code Electric Summer Demand</t>
  </si>
  <si>
    <t>Source: Assume same CFsp as res. furnaces. MA TRM 2016-2018, p.120, Impact Factors</t>
  </si>
  <si>
    <t>Source: Assume same CFsp as HPWH. MA TRM 2016-2018, p.194, Impact Factors</t>
  </si>
  <si>
    <t>Code kW Winter Demand</t>
  </si>
  <si>
    <t>Low Measure kW Winter Demand</t>
  </si>
  <si>
    <t>kW = CF * kWh / operating hours</t>
  </si>
  <si>
    <t>Code kW Summer Demand</t>
  </si>
  <si>
    <t>Low Measure kW Summer Demand</t>
  </si>
  <si>
    <t>Low Measure Electric Winter Demand</t>
  </si>
  <si>
    <t>High Measure Electric Winter Demand</t>
  </si>
  <si>
    <t>Low Measure Electric Summer Demand</t>
  </si>
  <si>
    <t>High Measure Electric Summer Demand</t>
  </si>
  <si>
    <t>High Measure kW Winter Demand</t>
  </si>
  <si>
    <t>High Measure kW Summer Demand</t>
  </si>
  <si>
    <t>Source: Assume same CFwp and CFsp as HPWH. MA TRM 2016-2018, p.194, Impact Factors</t>
  </si>
  <si>
    <t>kW = CFsp * kWh / operating hours</t>
  </si>
  <si>
    <t>UEF (market baseline)</t>
  </si>
  <si>
    <t>RES19 Task 7 analysis showed conversion of 0.55 EF ~= 0.58 UEF.</t>
  </si>
  <si>
    <t>https://www.regulations.gov/document?D=EERE-2006-STD-0129-0149</t>
  </si>
  <si>
    <t>DOE's 2010  WH rule saw plurality of oil WHs at 0.54-0.55 EF.</t>
  </si>
  <si>
    <t>DOE Technical Support Document, Page 3-39, Figure 3.2.15.</t>
  </si>
  <si>
    <t xml:space="preserve">Water heater characterization in RES19 study estimated </t>
  </si>
  <si>
    <t>a code-level baseline of 0.63 UEF for propane storage WH.</t>
  </si>
  <si>
    <t>2016-2018 MA TRM p. 187 shows propane storage baseline of 0.55 EF</t>
  </si>
  <si>
    <t>No analysis of propane tankless WH installed base is available.</t>
  </si>
  <si>
    <t xml:space="preserve">The baseline level is estimated as the market baseline </t>
  </si>
  <si>
    <t xml:space="preserve">for propane tankless WH (0.79 UEF) with a 90% de-rating factor to </t>
  </si>
  <si>
    <t>account for inefficiencies due to model age.</t>
  </si>
  <si>
    <t>0.55 UEF</t>
  </si>
  <si>
    <t>0.60 UEF</t>
  </si>
  <si>
    <t>0.66 UEF</t>
  </si>
  <si>
    <t>Blend of efficiencies for medium- and high-draw WH types.</t>
  </si>
  <si>
    <t>Cooling, Heating, and Water Heating Loads</t>
  </si>
  <si>
    <t>Cadmus (2015) High Efficiency Heating Equipment Impact Evaluation reports combination boilers have typical heating loads that are 19% lower than standard boiler loads. p.6. http://ma-eeac.org/wordpress/wp-content/uploads/High-Efficiency-Heating-Equipment-Impact-Evaluation-Final-Report.pdf</t>
  </si>
  <si>
    <t>Installation Cost</t>
  </si>
  <si>
    <t>Considers replacement of A/C system with HP system</t>
  </si>
  <si>
    <t>$/ton</t>
  </si>
  <si>
    <t>Code HP cost</t>
  </si>
  <si>
    <t>Low Measure HP cost</t>
  </si>
  <si>
    <t>High Measure HP cost</t>
  </si>
  <si>
    <t>$ total</t>
  </si>
  <si>
    <t>Estimated cost/ton of installing replacement HP system:</t>
  </si>
  <si>
    <t>Cost/ton multiplied by system tonnage:</t>
  </si>
  <si>
    <t>Source: Preliminary results of RES 23 CAC-CHP Cost Study</t>
  </si>
  <si>
    <t>Estimated cost/ton of installing replacement HP system, since ductwork is in place:</t>
  </si>
  <si>
    <t>Considers installation of new HP system into home with existing furnace</t>
  </si>
  <si>
    <t>Total Installed Cost of A/C and Heat Pump Equipment</t>
  </si>
  <si>
    <t>Total cost/ton of 16-SEER HP</t>
  </si>
  <si>
    <t>Total cost/ton of 18-SEER HP</t>
  </si>
  <si>
    <t>Total cost/ton of A/C</t>
  </si>
  <si>
    <t>New Installation</t>
  </si>
  <si>
    <t>Replacement Installation</t>
  </si>
  <si>
    <t>$/ton cooling</t>
  </si>
  <si>
    <t xml:space="preserve">Source: RES23 AC-HP Cost Study, Review of program rebate invoices. </t>
  </si>
  <si>
    <t>Partial Displacement</t>
  </si>
  <si>
    <t xml:space="preserve">Calculated in RES19 Task 7 based on efficiency data surveyed in RES1 and consumption and installed base data from Energy Information Administration, 2015 Residential Energy Consumption Survey (RECS). Table CE4.7. Available at: https://www.eia.gov/consumption/residential/data/2015/index.php  </t>
  </si>
  <si>
    <t>Gas Line Assumptions</t>
  </si>
  <si>
    <t>Gas line costs are added to the installation costs of gas measures if the switch is set to "Yes."</t>
  </si>
  <si>
    <t>For our recommended estimate, we assume that the gas line must run 30 feet from the manifold at a cost of $20/foot.</t>
  </si>
  <si>
    <t>Cost information sources:</t>
  </si>
  <si>
    <t>- https://home.costhelper.com/install-gas-line.html</t>
  </si>
  <si>
    <t>- https://www.homeadvisor.com/cost/plumbing/install-or-repair-gas-pipes/</t>
  </si>
  <si>
    <t>Cost per linear foot</t>
  </si>
  <si>
    <t>Distance covered by the gas line</t>
  </si>
  <si>
    <t>User input: the distance covered by the new gas line. This varies widely with the specifics of the site. We assume 30 feet as an average case.</t>
  </si>
  <si>
    <t>User input: set to "Yes" to include the cost of installing a gas line in the gas measure installation costs.</t>
  </si>
  <si>
    <t>Include gas line costs in measure costs?</t>
  </si>
  <si>
    <t>$/ft</t>
  </si>
  <si>
    <t>User input: cost per unit length of gas piping. Includes labor and supplies.</t>
  </si>
  <si>
    <t>ft</t>
  </si>
  <si>
    <t>Total estimated gas line costs</t>
  </si>
  <si>
    <t>$</t>
  </si>
  <si>
    <t>Include gas line costs?</t>
  </si>
  <si>
    <t>Gas line costs</t>
  </si>
  <si>
    <t>Code Level Installed Equipment Costs</t>
  </si>
  <si>
    <t>Low Measure Installed Equipment Costs</t>
  </si>
  <si>
    <t>High Measure Installed Equipment Costs</t>
  </si>
  <si>
    <t>Equipment Installed Costs</t>
  </si>
  <si>
    <t>Installed Equipment Costs</t>
  </si>
  <si>
    <t>Code (old fuel) Electric Summer Peak Demand (kW)</t>
  </si>
  <si>
    <t>Replacement Type</t>
  </si>
  <si>
    <t>Measure Life</t>
  </si>
  <si>
    <t>Propane/Oil to Electric</t>
  </si>
  <si>
    <t>Propane/Oil to Gas</t>
  </si>
  <si>
    <t>Cost of System Integration (USD)</t>
  </si>
  <si>
    <t>Cost of Electrical Upgrade (USD)</t>
  </si>
  <si>
    <t>Total Resource Cost, High Measure (USD)</t>
  </si>
  <si>
    <t>Equipment Removal Cost</t>
  </si>
  <si>
    <t>Onsite costs</t>
  </si>
  <si>
    <t>Street line to site costs</t>
  </si>
  <si>
    <t>New gas service line</t>
  </si>
  <si>
    <t>User input: cost to install a line from the street to the customer premises.</t>
  </si>
  <si>
    <t>Electrical System Upgrade</t>
  </si>
  <si>
    <t>Electrical Installation Costs</t>
  </si>
  <si>
    <t>Equipment Disposal Costs</t>
  </si>
  <si>
    <t>Equipment Disposal Cost</t>
  </si>
  <si>
    <t>Cost of systems integration</t>
  </si>
  <si>
    <t>User input: Cost to have the contractor make the heat pump and fuel-burning heating system operate in a synchronized fashion.</t>
  </si>
  <si>
    <t>Cost of system integration</t>
  </si>
  <si>
    <t>Cost of electrical upgrade</t>
  </si>
  <si>
    <t>Assumed Gas Line Extension Costs</t>
  </si>
  <si>
    <t>Assumed Equipment Removal Cost</t>
  </si>
  <si>
    <t>Summary Output Table for BCR Model</t>
  </si>
  <si>
    <r>
      <t xml:space="preserve">The data tables in this sheet are assembled by referencing tables in the </t>
    </r>
    <r>
      <rPr>
        <b/>
        <sz val="8"/>
        <color rgb="FF648C1A"/>
        <rFont val="Arial"/>
        <family val="2"/>
      </rPr>
      <t xml:space="preserve">Measure List </t>
    </r>
    <r>
      <rPr>
        <sz val="8"/>
        <color rgb="FF648C1A"/>
        <rFont val="Arial"/>
        <family val="2"/>
      </rPr>
      <t xml:space="preserve">tab and the </t>
    </r>
    <r>
      <rPr>
        <b/>
        <sz val="8"/>
        <color rgb="FF648C1A"/>
        <rFont val="Arial"/>
        <family val="2"/>
      </rPr>
      <t>Equipment Definitions</t>
    </r>
    <r>
      <rPr>
        <sz val="8"/>
        <color rgb="FF648C1A"/>
        <rFont val="Arial"/>
        <family val="2"/>
      </rPr>
      <t xml:space="preserve"> tab.</t>
    </r>
  </si>
  <si>
    <t xml:space="preserve">This list contains key output fields that the PAs requested as inputs for the BCR models. </t>
  </si>
  <si>
    <t>The data tables in this sheet are dynamic, and they update automatically when data in the source tables is changed.</t>
  </si>
  <si>
    <t>Savings Stream</t>
  </si>
  <si>
    <t>EE</t>
  </si>
  <si>
    <t>MEAS31</t>
  </si>
  <si>
    <t>Retire</t>
  </si>
  <si>
    <t>Early Replacement Total (Retire + EE) - Consumption and Cost Savings</t>
  </si>
  <si>
    <t>ER Total Low Measure Energy Cost Savings (USD/yr)</t>
  </si>
  <si>
    <t>ER Total Low Measure Electric Annual Consumption Savings (kWh/yr)</t>
  </si>
  <si>
    <t>ER Total Low Measure Electric Winter Peak Demand Savings (kW)</t>
  </si>
  <si>
    <t>ER Total Low Measure Electric Summer Peak Demand Savings (kW)</t>
  </si>
  <si>
    <t>ER Total Low Measure Natural Gas Annual Consumption Savings (therms/yr)</t>
  </si>
  <si>
    <t>ER Total Low Measure Propane Annual Consumption Savings (MMBtu/yr)</t>
  </si>
  <si>
    <t>ER Total Low Measure Oil Annual Consumption Savings (MMBtu/yr)</t>
  </si>
  <si>
    <t>ER Total Low Measure Annual Energy Savings on MMBtu Basis (MMBtu/yr)</t>
  </si>
  <si>
    <t>ER Total Low Measure Carbon Emissions Reduction, Site (tons CO2/yr)</t>
  </si>
  <si>
    <t>ER Total Low Measure Carbon Emissions Reduction, Source (tons CO2/yr)</t>
  </si>
  <si>
    <t>ER Total High Measure Energy Cost Savings (USD/yr)</t>
  </si>
  <si>
    <t>ER Total High Measure Electric Annual Consumption Savings (kWh/yr)</t>
  </si>
  <si>
    <t>ER Total High Measure Electric Winter Peak Demand Savings (kW)</t>
  </si>
  <si>
    <t>ER Total High Measure Electric Summer Peak Demand Savings (kW)</t>
  </si>
  <si>
    <t>ER Total High Measure Natural Gas Annual Consumption Savings (therms/yr)</t>
  </si>
  <si>
    <t>ER Total High Measure Propane Annual Consumption Savings (MMBtu/yr)</t>
  </si>
  <si>
    <t>ER Total High Measure Oil Annual Consumption Savings (MMBtu/yr)</t>
  </si>
  <si>
    <t>ER Total High Measure Annual Energy Savings on MMBtu Basis (MMBtu/yr)</t>
  </si>
  <si>
    <t>ER Total High Measure Carbon Emissions Reduction, Site (tons CO2/yr)</t>
  </si>
  <si>
    <t>ER Total High Measure Carbon Emissions Reduction, Source (tons CO2/yr)</t>
  </si>
  <si>
    <t>Early Replacement (Retire) - Consumption and Cost Savings</t>
  </si>
  <si>
    <t>Baseline Original Fuel to Code Original Fuel</t>
  </si>
  <si>
    <t>ER (Retire) Energy Cost Savings (USD/yr)</t>
  </si>
  <si>
    <t>ER (Retire) Electric Annual Consumption Savings (kWh/yr)</t>
  </si>
  <si>
    <t>ER (Retire) Electric Winter Peak Demand Savings (kW)</t>
  </si>
  <si>
    <t>ER (Retire) Electric Summer Peak Demand Savings (kW)</t>
  </si>
  <si>
    <t>ER (Retire) Natural Gas Annual Consumption Savings (therms/yr)</t>
  </si>
  <si>
    <t>ER (Retire) Propane Annual Consumption Savings (MMBtu/yr)</t>
  </si>
  <si>
    <t>ER (Retire) Oil Annual Consumption Savings (MMBtu/yr)</t>
  </si>
  <si>
    <t>ER (Retire) Annual Energy Savings on MMBtu Basis (MMBtu/yr)</t>
  </si>
  <si>
    <t>ER (Retire) Carbon Emissions Reduction, Site (tons CO2/yr)</t>
  </si>
  <si>
    <t>ER (Retire) Carbon Emissions Reduction, Source (tons CO2/yr)</t>
  </si>
  <si>
    <t>Baseline Energy Consumption on MMBtu Basis (MMBtu/yr)</t>
  </si>
  <si>
    <t>Code (old fuel) Energy Consumption on MMBtu Basis (MMBtu/yr)</t>
  </si>
  <si>
    <t>Early Replacement (EE) - Consumption and Cost Savings</t>
  </si>
  <si>
    <t>Code Original Fuel to PA Program High Efficiency Tier</t>
  </si>
  <si>
    <t>Code Original Fuel to PA Program Low Efficiency Tier</t>
  </si>
  <si>
    <t>ER (EE) Low Measure Energy Cost Savings (USD/yr)</t>
  </si>
  <si>
    <t>ER (EE) Low Measure Electric Annual Consumption Savings (kWh/yr)</t>
  </si>
  <si>
    <t>ER (EE) Low Measure Electric Winter Peak Demand Savings (kW)</t>
  </si>
  <si>
    <t>ER (EE) Low Measure Electric Summer Peak Demand Savings (kW)</t>
  </si>
  <si>
    <t>ER (EE) Low Measure Natural Gas Annual Consumption Savings (therms/yr)</t>
  </si>
  <si>
    <t>ER (EE) Low Measure Propane Annual Consumption Savings (MMBtu/yr)</t>
  </si>
  <si>
    <t>ER (EE) Low Measure Oil Annual Consumption Savings (MMBtu/yr)</t>
  </si>
  <si>
    <t>ER (EE) Low Measure Annual Energy Savings on MMBtu Basis (MMBtu/yr)</t>
  </si>
  <si>
    <t>ER (EE) Low Measure Carbon Emissions Reduction, Site (tons CO2/yr)</t>
  </si>
  <si>
    <t>ER (EE) Low Measure Carbon Emissions Reduction, Source (tons CO2/yr)</t>
  </si>
  <si>
    <t>ER (EE) High Measure Energy Cost Savings (USD/yr)</t>
  </si>
  <si>
    <t>ER (EE) High Measure Electric Annual Consumption Savings (kWh/yr)</t>
  </si>
  <si>
    <t>ER (EE) High Measure Electric Winter Peak Demand Savings (kW)</t>
  </si>
  <si>
    <t>ER (EE) High Measure Electric Summer Peak Demand Savings (kW)</t>
  </si>
  <si>
    <t>ER (EE) High Measure Natural Gas Annual Consumption Savings (therms/yr)</t>
  </si>
  <si>
    <t>ER (EE) High Measure Propane Annual Consumption Savings (MMBtu/yr)</t>
  </si>
  <si>
    <t>ER (EE) High Measure Oil Annual Consumption Savings (MMBtu/yr)</t>
  </si>
  <si>
    <t>ER (EE) High Measure Annual Energy Savings on MMBtu Basis (MMBtu/yr)</t>
  </si>
  <si>
    <t>ER (EE) High Measure Carbon Emissions Reduction, Site (tons CO2/yr)</t>
  </si>
  <si>
    <t>ER (EE) High Measure Carbon Emissions Reduction, Source (tons CO2/yr)</t>
  </si>
  <si>
    <t>Code (new fuel) Energy Consumption on MMBtu Basis (MMBtu/yr)</t>
  </si>
  <si>
    <t>Low Measure Energy Consumption on MMBtu Basis (MMBtu/yr)</t>
  </si>
  <si>
    <t>High Measure Energy Consumption on MMBtu Basis (MMBtu/yr)</t>
  </si>
  <si>
    <t>New Unit Equipment Life (years)</t>
  </si>
  <si>
    <t>Original Fuel Code-Level to PA Program Low Efficiency Tier</t>
  </si>
  <si>
    <t>Original Fuel Code-Level to PA Program High Efficiency Tier</t>
  </si>
  <si>
    <t>ROF Low Measure Natural Gas Annual Consumption Savings (therms/yr)</t>
  </si>
  <si>
    <t>ROF Low Measure Propane Annual Consumption Savings (MMBtu/yr)</t>
  </si>
  <si>
    <t>ROF Low Measure Oil Annual Consumption Savings (MMBtu/yr)</t>
  </si>
  <si>
    <t>ROF High Measure Natural Gas Annual Consumption Savings (therms/yr)</t>
  </si>
  <si>
    <t>ROF High Measure Propane Annual Consumption Savings (MMBtu/yr)</t>
  </si>
  <si>
    <t>ROF High Measure Oil Annual Consumption Savings (MMBtu/yr)</t>
  </si>
  <si>
    <t>Replace On Failure - 2025 Site and Source Fuel Savings</t>
  </si>
  <si>
    <t>CES ROF Low Measure Coal Source Heat Savings (MMBtu/year)</t>
  </si>
  <si>
    <t>CES ROF Low Measure Coal Source Fuel Savings (lbs coal/year)</t>
  </si>
  <si>
    <t>CES ROF Low Measure Oil Source Heat Savings (MMBtu/year)</t>
  </si>
  <si>
    <t>CES ROF Low Measure Oil Source Fuel Savings (gallons oil/year)</t>
  </si>
  <si>
    <t>CES ROF Low Measure Oil Site Fuel Savings (gallons oil/year)</t>
  </si>
  <si>
    <t>CES ROF Low Measure Oil Total Fuel Savings (gallons oil/year)</t>
  </si>
  <si>
    <t>CES ROF Low Measure Gas Source Heat Savings (MMBtu/year)</t>
  </si>
  <si>
    <t>CES ROF Low Measure Gas Source Fuel Savings (1,000 cu.ft. gas/year)</t>
  </si>
  <si>
    <t>CES ROF Low Measure Gas Site Fuel Savings (1,000 cu.ft gas/year)</t>
  </si>
  <si>
    <t>CES ROF Low Measure Gas Total Fuel Savings (1,000 cu.ft. gas/year)</t>
  </si>
  <si>
    <t>CES ROF High Measure Coal Source Heat Savings (MMBtu/year)</t>
  </si>
  <si>
    <t>CES ROF High Measure Coal Source Fuel Savings (lbs coal/year)</t>
  </si>
  <si>
    <t>CES ROF High Measure Oil Source Heat Savings (MMBtu/year)</t>
  </si>
  <si>
    <t>CES ROF High Measure Oil Source Fuel Savings (gallons oil/year)</t>
  </si>
  <si>
    <t>CES ROF High Measure Oil Site Fuel Savings (gallons oil/year)</t>
  </si>
  <si>
    <t>CES ROF High Measure Oil Total Fuel Savings (gallons oil/year)</t>
  </si>
  <si>
    <t>CES ROF High Measure Gas Source Heat Savings (MMBtu/year)</t>
  </si>
  <si>
    <t>CES ROF High Measure Gas Source Fuel Savings (1,000 cu.ft. gas/year)</t>
  </si>
  <si>
    <t>CES ROF High Measure Gas Site Fuel Savings (1,000 cu.ft gas/year)</t>
  </si>
  <si>
    <t>CES ROF High Measure Gas Total Fuel Savings (1,000 cu.ft. gas/year)</t>
  </si>
  <si>
    <t>Measure Summary - Replace on Failure Scenario</t>
  </si>
  <si>
    <t>Measure Summary - Full/Early Replacement Scenario</t>
  </si>
  <si>
    <t>MA TRM</t>
  </si>
  <si>
    <t>No system integration because full replacement</t>
  </si>
  <si>
    <t>Consumption of the replacement HP during the heating season</t>
  </si>
  <si>
    <t>HP consumption + Backup Resistance consumption</t>
  </si>
  <si>
    <t>MEAS32</t>
  </si>
  <si>
    <t>MEAS33</t>
  </si>
  <si>
    <t>Fuel Switch - Consumption and Cost Savings</t>
  </si>
  <si>
    <t>Original Fuel Code-Level to New Fuel Code-Level</t>
  </si>
  <si>
    <t>Fuel Switch Energy Cost Savings (USD/yr)</t>
  </si>
  <si>
    <t>Fuel Switch Electric Annual Consumption Savings (kWh/yr)</t>
  </si>
  <si>
    <t>Fuel Switch Electric Winter Peak Demand Savings (kW)</t>
  </si>
  <si>
    <t>Fuel Switch Electric Summer Peak Demand Savings (kW)</t>
  </si>
  <si>
    <t>Fuel Switch Natural Gas Annual Consumption Savings (therms/yr)</t>
  </si>
  <si>
    <t>Fuel Switch Propane Annual Consumption Savings (MMBtu/yr)</t>
  </si>
  <si>
    <t>Fuel Switch Oil Annual Consumption Savings (MMBtu/yr)</t>
  </si>
  <si>
    <t>Fuel Switch Annual Energy Savings on MMBtu Basis (MMBtu/yr)</t>
  </si>
  <si>
    <t>Fuel Switch Carbon Emissions Reduction, Site (tons CO2/yr)</t>
  </si>
  <si>
    <t>Fuel Switch Carbon Emissions Reduction, Source (tons CO2/yr)</t>
  </si>
  <si>
    <t>Measure Summary - Partial Displacement Scenario</t>
  </si>
  <si>
    <t>This tab provides an abridged version of the Measure List tab with the most important results and definitions for measures in the Partial Displacement scenario.</t>
  </si>
  <si>
    <t>This tab provides an abridged version of the Measure List tab with the most important results and definitions for measures in the Replace On Failure scenario.</t>
  </si>
  <si>
    <t>User input: cost for the electrical system upgrade for DMSHP installation.</t>
  </si>
  <si>
    <t>Installation costs for central A/C and HP equipment were estimated in the RES23 study through review of a sample of program invoices</t>
  </si>
  <si>
    <t>These costs also account for electrical upgrades, ductwork modifications, and the removal/disposal of old equipment</t>
  </si>
  <si>
    <t>These costs include the cost of installing an outdoor condensing unit, an indoor air handler or coil, a thermostat, an air filter casing, and (if needed) refrigerant lines and a backup electric heater</t>
  </si>
  <si>
    <t>Gas costs in the household from the meter to the heating equipment are calculated on a per-foot basis.</t>
  </si>
  <si>
    <t>Note: This cost is not applied to Central AC and Central HP measures because installation costs for Central AC and Central HP systems already account for electrical upgrade costs</t>
  </si>
  <si>
    <t>Note: This cost is applied to measures with a boiler (and hydronics) baseline where the hydronic system is removed and not replaced.</t>
  </si>
  <si>
    <t>This cost is not applied to measures where a boiler is replaced by another boiler, since the hydronic system would remain in use.</t>
  </si>
  <si>
    <t>This cost is not applied to Central AC and Central HP measures because installation costs for those measures already account for disposal of old equipment.</t>
  </si>
  <si>
    <t>This accounts for cost of removing and disposing of hydronic system.</t>
  </si>
  <si>
    <t>User input: cost to remove existing boiler and hydronic system.</t>
  </si>
  <si>
    <t>Water Heating Load, Propane-fired WH</t>
  </si>
  <si>
    <t>Water Heating Load, Electric WH</t>
  </si>
  <si>
    <t>Early Replacement Total (Retire + EE) - Current Site and Source Fuel Savings</t>
  </si>
  <si>
    <t>Current ER Total Low Measure Coal Source Heat Savings (MMBtu/year)</t>
  </si>
  <si>
    <t>Current ER Total Low Measure Coal Source Fuel Savings (lbs coal/year)</t>
  </si>
  <si>
    <t>Current ER Total Low Measure Oil Source Heat Savings (MMBtu/year)</t>
  </si>
  <si>
    <t>Current ER Total Low Measure Oil Source Fuel Savings (gallons oil/year)</t>
  </si>
  <si>
    <t>Current ER Total Low Measure Oil Site Fuel Savings (gallons oil/year)</t>
  </si>
  <si>
    <t>Current ER Total Low Measure Oil Total Fuel Savings (gallons oil/year)</t>
  </si>
  <si>
    <t>Current ER Total Low Measure Gas Source Heat Savings (MMBtu/year)</t>
  </si>
  <si>
    <t>Current ER Total Low Measure Gas Source Fuel Savings (1,000 cu.ft. gas/year)</t>
  </si>
  <si>
    <t>Current ER Total Low Measure Gas Site Fuel Savings (1,000 cu.ft gas/year)</t>
  </si>
  <si>
    <t>Current ER Total Low Measure Gas Total Fuel Savings (1,000 cu.ft. gas/year)</t>
  </si>
  <si>
    <t>Current ER Total High Measure Coal Source Heat Savings (MMBtu/year)</t>
  </si>
  <si>
    <t>Current ER Total High Measure Coal Source Fuel Savings (lbs coal/year)</t>
  </si>
  <si>
    <t>Current ER Total High Measure Oil Source Heat Savings (MMBtu/year)</t>
  </si>
  <si>
    <t>Current ER Total High Measure Oil Source Fuel Savings (gallons oil/year)</t>
  </si>
  <si>
    <t>Current ER Total High Measure Oil Site Fuel Savings (gallons oil/year)</t>
  </si>
  <si>
    <t>Current ER Total High Measure Oil Total Fuel Savings (gallons oil/year)</t>
  </si>
  <si>
    <t>Current ER Total High Measure Gas Source Heat Savings (MMBtu/year)</t>
  </si>
  <si>
    <t>Current ER Total High Measure Gas Source Fuel Savings (1,000 cu.ft. gas/year)</t>
  </si>
  <si>
    <t>Current ER Total High Measure Gas Site Fuel Savings (1,000 cu.ft gas/year)</t>
  </si>
  <si>
    <t>Current ER Total High Measure Gas Total Fuel Savings (1,000 cu.ft. gas/year)</t>
  </si>
  <si>
    <t>Baseline to PA Program Low Efficiency Tier</t>
  </si>
  <si>
    <t>Baseline to PA Program High Efficiency Tier</t>
  </si>
  <si>
    <t>Early Replacement (Retire) - Current Site and Source Fuel Savings</t>
  </si>
  <si>
    <t>Early Replacement (EE) - Current Site and Source Fuel Savings</t>
  </si>
  <si>
    <t>Current ER (Retire) Coal Source Heat Savings (MMBtu/year)</t>
  </si>
  <si>
    <t>Current ER (Retire) Coal Source Fuel Savings (lbs coal/year)</t>
  </si>
  <si>
    <t>Current ER (Retire) Oil Source Heat Savings (MMBtu/year)</t>
  </si>
  <si>
    <t>Current ER (Retire) Oil Source Fuel Savings (gallons oil/year)</t>
  </si>
  <si>
    <t>Current ER (Retire) Oil Site Fuel Savings (gallons oil/year)</t>
  </si>
  <si>
    <t>Current ER (Retire) Oil Total Fuel Savings (gallons oil/year)</t>
  </si>
  <si>
    <t>Current ER (Retire) Gas Source Heat Savings (MMBtu/year)</t>
  </si>
  <si>
    <t>Current ER (Retire) Gas Source Fuel Savings (1,000 cu.ft. gas/year)</t>
  </si>
  <si>
    <t>Current ER (Retire) Gas Site Fuel Savings (1,000 cu.ft gas/year)</t>
  </si>
  <si>
    <t>Current ER (Retire) Gas Total Fuel Savings (1,000 cu.ft. gas/year)</t>
  </si>
  <si>
    <t>Current ER (EE) Low Measure Coal Source Heat Savings (MMBtu/year)</t>
  </si>
  <si>
    <t>Current ER (EE) Low Measure Coal Source Fuel Savings (lbs coal/year)</t>
  </si>
  <si>
    <t>Current ER (EE) Low Measure Oil Source Heat Savings (MMBtu/year)</t>
  </si>
  <si>
    <t>Current ER (EE) Low Measure Oil Source Fuel Savings (gallons oil/year)</t>
  </si>
  <si>
    <t>Current ER (EE) Low Measure Oil Site Fuel Savings (gallons oil/year)</t>
  </si>
  <si>
    <t>Current ER (EE) Low Measure Oil Fuel Savings (gallons oil/year)</t>
  </si>
  <si>
    <t>Current ER (EE) Low Measure Gas Source Heat Savings (MMBtu/year)</t>
  </si>
  <si>
    <t>Current ER (EE) Low Measure Gas Source Fuel Savings (1,000 cu.ft. gas/year)</t>
  </si>
  <si>
    <t>Current ER (EE) Low Measure Gas Site Fuel Savings (1,000 cu.ft gas/year)</t>
  </si>
  <si>
    <t>Current ER (EE) Low Measure Gas Fuel Savings (1,000 cu.ft. gas/year)</t>
  </si>
  <si>
    <t>Current ER (EE) High Measure Coal Source Heat Savings (MMBtu/year)</t>
  </si>
  <si>
    <t>Current ER (EE) High Measure Coal Source Fuel Savings (lbs coal/year)</t>
  </si>
  <si>
    <t>Current ER (EE) High Measure Oil Source Heat Savings (MMBtu/year)</t>
  </si>
  <si>
    <t>Current ER (EE) High Measure Oil Source Fuel Savings (gallons oil/year)</t>
  </si>
  <si>
    <t>Current ER (EE) High Measure Oil Site Fuel Savings (gallons oil/year)</t>
  </si>
  <si>
    <t>Current ER (EE) High Measure Oil Fuel Savings (gallons oil/year)</t>
  </si>
  <si>
    <t>Current ER (EE) High Measure Gas Source Heat Savings (MMBtu/year)</t>
  </si>
  <si>
    <t>Current ER (EE) High Measure Gas Source Fuel Savings (1,000 cu.ft. gas/year)</t>
  </si>
  <si>
    <t>Current ER (EE) High Measure Gas Site Fuel Savings (1,000 cu.ft gas/year)</t>
  </si>
  <si>
    <t>Current ER (EE) High Measure Gas Fuel Savings (1,000 cu.ft. gas/year)</t>
  </si>
  <si>
    <t>Partial Displacement - Consumption and Cost Savings</t>
  </si>
  <si>
    <t>This tab provides an abridged version of the Measure List tab with the most important results and definitions for measures in the Full Early Replacement scenario.</t>
  </si>
  <si>
    <t xml:space="preserve">Partial Displacement - Current Total (Site and Source) Fuel Savings </t>
  </si>
  <si>
    <t xml:space="preserve">Full/Early Replacement Current Total (Site and Source) Fuel Savings </t>
  </si>
  <si>
    <t>Full/Early Replacement - Consumption and Cost Savings</t>
  </si>
  <si>
    <t>Full-Early Replacement</t>
  </si>
  <si>
    <t>Replace on Failure</t>
  </si>
  <si>
    <t>This tab provides an abridged version of the Measure List tab with the most important results and definitions for measures in the Full/Early Replacement scenario.</t>
  </si>
  <si>
    <t xml:space="preserve">This credit accounts for the fact that, under an early replacement measure, customers experience the benefit of not needing to replace their existing equipment at the end of its remaining useful life. </t>
  </si>
  <si>
    <r>
      <t xml:space="preserve">These deferred replacement credits used in this analysis are calculated for each equipment type in the </t>
    </r>
    <r>
      <rPr>
        <b/>
        <sz val="8"/>
        <color rgb="FF648C1A"/>
        <rFont val="Arial"/>
        <family val="2"/>
      </rPr>
      <t>Baseline Calculations</t>
    </r>
    <r>
      <rPr>
        <sz val="8"/>
        <color rgb="FF648C1A"/>
        <rFont val="Arial"/>
        <family val="2"/>
      </rPr>
      <t xml:space="preserve"> tab of the model.</t>
    </r>
  </si>
  <si>
    <t xml:space="preserve">This credit accounts for the fact that, under an early replacement measure, customers who install new heat pump equipment experience the benefit of not needing to replace their existing A/C equipment (if they have any) at the end of its remaining useful life. </t>
  </si>
  <si>
    <t xml:space="preserve">The deferred replacement credit is not calculated for heating equipment because the heating equipment remains in service in the Partial Displacement scenario. </t>
  </si>
  <si>
    <r>
      <t xml:space="preserve">The A/C-only deferred replacement credits used in this analysis are calculated for each equipment type with an A/C baseline in the </t>
    </r>
    <r>
      <rPr>
        <b/>
        <sz val="8"/>
        <color rgb="FF648C1A"/>
        <rFont val="Arial"/>
        <family val="2"/>
      </rPr>
      <t>Baseline Calculations</t>
    </r>
    <r>
      <rPr>
        <sz val="8"/>
        <color rgb="FF648C1A"/>
        <rFont val="Arial"/>
        <family val="2"/>
      </rPr>
      <t xml:space="preserve"> tab of the model.</t>
    </r>
  </si>
  <si>
    <t>Water Heating Load, Gas- or Oil-fired WH</t>
  </si>
  <si>
    <t>Baseline A/C Inputs</t>
  </si>
  <si>
    <t>Baseline households considered in this analysis are assumed to be equipped with either room/window A/C units, a central A/C system, or no air conditioning system at all.</t>
  </si>
  <si>
    <t>For measures where the baseline provides "Cool+Heat" function, the baseline cooling consumption is calculated as a blend of these A/C types (Room A/C, Central A/C, and No A/C).</t>
  </si>
  <si>
    <t>Proportion of Homes with with Room/Window A/C</t>
  </si>
  <si>
    <t>Proportion of Homes with Central A/C</t>
  </si>
  <si>
    <t>Proportion of Homes with No A/C</t>
  </si>
  <si>
    <t xml:space="preserve">Baseline A/C Inputs </t>
  </si>
  <si>
    <t xml:space="preserve">This analysis uses as a default the saturation of these different A/C types reported in the 2017 Baseline Study for Massachusetts homes. </t>
  </si>
  <si>
    <t>Baseline A/C Blend+Oil Furnace</t>
  </si>
  <si>
    <t>Baseline A/C Blend+Propane Furnace</t>
  </si>
  <si>
    <t xml:space="preserve">CAC: 10 SEER/8.5 EER. 
Room A/C: 8 EER </t>
  </si>
  <si>
    <t>CAC: 13 SEER/11 EER; 
Room A/C: 10 EER</t>
  </si>
  <si>
    <t>Central A/C+Oil Boiler</t>
  </si>
  <si>
    <t>Central A/C+Propane Boiler</t>
  </si>
  <si>
    <t xml:space="preserve">CAC: 10 SEER/8.5 EER; 
Room A/C: 8 EER </t>
  </si>
  <si>
    <t>Room AC/No AC Blend+Oil Boiler</t>
  </si>
  <si>
    <t>Room AC/No AC Blend+Propane Boiler</t>
  </si>
  <si>
    <t>Based on a set of inputs, this section calculates a blended baseline consumption and cost for a 3-part blend (CAC, RAC, No AC) and a 2-part blend (RAC, No AC)</t>
  </si>
  <si>
    <t>Room AC Equipment ID</t>
  </si>
  <si>
    <t>Central AC Inputs</t>
  </si>
  <si>
    <t>Central AC Equipment ID</t>
  </si>
  <si>
    <t>Central A/C</t>
  </si>
  <si>
    <t>tons cooling</t>
  </si>
  <si>
    <t>Coincidence Factor for RACs, summer</t>
  </si>
  <si>
    <t>Coincidence Factor for Central ACs, summer</t>
  </si>
  <si>
    <t>Code A/C Replacement Total Installed Cost</t>
  </si>
  <si>
    <t>Code (old fuel) Installed Costs (USD)</t>
  </si>
  <si>
    <t>Code (old fuel) AC-Only Installed Costs (USD)</t>
  </si>
  <si>
    <t>Code (new fuel) Installed Costs (USD)</t>
  </si>
  <si>
    <t>Low Measure Installed Costs (USD)</t>
  </si>
  <si>
    <t>High Measure Installed Costs (USD)</t>
  </si>
  <si>
    <t>No AC Inputs</t>
  </si>
  <si>
    <t>Summer Consumption (kWh/yr)</t>
  </si>
  <si>
    <t>Winter Consumption (kWh/yr)</t>
  </si>
  <si>
    <t>n/a</t>
  </si>
  <si>
    <t>General Information</t>
  </si>
  <si>
    <t>Energy Savings</t>
  </si>
  <si>
    <t>Fuel Savings</t>
  </si>
  <si>
    <t>Heating and Cooling Breakdown</t>
  </si>
  <si>
    <t>Lookup Parameters</t>
  </si>
  <si>
    <t>Baseline Electric Winter Consumption (kWh)</t>
  </si>
  <si>
    <t>Baseline Electric Summer Consumption (kWh)</t>
  </si>
  <si>
    <t>Code Electric Winter Consumption (kWh)</t>
  </si>
  <si>
    <t>Code Electric Summer Consumption (kWh)</t>
  </si>
  <si>
    <t>Baseline Electric Winter Consumption (kWh/yr)</t>
  </si>
  <si>
    <t>Baseline Electric Summer Consumption (kWh/yr)</t>
  </si>
  <si>
    <t>Code (old fuel) Electric Winter Consumption (kWh/yr)</t>
  </si>
  <si>
    <t>Code (old fuel) Electric Summer Consumption (kWh/yr)</t>
  </si>
  <si>
    <t>Code (new fuel) Electric Winter Consumption (kWh/yr)</t>
  </si>
  <si>
    <t>Code (new fuel) Electric Summer Consumption (kWh/yr)</t>
  </si>
  <si>
    <t>Low Measure Electric Winter Consumption (kWh/yr)</t>
  </si>
  <si>
    <t>Low Measure Electric Summer Consumption (kWh/yr)</t>
  </si>
  <si>
    <t>High Measure Electric Winter Consumption (kWh/yr)</t>
  </si>
  <si>
    <t>High Measure Electric Summer Consumption (kWh/yr)</t>
  </si>
  <si>
    <t>ER Total Low Measure Electric Winter Consumption Savings (kWh/yr)</t>
  </si>
  <si>
    <t>ER Total Low Measure Electric Summer Consumption Savings (kWh/yr)</t>
  </si>
  <si>
    <t>ER Total High Measure Electric Winter Consumption Savings (kWh/yr)</t>
  </si>
  <si>
    <t>ER Total High Measure Electric Summer Consumption Savings (kWh/yr)</t>
  </si>
  <si>
    <t>ROF Low Measure Electric Winter Consumption Savings (kWh/yr)</t>
  </si>
  <si>
    <t>ROF Low Measure Electric Summer Consumption Savings (kWh/yr)</t>
  </si>
  <si>
    <t>ROF High Measure Electric Winter Consumption Savings (kWh/yr)</t>
  </si>
  <si>
    <t>ROF High Measure Electric Summer Consumption Savings (kWh/yr)</t>
  </si>
  <si>
    <t>Fuel Switch Electric Winter Consumption Savings (kWh/yr)</t>
  </si>
  <si>
    <t>Fuel Switch Electric Summer Consumption Savings (kWh/yr)</t>
  </si>
  <si>
    <t>ER (Retire) Electric Winter Consumption Savings (kWh/yr)</t>
  </si>
  <si>
    <t>ER (Retire) Electric Summer Consumption Savings (kWh/yr)</t>
  </si>
  <si>
    <t>ER (EE) Low Measure Electric Winter Consumption Savings (kWh/yr)</t>
  </si>
  <si>
    <t>ER (EE) Low Measure Electric Summer Consumption Savings (kWh/yr)</t>
  </si>
  <si>
    <t>ER (EE) High Measure Electric Winter Consumption Savings (kWh/yr)</t>
  </si>
  <si>
    <t>ER (EE) High Measure Electric Summer Consumption Savings (kWh/yr)</t>
  </si>
  <si>
    <t xml:space="preserve">Blended A/C Baselines </t>
  </si>
  <si>
    <t>2-part (Room AC, No AC)</t>
  </si>
  <si>
    <t>3-part (CAC, RAC, No AC)</t>
  </si>
  <si>
    <t>Here, weighted averages are calculated for a baseline that includes 2 or 3 baseline A/C options</t>
  </si>
  <si>
    <t>This tab does not contain any calculations, it serves only as reference sheet for the equipment definitions.</t>
  </si>
  <si>
    <t>Source: The Cadmus Group (2017). "Evaluation of Cold Climate Heat Pumps in Vermont." p.3. Available at: http://publicservice.vermont.gov/sites/dps/files/documents/Energy_Efficiency/Reports/Evaluation%20of%20Cold%20Climate%20Heat%20Pumps%20in%20Vermont.pdf</t>
  </si>
  <si>
    <r>
      <t xml:space="preserve">A recent study used </t>
    </r>
    <r>
      <rPr>
        <i/>
        <sz val="8"/>
        <color rgb="FF648C1A"/>
        <rFont val="Arial"/>
        <family val="2"/>
      </rPr>
      <t xml:space="preserve">in situ </t>
    </r>
    <r>
      <rPr>
        <sz val="8"/>
        <color rgb="FF648C1A"/>
        <rFont val="Arial"/>
        <family val="2"/>
      </rPr>
      <t>monitoring of cold-climate DMSHPs in Vermont to conclude, "The resulting average heating seasonal efficiency [of the metered systems] is approximately 90% of the average nameplate rated efficiency."</t>
    </r>
  </si>
  <si>
    <t>Measure uses blended baseline of 3 A/C options: CAC, RAC, No AC</t>
  </si>
  <si>
    <r>
      <t xml:space="preserve">Blended A/C assumptions and calculations are on </t>
    </r>
    <r>
      <rPr>
        <b/>
        <sz val="8"/>
        <rFont val="Arial"/>
        <family val="2"/>
      </rPr>
      <t xml:space="preserve">INPUTS </t>
    </r>
    <r>
      <rPr>
        <sz val="8"/>
        <rFont val="Arial"/>
        <family val="2"/>
      </rPr>
      <t>tab</t>
    </r>
  </si>
  <si>
    <t>Resulting A/C baseline values are linked below.</t>
  </si>
  <si>
    <t>Room AC Equipment Lifetime</t>
  </si>
  <si>
    <t>Room AC Remaining Useful Life</t>
  </si>
  <si>
    <t>Central AC Equipment Lifetime</t>
  </si>
  <si>
    <t>Central AC Remaining Useful Life</t>
  </si>
  <si>
    <t>Equipment Lifetime</t>
  </si>
  <si>
    <t>Remaining Useful Life</t>
  </si>
  <si>
    <t>Baseline A/C Consumption</t>
  </si>
  <si>
    <t>Code A/C Consumption</t>
  </si>
  <si>
    <t>Baseline A/C Operating Cost</t>
  </si>
  <si>
    <t>Code A/C Operating Cost</t>
  </si>
  <si>
    <t>Room AC/No AC Blend+Electric Baseboard</t>
  </si>
  <si>
    <t>Measure assumes CAC baseline and does not use a blended baseline.</t>
  </si>
  <si>
    <r>
      <t xml:space="preserve">Central A/C assumptions and calculations are on </t>
    </r>
    <r>
      <rPr>
        <b/>
        <sz val="8"/>
        <rFont val="Arial"/>
        <family val="2"/>
      </rPr>
      <t xml:space="preserve">INPUTS </t>
    </r>
    <r>
      <rPr>
        <sz val="8"/>
        <rFont val="Arial"/>
        <family val="2"/>
      </rPr>
      <t>tab</t>
    </r>
  </si>
  <si>
    <t>Measure uses blended baseline of 2 A/C options: RAC and No AC</t>
  </si>
  <si>
    <t>Partial Replacement</t>
  </si>
  <si>
    <t>The results of the baseline calculations are rolled up into the Baseline Summary section, which is referred to by each measure in the Measure List.</t>
  </si>
  <si>
    <r>
      <t xml:space="preserve">Each measure in the </t>
    </r>
    <r>
      <rPr>
        <b/>
        <sz val="8"/>
        <color rgb="FF648C1A"/>
        <rFont val="Arial"/>
        <family val="2"/>
      </rPr>
      <t xml:space="preserve">Measure List </t>
    </r>
    <r>
      <rPr>
        <sz val="8"/>
        <color rgb="FF648C1A"/>
        <rFont val="Arial"/>
        <family val="2"/>
      </rPr>
      <t>tab refers to the summary table in this sheet for baseline consumption and cost information.</t>
    </r>
  </si>
  <si>
    <t>This tab contains calculations that characterize each baseline condition considered in this analysis.</t>
  </si>
  <si>
    <t>The baseline calculations are contained below the summary table, with a separate block of calculations for each baseline condition.</t>
  </si>
  <si>
    <t>Increased Gas</t>
  </si>
  <si>
    <t>Total MMBtu</t>
  </si>
  <si>
    <t>ER Total Propane Annual Consumption Savings (MMBtu/yr)</t>
  </si>
  <si>
    <t>ER Total Oil Annual Consumption Savings (MMBtu/yr)</t>
  </si>
  <si>
    <t>ER Total Annual Energy Savings on MMBtu Basis (MMBtu/yr)</t>
  </si>
  <si>
    <t xml:space="preserve"> </t>
  </si>
  <si>
    <t>Electric Annual Consumption Savings (kWh/yr)</t>
  </si>
  <si>
    <t>Annual Energy Savings on MMBtu Basis (MMBtu/yr)</t>
  </si>
  <si>
    <t>Propane Annual Consumption Savings (MMBtu/yr)</t>
  </si>
  <si>
    <t>Oil Annual Consumption Savings (MMBtu/yr)</t>
  </si>
  <si>
    <t>Electric Heating Consumption Savings (kWh/yr)</t>
  </si>
  <si>
    <t>Electric Cooling Consumption Savings (kWh/yr)</t>
  </si>
  <si>
    <t>Electric Heating Peak Demand Savings (kW)</t>
  </si>
  <si>
    <t>Electric Cooling Peak Demand Savings (kW)</t>
  </si>
  <si>
    <t xml:space="preserve"> Natural Gas Annual Consumption Increase (MMBtu/yr)</t>
  </si>
  <si>
    <t xml:space="preserve"> Annual Energy Savings on MMBtu Basis (MMBtu/yr)</t>
  </si>
  <si>
    <t xml:space="preserve"> Propane Annual Consumption Savings (MMBtu/yr)</t>
  </si>
  <si>
    <t>Total Installed Cost ($)</t>
  </si>
  <si>
    <t>Installed Cost ($)</t>
  </si>
  <si>
    <t>Total Annual Energy Costs ($)</t>
  </si>
  <si>
    <t>Total Resource Cost (USD)</t>
  </si>
  <si>
    <t>Calculates the minimum number of room A/Cs needed to meet the total cooling load, at the RAC capacity and EFLH specified above.</t>
  </si>
  <si>
    <t>PD Low Measure Energy Cost Savings (USD/yr)</t>
  </si>
  <si>
    <t>PD Low Measure Electric Annual Consumption Savings (kWh/yr)</t>
  </si>
  <si>
    <t>PD Low Measure Electric Winter Peak Demand Savings (kW)</t>
  </si>
  <si>
    <t>PD Low Measure Electric Summer Peak Demand Savings (kW)</t>
  </si>
  <si>
    <t>PD Low Measure Annual Energy Savings on MMBtu Basis (MMBtu/yr)</t>
  </si>
  <si>
    <t>PD Low Measure Carbon Emissions Reduction, Site (tons CO2/yr)</t>
  </si>
  <si>
    <t>PD Low Measure Carbon Emissions Reduction, Source (tons CO2/yr)</t>
  </si>
  <si>
    <t>PD High Measure Energy Cost Savings (USD/yr)</t>
  </si>
  <si>
    <t>PD High Measure Electric Annual Consumption Savings (kWh/yr)</t>
  </si>
  <si>
    <t>PD High Measure Electric Winter Peak Demand Savings (kW)</t>
  </si>
  <si>
    <t>PD High Measure Electric Summer Peak Demand Savings (kW)</t>
  </si>
  <si>
    <t>PD High Measure Annual Energy Savings on MMBtu Basis (MMBtu/yr)</t>
  </si>
  <si>
    <t>PD High Measure Carbon Emissions Reduction, Site (tons CO2/yr)</t>
  </si>
  <si>
    <t>PD High Measure Carbon Emissions Reduction, Source (tons CO2/yr)</t>
  </si>
  <si>
    <t>Current PD Low Measure Coal Source Fuel Savings (lbs coal/year)</t>
  </si>
  <si>
    <t>Current PD Low Measure Oil Total Fuel Savings (gallons oil/year)</t>
  </si>
  <si>
    <t>Current PD Low Measure Gas Total Fuel Savings (1,000 cu.ft. gas/year)</t>
  </si>
  <si>
    <t>Current PD High Measure Coal Source Fuel Savings (lbs coal/year)</t>
  </si>
  <si>
    <t>Current PD High Measure Oil Total Fuel Savings (gallons oil/year)</t>
  </si>
  <si>
    <t>Current PD High Measure Gas Total Fuel Savings (1,000 cu.ft. gas/year)</t>
  </si>
  <si>
    <t>ROF Low Measure Incremental Installed Cost (USD)</t>
  </si>
  <si>
    <t>ROF High Measure Incremental Installed Cost (USD)</t>
  </si>
  <si>
    <t>ER (Retire) Incremental Installed Cost (USD)</t>
  </si>
  <si>
    <t>PD High Measure Incremental Installed Cost (USD)</t>
  </si>
  <si>
    <t>ER Total Low Measure Incremental Installed Cost, less Deferred Replacement Credit (USD)</t>
  </si>
  <si>
    <t>ER Total High Measure Incremental Installed Cost, Less Deferred Replacement Credit (USD)</t>
  </si>
  <si>
    <t>ER (EE) Low Measure Incremental Installed Cost, Less Deferred Replacement Credit (USD)</t>
  </si>
  <si>
    <t>ER (EE) High Measure Incremental Installed Cost, Less Deferred Replacement Credit (USD)</t>
  </si>
  <si>
    <t>ER High Measure Incremental Installed Cost, less Deferred Replacement Credit (USD)</t>
  </si>
  <si>
    <t>ER (EE) Low Measure Incremental Installed Cost, less Deferred Replacement Credit (USD)</t>
  </si>
  <si>
    <t>ER (EE) High Measure Incremental Installed Cost, less Deferred Replacement Credit (USD)</t>
  </si>
  <si>
    <t>PD Total Low Measure Incremental Installed Cost, less Deferred Replacement Credit (USD)</t>
  </si>
  <si>
    <t>ER Total High Measure Incremental Installed Cost, less Deferred Replacement Credit (USD)</t>
  </si>
  <si>
    <t>The "Incremental Installed Cost" values reported in this tab for energy efficient ("EE") measures equal the total installation cost of the measure-level equipment minus a "deferred replacement credit."</t>
  </si>
  <si>
    <t>Total Cost New Equipment, not including deferred replacement (USD)</t>
  </si>
  <si>
    <t>Deferred replacement costs are not applied to ROF measures.</t>
  </si>
  <si>
    <t>Default value: 2.6 ton.  Per the 2016-2018 MA TRM p.60, the average CAC size is 2.6 ton</t>
  </si>
  <si>
    <t>Central HP, no supplemental heating, Cooling Capacity, 95F</t>
  </si>
  <si>
    <t>Central HP, no supplemental heating, Heating Capacity, 47F</t>
  </si>
  <si>
    <t>DMSHP, no supplemental heating, Cooling Capacity, 95F</t>
  </si>
  <si>
    <t>DMSHP, no supplemental heating, Heating Capacity, 47F</t>
  </si>
  <si>
    <t>Default value: 4 ton</t>
  </si>
  <si>
    <t>DMSHP, with other heating equip, Cooling Capacity, 95F</t>
  </si>
  <si>
    <t>DMSHP, with other heating equip, Heating Capacity, 47F</t>
  </si>
  <si>
    <t>Central HP, with other heating equip, Cooling Capacity, 95F</t>
  </si>
  <si>
    <t>Central HP, with other heating equip, Heating Capacity, 47F</t>
  </si>
  <si>
    <t>Default value: 2.5 ton</t>
  </si>
  <si>
    <t>2.5 ton (default HP partial displacement)</t>
  </si>
  <si>
    <t>Default value: 2.5 ton. Default assumption: heating capacity roughly equals cooling capacity.</t>
  </si>
  <si>
    <t>Default value: 4 ton. Default assumption: heating capacity roughly equals cooling capacity.</t>
  </si>
  <si>
    <t>INPUT_CHP_COOLCAP_SUPPLEMENTED</t>
  </si>
  <si>
    <t>INPUT_CHP_HEATCAP_SUPPLEMENTED</t>
  </si>
  <si>
    <t>INPUT_CHP_COOLCAP_NOOTHERHEAT</t>
  </si>
  <si>
    <t>INPUT_CHP_HEATCAP_NOOTHERHEAT</t>
  </si>
  <si>
    <t>INPUT_DMSHP_COOLCAP_SUPPLEMENTED</t>
  </si>
  <si>
    <t>INPUT_DMSHP_HEATCAP_SUPPLEMENTED</t>
  </si>
  <si>
    <t>INPUT_DMSHP_COOLCAP_NOOTHERHEAT</t>
  </si>
  <si>
    <t>INPUT_DMSHP_HEATCAP_NOOTHERHEAT</t>
  </si>
  <si>
    <t>HP Heating Capacity</t>
  </si>
  <si>
    <t>HP Cooling Capacity</t>
  </si>
  <si>
    <t>1x12, 2x9</t>
  </si>
  <si>
    <t>3x12</t>
  </si>
  <si>
    <t>1x24,2x12</t>
  </si>
  <si>
    <t>1x24,3x12</t>
  </si>
  <si>
    <t>1x24</t>
  </si>
  <si>
    <t>1x18</t>
  </si>
  <si>
    <t>1x12</t>
  </si>
  <si>
    <t>1x9</t>
  </si>
  <si>
    <t>Detail</t>
  </si>
  <si>
    <t>Config.</t>
  </si>
  <si>
    <t xml:space="preserve">Since 20 SEER/12 HSPF doesn't cover the entire range of capacities, we estimate the cost as the combination of multiple installations of smaller systems, including a 15% discount for systems beyond the first, per RES 28 Task 4 Final Report item 3.1.6. </t>
  </si>
  <si>
    <t>2.5 ton (1x12kBtu + 2x9kBtu)</t>
  </si>
  <si>
    <t>4 ton (1x24kBtu + 2x12kBtu)</t>
  </si>
  <si>
    <t>The recommended cooling capacity for Central A/Cs is 2.6 tons, based on the MA TRM.</t>
  </si>
  <si>
    <t>The recommended HP capacities are 4 tons for HPs operating alone and 2.5 tons for heat pumps operating with additional heating equipment.</t>
  </si>
  <si>
    <t>High-efficiency DMSHPs are not typically available above 2-tons capacity. DMSHP capacities above 2 tons are estimated as combinations of smaller-sized systems.</t>
  </si>
  <si>
    <t>Cooling Tonnage</t>
  </si>
  <si>
    <t>4.0 ton (default HP full replacement)</t>
  </si>
  <si>
    <t>Heating Tonnage</t>
  </si>
  <si>
    <t>Max Tonnage</t>
  </si>
  <si>
    <t>The "Incremental Installation Cost" values reported in this tab equal the total installation cost of the measure-level equipment minus an "A/C-only deferred replacement credit."</t>
  </si>
  <si>
    <t>The equipment definitions are referenced in from the equipment list and compared to provide the measure results</t>
  </si>
  <si>
    <t>BCR Outputs</t>
  </si>
  <si>
    <t xml:space="preserve">This tab collects key output fields for a select set of measures that the PAs requested as inputs for the BCR models. </t>
  </si>
  <si>
    <t>Balance Point</t>
  </si>
  <si>
    <t>Balance Point (degrees F)</t>
  </si>
  <si>
    <t>ER Low Measure Natural Gas Annual Consumption Savings (therms/yr)</t>
  </si>
  <si>
    <t>ER Low Measure Propane Annual Consumption Savings (MMBtu/yr)</t>
  </si>
  <si>
    <t>ER Low Measure Oil Annual Consumption Savings (MMBtu/yr)</t>
  </si>
  <si>
    <t>ER High Measure Natural Gas Annual Consumption Savings (therms/yr)</t>
  </si>
  <si>
    <t>ER High Measure Propane Annual Consumption Savings (MMBtu/yr)</t>
  </si>
  <si>
    <t>ER High Measure Oil Annual Consumption Savings (MMBtu/yr)</t>
  </si>
  <si>
    <t>PD Low Measure Natural Gas Annual Consumption Savings (therms/yr)</t>
  </si>
  <si>
    <t>PD Low Measure Propane Annual Consumption Savings (MMBtu/yr)</t>
  </si>
  <si>
    <t>PD Low Measure Oil Annual Consumption Savings (MMBtu/yr)</t>
  </si>
  <si>
    <t>PD High Measure Natural Gas Annual Consumption Savings (therms/yr)</t>
  </si>
  <si>
    <t>PD High Measure Propane Annual Consumption Savings (MMBtu/yr)</t>
  </si>
  <si>
    <t>PD High Measure Oil Annual Consumption Savings (MMBtu/yr)</t>
  </si>
  <si>
    <t>EIA 2019 Average New Hampshire Residential Heating Oil Price per gallon (Oct 2018 - Mar 2019) https://www.eia.gov/dnav/pet/PET_PRI_WFR_DCUS_SNH_W.htm</t>
  </si>
  <si>
    <t>EIA 2019 Average New Hampshire Residential Propane Price per gallon (Oct 2018 - Mar 2019) https://www.eia.gov/dnav/pet/PET_PRI_WFR_DCUS_SNH_W.htm</t>
  </si>
  <si>
    <t>EIA 2019 New Hampshire Residential Natural Gas Price per therm (Oct 2018 - Feb 2019) https://www.eia.gov/dnav/ng/ng_pri_sum_dcu_SNH_m.htm where one therm equals 100 cubic ft.</t>
  </si>
  <si>
    <t>EIA 2019 Electricity Data Browser, New Hampshire Average Residential Retail Price of Electricity (Feb 2018 - Feb 2019) https://www.eia.gov/electricity/data/browser/#/topic/7</t>
  </si>
  <si>
    <t>https://www.eia.gov/electricity/data/state/</t>
  </si>
  <si>
    <t>EIA. Net Generation by State by Type of Producer by Energy Source, 2017, IPPs and utilities</t>
  </si>
  <si>
    <t>Typical meteorological year, Concord Municipal Airport</t>
  </si>
  <si>
    <t xml:space="preserve">New Hampshire Energy Optimization Study </t>
  </si>
  <si>
    <t>This sheet contains all general inputs. Specific inputs for each piece of equipment are presented in the Baseline Calculations tab and the relevant measure tabs (named MEAS##)</t>
  </si>
  <si>
    <t>- Assumptions regarding the baseline mix of different A/C types</t>
  </si>
  <si>
    <t>- Assumptions related to installation costs</t>
  </si>
  <si>
    <t xml:space="preserve">To support the New Hampshire Energy Optimization through Fuel Switching Study, the New Hampshire Joint Utilities asked Navigant to evaluate the customer cost impacts and energy savings impacts associated with different methods of benefit-cost accounting for energy optimization measures. In general, these measures pertain to the installation of new electric heat pump equipment or new gas equipment in homes that are now or were previously heated using oil or propane. </t>
  </si>
  <si>
    <t>This model is an adaptation of the Massachusetts Residential Energy Optimization Model, developed by Navigant in October 2018 for the MA Energy Efficiency Advisory Council. Navigant adapted the Massachusetts model using New Hampshire-specific inputs for annual temperature data, energy costs, and electricity generation mix.</t>
  </si>
  <si>
    <t>This model calculates the customer cost savigns, the energy consumption savings, the demand savings, and the incremental costs of energy optimization measures in both an early replacement (ER) scenario and a replace on failure (ROF) scenario. For measures where the existing heating equipment is kept operational, the incremental cost calculations for the early replacement scenario only account for the cost of replacing A/C equipment.</t>
  </si>
  <si>
    <t>Default value: 20.3%.  2018 Claritas (formerly The Nielsen Company) Energy Behavior Track annual survey</t>
  </si>
  <si>
    <t>Default value: 33.3%.  2018 Claritas (formerly The Nielsen Company) Energy Behavior Track annual survey</t>
  </si>
  <si>
    <t>Default value: 46.4%.  2018 Claritas (formerly The Nielsen Company) Energy Behavior Track annual survey, conducted in partnership with E Source, in which approximately 32,500 residential customers in the U.S. are surveyed on a variety of energy-related topics.</t>
  </si>
  <si>
    <t>https://www.iso-ne.com/static-assets/documents/2019/04/2017_emissions_report.pdf</t>
  </si>
  <si>
    <t>ISO NE, 2017 Emissions Report, Table 1-2, 2017 Annual Rate (lb/MWh)</t>
  </si>
  <si>
    <t>https://www.iso-ne.com/about/key-stats/resource-mix/</t>
  </si>
  <si>
    <t>ISO New England. "Resource Mix." 2018.</t>
  </si>
  <si>
    <t>https://www.eia.gov/electricity/state/newhampshire/</t>
  </si>
  <si>
    <t>EIA. "New Hampshire Electricity Profile 2017", Table 6</t>
  </si>
  <si>
    <t>Eversource NH. BC model for 2019 Plan. "Avoided Costs" tab, cell F13</t>
  </si>
  <si>
    <t>Real Discount Rate (RDR)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</si>
</sst>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6" formatCode="&quot;$&quot;#,##0_);[Red]\(&quot;$&quot;#,##0\)"/>
    <numFmt numFmtId="44" formatCode="_(&quot;$&quot;* #,##0.00_);_(&quot;$&quot;* \(#,##0.00\);_(&quot;$&quot;* &quot;-&quot;??_);_(@_)"/>
    <numFmt numFmtId="164" formatCode="&quot;€&quot;#,##0;\-&quot;€&quot;#,##0"/>
    <numFmt numFmtId="165" formatCode="&quot;€&quot;#,##0.00;\-&quot;€&quot;#,##0.00"/>
    <numFmt numFmtId="166" formatCode="#,##0.00_ ;\-#,##0.00\ "/>
    <numFmt numFmtId="167" formatCode="#,##0_ ;\-#,##0\ "/>
    <numFmt numFmtId="168" formatCode="0.0%"/>
    <numFmt numFmtId="169" formatCode="&quot;$&quot;#,##0.00"/>
    <numFmt numFmtId="170" formatCode="&quot;$&quot;#,##0"/>
    <numFmt numFmtId="171" formatCode="0.000"/>
    <numFmt numFmtId="172" formatCode="0.0"/>
    <numFmt numFmtId="173" formatCode="#,##0.000"/>
    <numFmt numFmtId="174" formatCode="#,##0.0"/>
    <numFmt numFmtId="175" formatCode="#,##0.00000"/>
  </numFmts>
  <fonts count="58" x14ac:knownFonts="1">
    <font>
      <sz val="8"/>
      <name val="Arial"/>
      <family val="2"/>
    </font>
    <font>
      <sz val="11"/>
      <color theme="1"/>
      <name val="Arial"/>
      <family val="2"/>
      <scheme val="minor"/>
    </font>
    <font>
      <sz val="11"/>
      <color theme="1"/>
      <name val="Arial"/>
      <family val="2"/>
      <scheme val="minor"/>
    </font>
    <font>
      <sz val="8"/>
      <color theme="1"/>
      <name val="Arial"/>
      <family val="2"/>
    </font>
    <font>
      <sz val="18"/>
      <color theme="3"/>
      <name val="Arial"/>
      <family val="2"/>
      <scheme val="major"/>
    </font>
    <font>
      <sz val="8"/>
      <color rgb="FF006100"/>
      <name val="Arial"/>
      <family val="2"/>
    </font>
    <font>
      <sz val="8"/>
      <color rgb="FF9C0006"/>
      <name val="Arial"/>
      <family val="2"/>
    </font>
    <font>
      <sz val="8"/>
      <color rgb="FF9C5700"/>
      <name val="Arial"/>
      <family val="2"/>
    </font>
    <font>
      <sz val="8"/>
      <color rgb="FF3F3F76"/>
      <name val="Arial"/>
      <family val="2"/>
    </font>
    <font>
      <b/>
      <sz val="8"/>
      <color rgb="FF3F3F3F"/>
      <name val="Arial"/>
      <family val="2"/>
    </font>
    <font>
      <b/>
      <sz val="8"/>
      <color rgb="FFFA7D00"/>
      <name val="Arial"/>
      <family val="2"/>
    </font>
    <font>
      <sz val="8"/>
      <color rgb="FFFA7D00"/>
      <name val="Arial"/>
      <family val="2"/>
    </font>
    <font>
      <b/>
      <sz val="8"/>
      <color theme="0"/>
      <name val="Arial"/>
      <family val="2"/>
    </font>
    <font>
      <sz val="8"/>
      <color rgb="FFFF0000"/>
      <name val="Arial"/>
      <family val="2"/>
    </font>
    <font>
      <i/>
      <sz val="8"/>
      <color rgb="FF7F7F7F"/>
      <name val="Arial"/>
      <family val="2"/>
    </font>
    <font>
      <b/>
      <sz val="8"/>
      <color theme="1"/>
      <name val="Arial"/>
      <family val="2"/>
    </font>
    <font>
      <b/>
      <sz val="13"/>
      <color rgb="FF555759"/>
      <name val="Arial"/>
      <family val="2"/>
    </font>
    <font>
      <sz val="8"/>
      <name val="Arial"/>
      <family val="2"/>
    </font>
    <font>
      <sz val="8"/>
      <color rgb="FF648C1A"/>
      <name val="Arial"/>
      <family val="2"/>
    </font>
    <font>
      <b/>
      <sz val="11"/>
      <color rgb="FF555759"/>
      <name val="Arial"/>
      <family val="2"/>
    </font>
    <font>
      <sz val="8"/>
      <color rgb="FFAC0640"/>
      <name val="Arial"/>
      <family val="2"/>
    </font>
    <font>
      <sz val="8"/>
      <color rgb="FF95D600"/>
      <name val="Arial"/>
      <family val="2"/>
    </font>
    <font>
      <sz val="6"/>
      <color rgb="FF009383"/>
      <name val="Arial"/>
      <family val="2"/>
    </font>
    <font>
      <sz val="7"/>
      <color rgb="FF77797A"/>
      <name val="Arial"/>
      <family val="2"/>
    </font>
    <font>
      <sz val="8"/>
      <color rgb="FF555759"/>
      <name val="Arial"/>
      <family val="2"/>
    </font>
    <font>
      <sz val="8"/>
      <color rgb="FF989A9C"/>
      <name val="Arial"/>
      <family val="2"/>
    </font>
    <font>
      <u/>
      <sz val="8"/>
      <color rgb="FF648C1A"/>
      <name val="Arial"/>
      <family val="2"/>
    </font>
    <font>
      <u/>
      <sz val="8"/>
      <color rgb="FFACDE50"/>
      <name val="Arial"/>
      <family val="2"/>
    </font>
    <font>
      <b/>
      <sz val="8"/>
      <name val="Arial"/>
      <family val="2"/>
    </font>
    <font>
      <b/>
      <sz val="13"/>
      <color rgb="FFFFFFFF"/>
      <name val="Arial"/>
      <family val="2"/>
    </font>
    <font>
      <b/>
      <sz val="11"/>
      <color rgb="FFFFFFFF"/>
      <name val="Arial"/>
      <family val="2"/>
    </font>
    <font>
      <b/>
      <sz val="8"/>
      <color rgb="FFFFFFFF"/>
      <name val="Arial"/>
      <family val="2"/>
    </font>
    <font>
      <b/>
      <sz val="10"/>
      <color rgb="FFFFFFFF"/>
      <name val="Arial"/>
      <family val="2"/>
    </font>
    <font>
      <sz val="8"/>
      <color rgb="FFFFFFFF"/>
      <name val="Arial"/>
      <family val="2"/>
    </font>
    <font>
      <b/>
      <sz val="8"/>
      <color rgb="FF555759"/>
      <name val="Arial"/>
      <family val="2"/>
    </font>
    <font>
      <sz val="8"/>
      <color rgb="FFF07D05"/>
      <name val="Arial"/>
      <family val="2"/>
    </font>
    <font>
      <sz val="8"/>
      <color rgb="FF006579"/>
      <name val="Arial"/>
      <family val="2"/>
    </font>
    <font>
      <b/>
      <sz val="10"/>
      <color rgb="FF555759"/>
      <name val="Arial"/>
      <family val="2"/>
    </font>
    <font>
      <b/>
      <sz val="8"/>
      <color rgb="FF3F4143"/>
      <name val="Arial"/>
      <family val="2"/>
    </font>
    <font>
      <sz val="8"/>
      <color theme="5" tint="-0.499984740745262"/>
      <name val="Arial"/>
      <family val="2"/>
    </font>
    <font>
      <sz val="9"/>
      <color indexed="81"/>
      <name val="Tahoma"/>
      <family val="2"/>
    </font>
    <font>
      <b/>
      <sz val="9"/>
      <color indexed="81"/>
      <name val="Tahoma"/>
      <family val="2"/>
    </font>
    <font>
      <u/>
      <sz val="9"/>
      <color indexed="81"/>
      <name val="Tahoma"/>
      <family val="2"/>
    </font>
    <font>
      <sz val="10"/>
      <color rgb="FF555759"/>
      <name val="Arial"/>
      <family val="2"/>
    </font>
    <font>
      <b/>
      <sz val="9"/>
      <color rgb="FFFFFFFF"/>
      <name val="Arial"/>
      <family val="2"/>
    </font>
    <font>
      <b/>
      <sz val="10"/>
      <name val="Arial"/>
      <family val="2"/>
    </font>
    <font>
      <sz val="10"/>
      <name val="Arial"/>
      <family val="2"/>
    </font>
    <font>
      <sz val="11"/>
      <color theme="1"/>
      <name val="Times New Roman"/>
      <family val="1"/>
    </font>
    <font>
      <sz val="11"/>
      <color theme="1"/>
      <name val="Calibri"/>
      <family val="2"/>
    </font>
    <font>
      <i/>
      <sz val="8"/>
      <name val="Arial"/>
      <family val="2"/>
    </font>
    <font>
      <b/>
      <sz val="8"/>
      <color rgb="FF648C1A"/>
      <name val="Arial"/>
      <family val="2"/>
    </font>
    <font>
      <b/>
      <u/>
      <sz val="8"/>
      <color rgb="FF648C1A"/>
      <name val="Arial"/>
      <family val="2"/>
    </font>
    <font>
      <i/>
      <sz val="8"/>
      <color rgb="FF648C1A"/>
      <name val="Arial"/>
      <family val="2"/>
    </font>
    <font>
      <b/>
      <sz val="9"/>
      <color theme="1"/>
      <name val="Arial"/>
      <family val="2"/>
      <scheme val="minor"/>
    </font>
    <font>
      <sz val="9"/>
      <color theme="1"/>
      <name val="Arial"/>
      <family val="2"/>
      <scheme val="minor"/>
    </font>
    <font>
      <sz val="8"/>
      <color theme="1" tint="0.59999389629810485"/>
      <name val="Arial"/>
      <family val="2"/>
    </font>
    <font>
      <b/>
      <sz val="8"/>
      <color theme="0" tint="-0.249977111117893"/>
      <name val="Arial"/>
      <family val="2"/>
    </font>
    <font>
      <sz val="8"/>
      <color theme="0" tint="-0.249977111117893"/>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FFF1D1"/>
        <bgColor indexed="64"/>
      </patternFill>
    </fill>
    <fill>
      <patternFill patternType="solid">
        <fgColor rgb="FFDCDDDE"/>
        <bgColor indexed="64"/>
      </patternFill>
    </fill>
    <fill>
      <patternFill patternType="solid">
        <fgColor rgb="FFFFE3A2"/>
        <bgColor indexed="64"/>
      </patternFill>
    </fill>
    <fill>
      <patternFill patternType="solid">
        <fgColor rgb="FFFAD7D3"/>
        <bgColor indexed="64"/>
      </patternFill>
    </fill>
    <fill>
      <patternFill patternType="solid">
        <fgColor rgb="FF648C1A"/>
        <bgColor indexed="64"/>
      </patternFill>
    </fill>
    <fill>
      <patternFill patternType="solid">
        <fgColor rgb="FFEDFFC4"/>
        <bgColor indexed="64"/>
      </patternFill>
    </fill>
    <fill>
      <patternFill patternType="solid">
        <fgColor rgb="FFC1EEFF"/>
        <bgColor indexed="64"/>
      </patternFill>
    </fill>
    <fill>
      <patternFill patternType="solid">
        <fgColor rgb="FF555759"/>
        <bgColor indexed="64"/>
      </patternFill>
    </fill>
    <fill>
      <patternFill patternType="solid">
        <fgColor rgb="FF95D600"/>
        <bgColor indexed="64"/>
      </patternFill>
    </fill>
    <fill>
      <patternFill patternType="solid">
        <fgColor rgb="FF006579"/>
        <bgColor indexed="64"/>
      </patternFill>
    </fill>
    <fill>
      <patternFill patternType="solid">
        <fgColor rgb="FF009383"/>
        <bgColor indexed="64"/>
      </patternFill>
    </fill>
    <fill>
      <patternFill patternType="solid">
        <fgColor rgb="FFF07D05"/>
        <bgColor indexed="64"/>
      </patternFill>
    </fill>
    <fill>
      <patternFill patternType="solid">
        <fgColor rgb="FFAC0640"/>
        <bgColor indexed="64"/>
      </patternFill>
    </fill>
    <fill>
      <patternFill patternType="solid">
        <fgColor rgb="FFEAF7CC"/>
        <bgColor indexed="64"/>
      </patternFill>
    </fill>
    <fill>
      <patternFill patternType="solid">
        <fgColor rgb="FFFAD8D5"/>
        <bgColor indexed="64"/>
      </patternFill>
    </fill>
    <fill>
      <patternFill patternType="solid">
        <fgColor rgb="FFFFF1D0"/>
        <bgColor indexed="64"/>
      </patternFill>
    </fill>
    <fill>
      <patternFill patternType="solid">
        <fgColor rgb="FFFEE4CB"/>
        <bgColor indexed="64"/>
      </patternFill>
    </fill>
    <fill>
      <patternFill patternType="solid">
        <fgColor rgb="FFF7E2FA"/>
        <bgColor indexed="64"/>
      </patternFill>
    </fill>
    <fill>
      <patternFill patternType="solid">
        <fgColor rgb="FFDDF2B8"/>
        <bgColor indexed="64"/>
      </patternFill>
    </fill>
    <fill>
      <patternFill patternType="solid">
        <fgColor rgb="FFCCEB8D"/>
        <bgColor indexed="64"/>
      </patternFill>
    </fill>
    <fill>
      <patternFill patternType="solid">
        <fgColor rgb="FFF2F2F2"/>
        <bgColor indexed="64"/>
      </patternFill>
    </fill>
    <fill>
      <patternFill patternType="solid">
        <fgColor theme="0" tint="-0.499984740745262"/>
        <bgColor indexed="64"/>
      </patternFill>
    </fill>
    <fill>
      <patternFill patternType="solid">
        <fgColor rgb="FFB0E159"/>
        <bgColor indexed="64"/>
      </patternFill>
    </fill>
    <fill>
      <patternFill patternType="solid">
        <fgColor theme="0" tint="-0.249977111117893"/>
        <bgColor indexed="64"/>
      </patternFill>
    </fill>
    <fill>
      <patternFill patternType="solid">
        <fgColor theme="3" tint="-0.249977111117893"/>
        <bgColor indexed="64"/>
      </patternFill>
    </fill>
  </fills>
  <borders count="11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rgb="FF95D600"/>
      </bottom>
      <diagonal/>
    </border>
    <border>
      <left/>
      <right/>
      <top/>
      <bottom style="medium">
        <color rgb="FF95D600"/>
      </bottom>
      <diagonal/>
    </border>
    <border>
      <left style="hair">
        <color rgb="FFB9BBBD"/>
      </left>
      <right style="hair">
        <color rgb="FFB9BBBD"/>
      </right>
      <top style="hair">
        <color rgb="FFB9BBBD"/>
      </top>
      <bottom style="hair">
        <color rgb="FFB9BBBD"/>
      </bottom>
      <diagonal/>
    </border>
    <border>
      <left style="hair">
        <color rgb="FFBBBCBD"/>
      </left>
      <right style="hair">
        <color rgb="FFBBBCBD"/>
      </right>
      <top style="hair">
        <color rgb="FFBBBCBD"/>
      </top>
      <bottom style="hair">
        <color rgb="FFBBBCBD"/>
      </bottom>
      <diagonal/>
    </border>
    <border>
      <left style="hair">
        <color rgb="FFBBBCBD"/>
      </left>
      <right style="hair">
        <color rgb="FFBBBCBD"/>
      </right>
      <top style="hair">
        <color rgb="FFBBBCBD"/>
      </top>
      <bottom style="thin">
        <color rgb="FF555759"/>
      </bottom>
      <diagonal/>
    </border>
    <border>
      <left/>
      <right/>
      <top/>
      <bottom style="hair">
        <color rgb="FF95D600"/>
      </bottom>
      <diagonal/>
    </border>
    <border>
      <left/>
      <right/>
      <top/>
      <bottom style="thin">
        <color rgb="FF95D600"/>
      </bottom>
      <diagonal/>
    </border>
    <border>
      <left/>
      <right/>
      <top/>
      <bottom style="hair">
        <color rgb="FFBBBCBD"/>
      </bottom>
      <diagonal/>
    </border>
    <border>
      <left/>
      <right/>
      <top style="thin">
        <color rgb="FF555759"/>
      </top>
      <bottom/>
      <diagonal/>
    </border>
    <border>
      <left style="hair">
        <color rgb="FFDCDDDE"/>
      </left>
      <right style="hair">
        <color rgb="FFDCDDDE"/>
      </right>
      <top style="hair">
        <color rgb="FFDCDDDE"/>
      </top>
      <bottom style="hair">
        <color rgb="FFDCDDDE"/>
      </bottom>
      <diagonal/>
    </border>
    <border>
      <left style="hair">
        <color rgb="FF006579"/>
      </left>
      <right style="hair">
        <color rgb="FF006579"/>
      </right>
      <top style="hair">
        <color rgb="FF006579"/>
      </top>
      <bottom style="hair">
        <color rgb="FF006579"/>
      </bottom>
      <diagonal/>
    </border>
    <border>
      <left/>
      <right/>
      <top style="thin">
        <color rgb="FF555759"/>
      </top>
      <bottom style="medium">
        <color rgb="FF555759"/>
      </bottom>
      <diagonal/>
    </border>
    <border>
      <left style="medium">
        <color rgb="FF95D600"/>
      </left>
      <right/>
      <top style="medium">
        <color rgb="FF95D600"/>
      </top>
      <bottom/>
      <diagonal/>
    </border>
    <border>
      <left style="medium">
        <color rgb="FF95D600"/>
      </left>
      <right/>
      <top/>
      <bottom/>
      <diagonal/>
    </border>
    <border>
      <left style="medium">
        <color rgb="FF95D600"/>
      </left>
      <right/>
      <top/>
      <bottom style="medium">
        <color rgb="FF95D600"/>
      </bottom>
      <diagonal/>
    </border>
    <border>
      <left style="medium">
        <color rgb="FF95D600"/>
      </left>
      <right style="medium">
        <color rgb="FF95D600"/>
      </right>
      <top/>
      <bottom style="medium">
        <color rgb="FF95D600"/>
      </bottom>
      <diagonal/>
    </border>
    <border>
      <left/>
      <right style="medium">
        <color rgb="FF95D600"/>
      </right>
      <top/>
      <bottom style="medium">
        <color rgb="FF95D600"/>
      </bottom>
      <diagonal/>
    </border>
    <border>
      <left/>
      <right/>
      <top style="medium">
        <color rgb="FF95D600"/>
      </top>
      <bottom style="hair">
        <color rgb="FFBBBCBD"/>
      </bottom>
      <diagonal/>
    </border>
    <border>
      <left/>
      <right/>
      <top style="hair">
        <color rgb="FFBBBCBD"/>
      </top>
      <bottom style="hair">
        <color rgb="FFBBBCBD"/>
      </bottom>
      <diagonal/>
    </border>
    <border>
      <left style="hair">
        <color rgb="FFBBBCBD"/>
      </left>
      <right/>
      <top style="medium">
        <color rgb="FF95D600"/>
      </top>
      <bottom style="hair">
        <color rgb="FFBBBCBD"/>
      </bottom>
      <diagonal/>
    </border>
    <border>
      <left style="hair">
        <color rgb="FFBBBCBD"/>
      </left>
      <right/>
      <top style="hair">
        <color rgb="FFBBBCBD"/>
      </top>
      <bottom style="hair">
        <color rgb="FFBBBCBD"/>
      </bottom>
      <diagonal/>
    </border>
    <border>
      <left/>
      <right style="hair">
        <color rgb="FFB9BBBD"/>
      </right>
      <top style="hair">
        <color rgb="FFBBBCBD"/>
      </top>
      <bottom style="hair">
        <color rgb="FFBBBCBD"/>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rgb="FF95D600"/>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medium">
        <color rgb="FF95D600"/>
      </bottom>
      <diagonal/>
    </border>
    <border>
      <left/>
      <right/>
      <top style="thin">
        <color theme="0" tint="-0.24994659260841701"/>
      </top>
      <bottom style="medium">
        <color rgb="FF95D600"/>
      </bottom>
      <diagonal/>
    </border>
    <border>
      <left/>
      <right style="thin">
        <color theme="0" tint="-0.24994659260841701"/>
      </right>
      <top/>
      <bottom style="medium">
        <color rgb="FF95D600"/>
      </bottom>
      <diagonal/>
    </border>
    <border>
      <left style="hair">
        <color rgb="FFB9BBBD"/>
      </left>
      <right style="thin">
        <color theme="0" tint="-0.24994659260841701"/>
      </right>
      <top style="hair">
        <color rgb="FFB9BBBD"/>
      </top>
      <bottom style="hair">
        <color rgb="FFB9BBBD"/>
      </bottom>
      <diagonal/>
    </border>
    <border>
      <left style="hair">
        <color rgb="FFBBBCBD"/>
      </left>
      <right/>
      <top/>
      <bottom style="hair">
        <color rgb="FFBBBCBD"/>
      </bottom>
      <diagonal/>
    </border>
    <border>
      <left style="hair">
        <color rgb="FFB9BBBD"/>
      </left>
      <right/>
      <top style="hair">
        <color rgb="FFBBBCBD"/>
      </top>
      <bottom style="hair">
        <color rgb="FFBBBCBD"/>
      </bottom>
      <diagonal/>
    </border>
    <border>
      <left style="hair">
        <color rgb="FFB9BBBD"/>
      </left>
      <right/>
      <top style="hair">
        <color rgb="FFB9BBBD"/>
      </top>
      <bottom style="hair">
        <color rgb="FFB9BBBD"/>
      </bottom>
      <diagonal/>
    </border>
    <border>
      <left style="thin">
        <color indexed="64"/>
      </left>
      <right/>
      <top/>
      <bottom style="medium">
        <color rgb="FF95D600"/>
      </bottom>
      <diagonal/>
    </border>
    <border>
      <left style="thin">
        <color indexed="64"/>
      </left>
      <right style="hair">
        <color rgb="FFBBBCBD"/>
      </right>
      <top style="hair">
        <color rgb="FFBBBCBD"/>
      </top>
      <bottom style="hair">
        <color rgb="FFBBBCBD"/>
      </bottom>
      <diagonal/>
    </border>
    <border>
      <left style="thin">
        <color indexed="64"/>
      </left>
      <right style="hair">
        <color rgb="FFB9BBBD"/>
      </right>
      <top style="hair">
        <color rgb="FFB9BBBD"/>
      </top>
      <bottom style="hair">
        <color rgb="FFB9BBBD"/>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bottom/>
      <diagonal/>
    </border>
    <border>
      <left style="thin">
        <color theme="0" tint="-0.34998626667073579"/>
      </left>
      <right/>
      <top/>
      <bottom/>
      <diagonal/>
    </border>
    <border>
      <left/>
      <right style="thin">
        <color theme="0" tint="-0.34998626667073579"/>
      </right>
      <top style="thin">
        <color theme="0" tint="-0.34998626667073579"/>
      </top>
      <bottom/>
      <diagonal/>
    </border>
    <border>
      <left/>
      <right/>
      <top style="thin">
        <color theme="0" tint="-0.34998626667073579"/>
      </top>
      <bottom/>
      <diagonal/>
    </border>
    <border>
      <left style="thin">
        <color theme="0" tint="-0.34998626667073579"/>
      </left>
      <right/>
      <top style="thin">
        <color theme="0" tint="-0.34998626667073579"/>
      </top>
      <bottom/>
      <diagonal/>
    </border>
    <border>
      <left/>
      <right/>
      <top/>
      <bottom style="thin">
        <color theme="5"/>
      </bottom>
      <diagonal/>
    </border>
    <border>
      <left/>
      <right style="hair">
        <color rgb="FFBBBCBD"/>
      </right>
      <top style="hair">
        <color rgb="FFBBBCBD"/>
      </top>
      <bottom style="hair">
        <color rgb="FFBBBCBD"/>
      </bottom>
      <diagonal/>
    </border>
    <border>
      <left/>
      <right/>
      <top style="thin">
        <color theme="5"/>
      </top>
      <bottom style="thin">
        <color theme="5"/>
      </bottom>
      <diagonal/>
    </border>
    <border>
      <left/>
      <right/>
      <top style="thin">
        <color rgb="FF95D600"/>
      </top>
      <bottom style="thin">
        <color rgb="FF95D600"/>
      </bottom>
      <diagonal/>
    </border>
    <border>
      <left style="medium">
        <color rgb="FF95D600"/>
      </left>
      <right/>
      <top style="medium">
        <color rgb="FF95D600"/>
      </top>
      <bottom style="medium">
        <color rgb="FF95D600"/>
      </bottom>
      <diagonal/>
    </border>
    <border>
      <left/>
      <right style="medium">
        <color rgb="FF95D600"/>
      </right>
      <top style="medium">
        <color rgb="FF95D600"/>
      </top>
      <bottom style="medium">
        <color rgb="FF95D600"/>
      </bottom>
      <diagonal/>
    </border>
    <border>
      <left/>
      <right/>
      <top style="hair">
        <color rgb="FFBBBCBD"/>
      </top>
      <bottom/>
      <diagonal/>
    </border>
    <border>
      <left/>
      <right style="thin">
        <color indexed="64"/>
      </right>
      <top/>
      <bottom style="medium">
        <color rgb="FF95D600"/>
      </bottom>
      <diagonal/>
    </border>
    <border>
      <left style="hair">
        <color rgb="FFBBBCBD"/>
      </left>
      <right style="thin">
        <color indexed="64"/>
      </right>
      <top style="hair">
        <color rgb="FFBBBCBD"/>
      </top>
      <bottom style="hair">
        <color rgb="FFBBBCBD"/>
      </bottom>
      <diagonal/>
    </border>
    <border>
      <left style="hair">
        <color rgb="FFB9BBBD"/>
      </left>
      <right style="hair">
        <color rgb="FFB9BBBD"/>
      </right>
      <top style="hair">
        <color rgb="FFB9BBBD"/>
      </top>
      <bottom/>
      <diagonal/>
    </border>
    <border>
      <left style="hair">
        <color rgb="FFBBBCBD"/>
      </left>
      <right style="hair">
        <color rgb="FFBBBCBD"/>
      </right>
      <top style="hair">
        <color rgb="FFBBBCBD"/>
      </top>
      <bottom/>
      <diagonal/>
    </border>
    <border>
      <left style="thin">
        <color indexed="64"/>
      </left>
      <right style="hair">
        <color rgb="FFB9BBBD"/>
      </right>
      <top style="hair">
        <color rgb="FFB9BBBD"/>
      </top>
      <bottom/>
      <diagonal/>
    </border>
    <border>
      <left style="medium">
        <color theme="5"/>
      </left>
      <right/>
      <top style="medium">
        <color rgb="FF95D600"/>
      </top>
      <bottom style="medium">
        <color rgb="FF95D600"/>
      </bottom>
      <diagonal/>
    </border>
    <border>
      <left style="thin">
        <color indexed="64"/>
      </left>
      <right style="hair">
        <color rgb="FFBBBCBD"/>
      </right>
      <top style="medium">
        <color rgb="FF95D600"/>
      </top>
      <bottom style="hair">
        <color rgb="FFBBBCBD"/>
      </bottom>
      <diagonal/>
    </border>
    <border>
      <left style="hair">
        <color rgb="FFBBBCBD"/>
      </left>
      <right style="hair">
        <color rgb="FFBBBCBD"/>
      </right>
      <top style="medium">
        <color rgb="FF95D600"/>
      </top>
      <bottom style="hair">
        <color rgb="FFBBBCBD"/>
      </bottom>
      <diagonal/>
    </border>
    <border>
      <left style="hair">
        <color rgb="FFBBBCBD"/>
      </left>
      <right style="thin">
        <color indexed="64"/>
      </right>
      <top style="medium">
        <color rgb="FF95D600"/>
      </top>
      <bottom style="hair">
        <color rgb="FFBBBCBD"/>
      </bottom>
      <diagonal/>
    </border>
    <border>
      <left/>
      <right style="hair">
        <color rgb="FFB9BBBD"/>
      </right>
      <top style="thin">
        <color rgb="FF95D600"/>
      </top>
      <bottom style="thin">
        <color rgb="FF95D600"/>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style="thin">
        <color rgb="FF95D600"/>
      </top>
      <bottom style="thin">
        <color theme="5"/>
      </bottom>
      <diagonal/>
    </border>
    <border>
      <left/>
      <right/>
      <top style="medium">
        <color rgb="FF95D600"/>
      </top>
      <bottom style="medium">
        <color rgb="FF95D600"/>
      </bottom>
      <diagonal/>
    </border>
    <border>
      <left style="medium">
        <color rgb="FF95D600"/>
      </left>
      <right/>
      <top/>
      <bottom style="hair">
        <color rgb="FFBBBCBD"/>
      </bottom>
      <diagonal/>
    </border>
    <border>
      <left/>
      <right style="medium">
        <color rgb="FF95D600"/>
      </right>
      <top/>
      <bottom style="hair">
        <color rgb="FFBBBCBD"/>
      </bottom>
      <diagonal/>
    </border>
    <border>
      <left style="medium">
        <color rgb="FF95D600"/>
      </left>
      <right style="hair">
        <color rgb="FFBBBCBD"/>
      </right>
      <top style="medium">
        <color rgb="FF95D600"/>
      </top>
      <bottom style="hair">
        <color rgb="FFBBBCBD"/>
      </bottom>
      <diagonal/>
    </border>
    <border>
      <left style="hair">
        <color rgb="FFBBBCBD"/>
      </left>
      <right style="medium">
        <color rgb="FF95D600"/>
      </right>
      <top style="medium">
        <color rgb="FF95D600"/>
      </top>
      <bottom style="hair">
        <color rgb="FFBBBCBD"/>
      </bottom>
      <diagonal/>
    </border>
    <border>
      <left style="medium">
        <color rgb="FF95D600"/>
      </left>
      <right style="hair">
        <color rgb="FFBBBCBD"/>
      </right>
      <top style="hair">
        <color rgb="FFBBBCBD"/>
      </top>
      <bottom style="hair">
        <color rgb="FFBBBCBD"/>
      </bottom>
      <diagonal/>
    </border>
    <border>
      <left style="hair">
        <color rgb="FFBBBCBD"/>
      </left>
      <right style="medium">
        <color rgb="FF95D600"/>
      </right>
      <top style="hair">
        <color rgb="FFBBBCBD"/>
      </top>
      <bottom style="hair">
        <color rgb="FFBBBCBD"/>
      </bottom>
      <diagonal/>
    </border>
    <border>
      <left style="thin">
        <color auto="1"/>
      </left>
      <right style="hair">
        <color rgb="FFBBBCBD"/>
      </right>
      <top style="hair">
        <color rgb="FFBBBCBD"/>
      </top>
      <bottom style="hair">
        <color rgb="FFB9BBBD"/>
      </bottom>
      <diagonal/>
    </border>
    <border>
      <left style="hair">
        <color rgb="FFBBBCBD"/>
      </left>
      <right/>
      <top style="hair">
        <color rgb="FFBBBCBD"/>
      </top>
      <bottom/>
      <diagonal/>
    </border>
    <border>
      <left style="hair">
        <color rgb="FFBBBCBD"/>
      </left>
      <right/>
      <top/>
      <bottom/>
      <diagonal/>
    </border>
    <border>
      <left style="thin">
        <color indexed="64"/>
      </left>
      <right style="hair">
        <color rgb="FFBBBCBD"/>
      </right>
      <top style="hair">
        <color rgb="FFBBBCBD"/>
      </top>
      <bottom/>
      <diagonal/>
    </border>
    <border>
      <left style="hair">
        <color rgb="FFBBBCBD"/>
      </left>
      <right style="thin">
        <color indexed="64"/>
      </right>
      <top style="hair">
        <color rgb="FFBBBCBD"/>
      </top>
      <bottom/>
      <diagonal/>
    </border>
    <border>
      <left style="thin">
        <color auto="1"/>
      </left>
      <right style="hair">
        <color rgb="FFBBBCBD"/>
      </right>
      <top style="hair">
        <color rgb="FFB9BBBD"/>
      </top>
      <bottom style="hair">
        <color rgb="FFBBBCBD"/>
      </bottom>
      <diagonal/>
    </border>
    <border>
      <left style="hair">
        <color rgb="FFBBBCBD"/>
      </left>
      <right style="hair">
        <color rgb="FFB9BBBD"/>
      </right>
      <top style="hair">
        <color rgb="FFBBBCBD"/>
      </top>
      <bottom/>
      <diagonal/>
    </border>
    <border>
      <left style="hair">
        <color rgb="FFB9BBBD"/>
      </left>
      <right style="hair">
        <color rgb="FFBBBCBD"/>
      </right>
      <top style="hair">
        <color rgb="FFBBBCBD"/>
      </top>
      <bottom/>
      <diagonal/>
    </border>
    <border>
      <left style="medium">
        <color rgb="FF95D600"/>
      </left>
      <right style="medium">
        <color rgb="FF95D600"/>
      </right>
      <top style="medium">
        <color rgb="FF95D600"/>
      </top>
      <bottom style="medium">
        <color rgb="FF95D600"/>
      </bottom>
      <diagonal/>
    </border>
    <border>
      <left style="medium">
        <color theme="5"/>
      </left>
      <right/>
      <top/>
      <bottom style="medium">
        <color rgb="FF95D600"/>
      </bottom>
      <diagonal/>
    </border>
    <border>
      <left style="thin">
        <color theme="0" tint="-0.24994659260841701"/>
      </left>
      <right/>
      <top style="thin">
        <color theme="0" tint="-0.24994659260841701"/>
      </top>
      <bottom style="thin">
        <color theme="0" tint="-0.24994659260841701"/>
      </bottom>
      <diagonal/>
    </border>
    <border>
      <left/>
      <right/>
      <top/>
      <bottom style="thin">
        <color theme="0" tint="-0.249977111117893"/>
      </bottom>
      <diagonal/>
    </border>
    <border>
      <left/>
      <right/>
      <top/>
      <bottom style="dashed">
        <color theme="0" tint="-0.24994659260841701"/>
      </bottom>
      <diagonal/>
    </border>
    <border>
      <left/>
      <right style="medium">
        <color rgb="FF95D600"/>
      </right>
      <top/>
      <bottom/>
      <diagonal/>
    </border>
    <border>
      <left style="medium">
        <color rgb="FF95D600"/>
      </left>
      <right style="hair">
        <color rgb="FFBBBCBD"/>
      </right>
      <top style="hair">
        <color rgb="FFBBBCBD"/>
      </top>
      <bottom/>
      <diagonal/>
    </border>
    <border>
      <left style="hair">
        <color rgb="FFBBBCBD"/>
      </left>
      <right style="medium">
        <color rgb="FF95D600"/>
      </right>
      <top style="hair">
        <color rgb="FFBBBCBD"/>
      </top>
      <bottom/>
      <diagonal/>
    </border>
    <border>
      <left/>
      <right style="medium">
        <color rgb="FF95D600"/>
      </right>
      <top style="medium">
        <color rgb="FF95D600"/>
      </top>
      <bottom style="hair">
        <color rgb="FFBBBCBD"/>
      </bottom>
      <diagonal/>
    </border>
    <border>
      <left style="medium">
        <color rgb="FF95D600"/>
      </left>
      <right/>
      <top style="medium">
        <color rgb="FF95D600"/>
      </top>
      <bottom style="hair">
        <color rgb="FFBBBCBD"/>
      </bottom>
      <diagonal/>
    </border>
    <border>
      <left/>
      <right/>
      <top style="medium">
        <color rgb="FF95D600"/>
      </top>
      <bottom/>
      <diagonal/>
    </border>
    <border>
      <left/>
      <right style="medium">
        <color rgb="FF95D600"/>
      </right>
      <top style="medium">
        <color rgb="FF95D600"/>
      </top>
      <bottom/>
      <diagonal/>
    </border>
    <border>
      <left style="medium">
        <color rgb="FF95D600"/>
      </left>
      <right style="medium">
        <color rgb="FF95D600"/>
      </right>
      <top style="hair">
        <color rgb="FFBBBCBD"/>
      </top>
      <bottom style="hair">
        <color rgb="FFBBBCBD"/>
      </bottom>
      <diagonal/>
    </border>
    <border>
      <left style="hair">
        <color rgb="FFB9BBBD"/>
      </left>
      <right style="thin">
        <color auto="1"/>
      </right>
      <top style="hair">
        <color rgb="FFB9BBBD"/>
      </top>
      <bottom/>
      <diagonal/>
    </border>
    <border>
      <left style="hair">
        <color rgb="FFB9BBBD"/>
      </left>
      <right style="thin">
        <color auto="1"/>
      </right>
      <top style="hair">
        <color rgb="FFB9BBBD"/>
      </top>
      <bottom style="hair">
        <color rgb="FFB9BBBD"/>
      </bottom>
      <diagonal/>
    </border>
    <border>
      <left style="hair">
        <color rgb="FFB9BBBD"/>
      </left>
      <right/>
      <top/>
      <bottom/>
      <diagonal/>
    </border>
    <border>
      <left/>
      <right style="hair">
        <color rgb="FFBBBCBD"/>
      </right>
      <top/>
      <bottom/>
      <diagonal/>
    </border>
    <border>
      <left style="hair">
        <color rgb="FFB9BBBD"/>
      </left>
      <right style="thin">
        <color auto="1"/>
      </right>
      <top style="hair">
        <color rgb="FFBBBCBD"/>
      </top>
      <bottom style="hair">
        <color rgb="FFBBBCBD"/>
      </bottom>
      <diagonal/>
    </border>
    <border>
      <left style="hair">
        <color rgb="FFB9BBBD"/>
      </left>
      <right style="thin">
        <color auto="1"/>
      </right>
      <top style="hair">
        <color rgb="FFBBBCBD"/>
      </top>
      <bottom/>
      <diagonal/>
    </border>
    <border>
      <left style="medium">
        <color rgb="FF95D600"/>
      </left>
      <right/>
      <top style="hair">
        <color rgb="FFBBBCBD"/>
      </top>
      <bottom style="hair">
        <color rgb="FFBBBCBD"/>
      </bottom>
      <diagonal/>
    </border>
    <border>
      <left style="medium">
        <color rgb="FF95D600"/>
      </left>
      <right style="medium">
        <color theme="5"/>
      </right>
      <top/>
      <bottom style="medium">
        <color rgb="FF95D600"/>
      </bottom>
      <diagonal/>
    </border>
    <border>
      <left style="medium">
        <color theme="5"/>
      </left>
      <right style="medium">
        <color rgb="FF95D600"/>
      </right>
      <top/>
      <bottom style="medium">
        <color rgb="FF95D600"/>
      </bottom>
      <diagonal/>
    </border>
    <border>
      <left/>
      <right style="medium">
        <color theme="5"/>
      </right>
      <top/>
      <bottom style="medium">
        <color rgb="FF95D600"/>
      </bottom>
      <diagonal/>
    </border>
    <border>
      <left style="hair">
        <color rgb="FFBBBCBD"/>
      </left>
      <right style="medium">
        <color theme="5"/>
      </right>
      <top style="hair">
        <color rgb="FFBBBCBD"/>
      </top>
      <bottom style="hair">
        <color rgb="FFBBBCBD"/>
      </bottom>
      <diagonal/>
    </border>
    <border>
      <left style="medium">
        <color theme="5"/>
      </left>
      <right style="hair">
        <color rgb="FFBBBCBD"/>
      </right>
      <top style="hair">
        <color rgb="FFBBBCBD"/>
      </top>
      <bottom style="hair">
        <color rgb="FFBBBCBD"/>
      </bottom>
      <diagonal/>
    </border>
  </borders>
  <cellStyleXfs count="82">
    <xf numFmtId="0" fontId="0" fillId="0" borderId="0"/>
    <xf numFmtId="0" fontId="4" fillId="0" borderId="0" applyNumberFormat="0" applyFill="0" applyBorder="0" applyAlignment="0" applyProtection="0"/>
    <xf numFmtId="0" fontId="29" fillId="16" borderId="7" applyNumberFormat="0"/>
    <xf numFmtId="0" fontId="30" fillId="16" borderId="8" applyNumberFormat="0" applyAlignment="0"/>
    <xf numFmtId="0" fontId="32" fillId="16" borderId="8" applyNumberFormat="0" applyAlignment="0"/>
    <xf numFmtId="0" fontId="31" fillId="16" borderId="8" applyNumberFormat="0" applyAlignment="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1" applyNumberFormat="0" applyAlignment="0" applyProtection="0"/>
    <xf numFmtId="0" fontId="9" fillId="6" borderId="2" applyNumberFormat="0" applyAlignment="0" applyProtection="0"/>
    <xf numFmtId="0" fontId="10" fillId="6" borderId="1" applyNumberFormat="0" applyAlignment="0" applyProtection="0"/>
    <xf numFmtId="0" fontId="11" fillId="0" borderId="3" applyNumberFormat="0" applyFill="0" applyAlignment="0" applyProtection="0"/>
    <xf numFmtId="0" fontId="12" fillId="7" borderId="4" applyNumberFormat="0" applyAlignment="0" applyProtection="0"/>
    <xf numFmtId="0" fontId="13" fillId="0" borderId="0" applyNumberFormat="0" applyFill="0" applyBorder="0" applyAlignment="0" applyProtection="0"/>
    <xf numFmtId="0" fontId="3" fillId="8" borderId="5" applyNumberFormat="0" applyFont="0" applyAlignment="0" applyProtection="0"/>
    <xf numFmtId="0" fontId="14" fillId="0" borderId="0" applyNumberFormat="0" applyFill="0" applyBorder="0" applyAlignment="0" applyProtection="0"/>
    <xf numFmtId="0" fontId="15" fillId="0" borderId="6" applyNumberFormat="0" applyFill="0" applyAlignment="0" applyProtection="0"/>
    <xf numFmtId="0" fontId="18" fillId="0" borderId="0" applyNumberFormat="0" applyFill="0" applyBorder="0" applyAlignment="0">
      <alignment vertical="top"/>
    </xf>
    <xf numFmtId="0" fontId="17" fillId="9" borderId="9" applyNumberFormat="0" applyAlignment="0">
      <alignment vertical="top"/>
      <protection locked="0"/>
    </xf>
    <xf numFmtId="0" fontId="17" fillId="10" borderId="0" applyNumberFormat="0" applyBorder="0" applyAlignment="0">
      <alignment vertical="top"/>
      <protection locked="0"/>
    </xf>
    <xf numFmtId="0" fontId="17" fillId="11" borderId="9" applyNumberFormat="0" applyAlignment="0">
      <alignment vertical="top"/>
      <protection locked="0"/>
    </xf>
    <xf numFmtId="0" fontId="20" fillId="12" borderId="0" applyNumberFormat="0" applyBorder="0" applyAlignment="0">
      <alignment vertical="top"/>
    </xf>
    <xf numFmtId="0" fontId="22" fillId="0" borderId="0" applyNumberFormat="0" applyFill="0" applyBorder="0" applyAlignment="0"/>
    <xf numFmtId="0" fontId="23" fillId="0" borderId="0" applyNumberFormat="0" applyFill="0" applyBorder="0"/>
    <xf numFmtId="0" fontId="31" fillId="13" borderId="9" applyNumberFormat="0" applyAlignment="0">
      <alignment vertical="top"/>
    </xf>
    <xf numFmtId="0" fontId="17" fillId="0" borderId="9" applyNumberFormat="0" applyAlignment="0">
      <alignment vertical="top"/>
      <protection locked="0"/>
    </xf>
    <xf numFmtId="0" fontId="39" fillId="9" borderId="9" applyNumberFormat="0" applyAlignment="0">
      <alignment vertical="top"/>
      <protection locked="0"/>
    </xf>
    <xf numFmtId="0" fontId="25" fillId="0" borderId="0" applyNumberFormat="0" applyFill="0" applyBorder="0">
      <alignment horizontal="right"/>
    </xf>
    <xf numFmtId="0" fontId="27" fillId="0" borderId="0" applyNumberFormat="0" applyFill="0" applyBorder="0" applyAlignment="0">
      <alignment vertical="top"/>
    </xf>
    <xf numFmtId="0" fontId="26" fillId="0" borderId="0" applyNumberFormat="0" applyFill="0" applyBorder="0" applyAlignment="0">
      <alignment vertical="top"/>
    </xf>
    <xf numFmtId="0" fontId="28" fillId="0" borderId="11" applyNumberFormat="0" applyFill="0">
      <alignment vertical="center" wrapText="1"/>
    </xf>
    <xf numFmtId="0" fontId="29" fillId="16" borderId="7" applyNumberFormat="0"/>
    <xf numFmtId="0" fontId="17" fillId="0" borderId="9" applyNumberFormat="0" applyFill="0"/>
    <xf numFmtId="0" fontId="31" fillId="17" borderId="0" applyNumberFormat="0">
      <alignment vertical="center" wrapText="1"/>
    </xf>
    <xf numFmtId="0" fontId="17" fillId="0" borderId="12" applyNumberFormat="0"/>
    <xf numFmtId="0" fontId="31" fillId="16" borderId="8" applyNumberFormat="0">
      <alignment vertical="center" wrapText="1"/>
    </xf>
    <xf numFmtId="0" fontId="17" fillId="0" borderId="14" applyNumberFormat="0" applyFill="0"/>
    <xf numFmtId="0" fontId="32" fillId="16" borderId="8" applyNumberFormat="0"/>
    <xf numFmtId="0" fontId="30" fillId="16" borderId="8" applyNumberFormat="0"/>
    <xf numFmtId="0" fontId="33" fillId="13" borderId="0" applyNumberFormat="0" applyBorder="0" applyAlignment="0"/>
    <xf numFmtId="0" fontId="33" fillId="18" borderId="0" applyNumberFormat="0" applyBorder="0" applyAlignment="0"/>
    <xf numFmtId="0" fontId="33" fillId="19" borderId="0" applyNumberFormat="0" applyBorder="0" applyAlignment="0"/>
    <xf numFmtId="0" fontId="33" fillId="20" borderId="0" applyNumberFormat="0" applyBorder="0" applyAlignment="0"/>
    <xf numFmtId="0" fontId="33" fillId="21" borderId="0" applyNumberFormat="0" applyBorder="0" applyAlignment="0"/>
    <xf numFmtId="0" fontId="17" fillId="25" borderId="9" applyNumberFormat="0" applyAlignment="0">
      <alignment vertical="top"/>
    </xf>
    <xf numFmtId="0" fontId="24" fillId="0" borderId="15" applyNumberFormat="0" applyFill="0" applyAlignment="0">
      <alignment vertical="top"/>
    </xf>
    <xf numFmtId="0" fontId="20" fillId="23" borderId="0" applyNumberFormat="0" applyBorder="0" applyAlignment="0"/>
    <xf numFmtId="0" fontId="21" fillId="22" borderId="0" applyNumberFormat="0" applyBorder="0" applyAlignment="0" applyProtection="0"/>
    <xf numFmtId="0" fontId="35" fillId="9" borderId="0" applyNumberFormat="0" applyBorder="0" applyAlignment="0" applyProtection="0"/>
    <xf numFmtId="0" fontId="17" fillId="15" borderId="9" applyNumberFormat="0" applyAlignment="0"/>
    <xf numFmtId="0" fontId="36" fillId="0" borderId="17" applyNumberFormat="0" applyFill="0" applyAlignment="0"/>
    <xf numFmtId="0" fontId="18" fillId="0" borderId="0" applyNumberFormat="0" applyFill="0" applyBorder="0" applyAlignment="0"/>
    <xf numFmtId="0" fontId="17" fillId="24" borderId="9" applyNumberFormat="0" applyAlignment="0" applyProtection="0"/>
    <xf numFmtId="0" fontId="17" fillId="10" borderId="0" applyNumberFormat="0" applyAlignment="0"/>
    <xf numFmtId="0" fontId="18" fillId="0" borderId="0" applyNumberFormat="0" applyFill="0" applyAlignment="0"/>
    <xf numFmtId="0" fontId="17" fillId="14" borderId="16" applyNumberFormat="0" applyAlignment="0"/>
    <xf numFmtId="0" fontId="20" fillId="12" borderId="0" applyNumberFormat="0" applyBorder="0" applyAlignment="0"/>
    <xf numFmtId="0" fontId="16" fillId="0" borderId="0" applyNumberFormat="0" applyFill="0"/>
    <xf numFmtId="0" fontId="34" fillId="0" borderId="18" applyNumberFormat="0" applyFill="0" applyAlignment="0" applyProtection="0"/>
    <xf numFmtId="166" fontId="17" fillId="0" borderId="0" applyFill="0" applyBorder="0" applyAlignment="0" applyProtection="0"/>
    <xf numFmtId="167" fontId="17" fillId="0" borderId="0" applyFill="0" applyBorder="0" applyAlignment="0" applyProtection="0"/>
    <xf numFmtId="165" fontId="17" fillId="0" borderId="0" applyFill="0" applyBorder="0" applyAlignment="0" applyProtection="0"/>
    <xf numFmtId="164" fontId="17" fillId="0" borderId="0" applyFill="0" applyBorder="0" applyAlignment="0" applyProtection="0"/>
    <xf numFmtId="9" fontId="17" fillId="0" borderId="0" applyFill="0" applyBorder="0" applyAlignment="0" applyProtection="0"/>
    <xf numFmtId="0" fontId="33" fillId="17" borderId="0" applyNumberFormat="0" applyBorder="0" applyAlignment="0"/>
    <xf numFmtId="0" fontId="38" fillId="0" borderId="0" applyNumberFormat="0" applyFill="0" applyBorder="0" applyAlignment="0"/>
    <xf numFmtId="0" fontId="31" fillId="16" borderId="8" applyNumberFormat="0" applyAlignment="0">
      <alignment vertical="center"/>
    </xf>
    <xf numFmtId="0" fontId="16" fillId="29" borderId="7" applyNumberFormat="0" applyAlignment="0"/>
    <xf numFmtId="0" fontId="19" fillId="29" borderId="8" applyNumberFormat="0" applyAlignment="0"/>
    <xf numFmtId="0" fontId="37" fillId="29" borderId="13" applyNumberFormat="0" applyAlignment="0"/>
    <xf numFmtId="0" fontId="17" fillId="14" borderId="10" applyNumberFormat="0" applyAlignment="0"/>
    <xf numFmtId="0" fontId="17" fillId="27" borderId="10" applyNumberFormat="0" applyAlignment="0"/>
    <xf numFmtId="0" fontId="17" fillId="28" borderId="10" applyNumberFormat="0" applyAlignment="0"/>
    <xf numFmtId="0" fontId="17" fillId="15" borderId="10" applyNumberFormat="0" applyAlignment="0"/>
    <xf numFmtId="0" fontId="17" fillId="26" borderId="10" applyNumberFormat="0" applyAlignment="0"/>
    <xf numFmtId="0" fontId="2" fillId="0" borderId="0"/>
    <xf numFmtId="0" fontId="46" fillId="0" borderId="0"/>
    <xf numFmtId="0" fontId="1" fillId="0" borderId="0"/>
    <xf numFmtId="44" fontId="1" fillId="0" borderId="0" applyFont="0" applyFill="0" applyBorder="0" applyAlignment="0" applyProtection="0"/>
    <xf numFmtId="0" fontId="53" fillId="0" borderId="96" applyNumberFormat="0" applyProtection="0">
      <alignment wrapText="1"/>
    </xf>
    <xf numFmtId="0" fontId="54" fillId="0" borderId="97" applyNumberFormat="0" applyFont="0" applyProtection="0">
      <alignment wrapText="1"/>
    </xf>
  </cellStyleXfs>
  <cellXfs count="700">
    <xf numFmtId="0" fontId="0" fillId="0" borderId="0" xfId="0"/>
    <xf numFmtId="0" fontId="18" fillId="0" borderId="0" xfId="18">
      <alignment vertical="top"/>
    </xf>
    <xf numFmtId="0" fontId="0" fillId="9" borderId="9" xfId="19" applyFont="1">
      <alignment vertical="top"/>
      <protection locked="0"/>
    </xf>
    <xf numFmtId="0" fontId="0" fillId="11" borderId="9" xfId="21" applyFont="1">
      <alignment vertical="top"/>
      <protection locked="0"/>
    </xf>
    <xf numFmtId="0" fontId="29" fillId="16" borderId="7" xfId="32"/>
    <xf numFmtId="0" fontId="0" fillId="0" borderId="0" xfId="0" applyBorder="1"/>
    <xf numFmtId="0" fontId="0" fillId="0" borderId="0" xfId="0"/>
    <xf numFmtId="0" fontId="18" fillId="0" borderId="0" xfId="52"/>
    <xf numFmtId="0" fontId="18" fillId="0" borderId="0" xfId="18" applyAlignment="1"/>
    <xf numFmtId="0" fontId="32" fillId="16" borderId="8" xfId="38"/>
    <xf numFmtId="0" fontId="37" fillId="29" borderId="13" xfId="70"/>
    <xf numFmtId="0" fontId="17" fillId="14" borderId="10" xfId="71" applyAlignment="1">
      <alignment vertical="top"/>
    </xf>
    <xf numFmtId="0" fontId="17" fillId="27" borderId="10" xfId="72" applyAlignment="1">
      <alignment vertical="top"/>
    </xf>
    <xf numFmtId="0" fontId="31" fillId="16" borderId="8" xfId="36" applyAlignment="1">
      <alignment horizontal="center" vertical="center" wrapText="1"/>
    </xf>
    <xf numFmtId="0" fontId="17" fillId="0" borderId="14" xfId="37" applyAlignment="1">
      <alignment horizontal="center"/>
    </xf>
    <xf numFmtId="0" fontId="0" fillId="0" borderId="19" xfId="0" applyBorder="1"/>
    <xf numFmtId="0" fontId="0" fillId="0" borderId="20" xfId="0" applyBorder="1"/>
    <xf numFmtId="0" fontId="31" fillId="16" borderId="8" xfId="36" applyAlignment="1">
      <alignment horizontal="center" vertical="center" wrapText="1"/>
    </xf>
    <xf numFmtId="0" fontId="0" fillId="0" borderId="14" xfId="37" applyFont="1" applyAlignment="1">
      <alignment horizontal="center"/>
    </xf>
    <xf numFmtId="0" fontId="18" fillId="0" borderId="0" xfId="18" quotePrefix="1">
      <alignment vertical="top"/>
    </xf>
    <xf numFmtId="0" fontId="32" fillId="16" borderId="8" xfId="38" applyAlignment="1">
      <alignment horizontal="centerContinuous"/>
    </xf>
    <xf numFmtId="0" fontId="32" fillId="16" borderId="21" xfId="38" applyBorder="1" applyAlignment="1">
      <alignment horizontal="centerContinuous"/>
    </xf>
    <xf numFmtId="0" fontId="32" fillId="16" borderId="23" xfId="38" applyBorder="1" applyAlignment="1">
      <alignment horizontal="centerContinuous"/>
    </xf>
    <xf numFmtId="0" fontId="32" fillId="16" borderId="22" xfId="38" applyBorder="1" applyAlignment="1">
      <alignment horizontal="centerContinuous"/>
    </xf>
    <xf numFmtId="0" fontId="31" fillId="16" borderId="8" xfId="36" applyBorder="1" applyAlignment="1">
      <alignment horizontal="center" vertical="center" wrapText="1"/>
    </xf>
    <xf numFmtId="0" fontId="31" fillId="16" borderId="8" xfId="36" applyAlignment="1">
      <alignment horizontal="center" vertical="center" wrapText="1"/>
    </xf>
    <xf numFmtId="0" fontId="31" fillId="16" borderId="8" xfId="36" applyAlignment="1">
      <alignment horizontal="center" vertical="center" wrapText="1"/>
    </xf>
    <xf numFmtId="0" fontId="17" fillId="14" borderId="10" xfId="71" applyAlignment="1">
      <alignment horizontal="center" vertical="top"/>
    </xf>
    <xf numFmtId="0" fontId="0" fillId="9" borderId="9" xfId="19" applyFont="1" applyAlignment="1">
      <alignment horizontal="center" vertical="center"/>
      <protection locked="0"/>
    </xf>
    <xf numFmtId="0" fontId="17" fillId="11" borderId="9" xfId="21" applyAlignment="1">
      <alignment horizontal="center" vertical="center"/>
      <protection locked="0"/>
    </xf>
    <xf numFmtId="0" fontId="43" fillId="0" borderId="13" xfId="70" applyFont="1" applyFill="1"/>
    <xf numFmtId="0" fontId="17" fillId="14" borderId="10" xfId="71" applyAlignment="1">
      <alignment horizontal="center"/>
    </xf>
    <xf numFmtId="0" fontId="0" fillId="0" borderId="14" xfId="37" applyFont="1"/>
    <xf numFmtId="0" fontId="44" fillId="16" borderId="21" xfId="38" applyFont="1" applyBorder="1" applyAlignment="1">
      <alignment horizontal="centerContinuous"/>
    </xf>
    <xf numFmtId="0" fontId="44" fillId="16" borderId="8" xfId="38" applyFont="1" applyBorder="1" applyAlignment="1">
      <alignment horizontal="centerContinuous"/>
    </xf>
    <xf numFmtId="0" fontId="31" fillId="16" borderId="8" xfId="67" applyAlignment="1">
      <alignment horizontal="center" vertical="center" wrapText="1"/>
    </xf>
    <xf numFmtId="0" fontId="43" fillId="0" borderId="13" xfId="70" applyFont="1" applyFill="1" applyAlignment="1">
      <alignment shrinkToFit="1"/>
    </xf>
    <xf numFmtId="2" fontId="17" fillId="14" borderId="10" xfId="71" applyNumberFormat="1" applyAlignment="1">
      <alignment horizontal="center"/>
    </xf>
    <xf numFmtId="2" fontId="39" fillId="9" borderId="9" xfId="27" applyNumberFormat="1" applyAlignment="1">
      <alignment horizontal="center" vertical="top"/>
      <protection locked="0"/>
    </xf>
    <xf numFmtId="3" fontId="39" fillId="9" borderId="9" xfId="27" applyNumberFormat="1" applyAlignment="1">
      <alignment horizontal="center" vertical="top"/>
      <protection locked="0"/>
    </xf>
    <xf numFmtId="1" fontId="39" fillId="9" borderId="9" xfId="27" applyNumberFormat="1" applyAlignment="1">
      <alignment horizontal="center" vertical="top"/>
      <protection locked="0"/>
    </xf>
    <xf numFmtId="1" fontId="17" fillId="14" borderId="10" xfId="71" applyNumberFormat="1" applyAlignment="1">
      <alignment horizontal="center"/>
    </xf>
    <xf numFmtId="170" fontId="17" fillId="14" borderId="10" xfId="71" applyNumberFormat="1" applyAlignment="1">
      <alignment horizontal="center"/>
    </xf>
    <xf numFmtId="0" fontId="17" fillId="15" borderId="10" xfId="74" applyAlignment="1">
      <alignment horizontal="center"/>
    </xf>
    <xf numFmtId="0" fontId="17" fillId="9" borderId="9" xfId="19" applyAlignment="1">
      <alignment horizontal="center"/>
      <protection locked="0"/>
    </xf>
    <xf numFmtId="0" fontId="18" fillId="0" borderId="0" xfId="18" applyFill="1" applyBorder="1" applyAlignment="1"/>
    <xf numFmtId="2" fontId="17" fillId="27" borderId="10" xfId="72" applyNumberFormat="1" applyAlignment="1">
      <alignment horizontal="center"/>
    </xf>
    <xf numFmtId="0" fontId="31" fillId="16" borderId="8" xfId="36" applyAlignment="1">
      <alignment horizontal="center" vertical="center" wrapText="1"/>
    </xf>
    <xf numFmtId="0" fontId="0" fillId="0" borderId="29" xfId="0" applyBorder="1"/>
    <xf numFmtId="0" fontId="0" fillId="0" borderId="30" xfId="0" applyBorder="1"/>
    <xf numFmtId="0" fontId="0" fillId="0" borderId="31" xfId="0" applyBorder="1"/>
    <xf numFmtId="0" fontId="0" fillId="0" borderId="32" xfId="0" applyBorder="1"/>
    <xf numFmtId="168" fontId="39" fillId="9" borderId="9" xfId="27" applyNumberFormat="1" applyBorder="1" applyAlignment="1">
      <alignment horizontal="center" vertical="top"/>
      <protection locked="0"/>
    </xf>
    <xf numFmtId="0" fontId="43" fillId="0" borderId="13" xfId="70" applyFont="1" applyFill="1" applyBorder="1"/>
    <xf numFmtId="0" fontId="17" fillId="9" borderId="9" xfId="19" applyBorder="1" applyAlignment="1">
      <alignment horizontal="center"/>
      <protection locked="0"/>
    </xf>
    <xf numFmtId="0" fontId="43" fillId="0" borderId="13" xfId="70" applyFont="1" applyFill="1" applyBorder="1" applyAlignment="1">
      <alignment shrinkToFit="1"/>
    </xf>
    <xf numFmtId="2" fontId="17" fillId="14" borderId="10" xfId="71" applyNumberFormat="1" applyBorder="1" applyAlignment="1">
      <alignment horizontal="center"/>
    </xf>
    <xf numFmtId="169" fontId="17" fillId="14" borderId="10" xfId="71" applyNumberFormat="1" applyBorder="1" applyAlignment="1">
      <alignment horizontal="center"/>
    </xf>
    <xf numFmtId="0" fontId="0" fillId="0" borderId="34" xfId="0" applyBorder="1"/>
    <xf numFmtId="0" fontId="0" fillId="0" borderId="35" xfId="0" applyBorder="1"/>
    <xf numFmtId="0" fontId="0" fillId="0" borderId="36" xfId="0" applyBorder="1"/>
    <xf numFmtId="0" fontId="0" fillId="0" borderId="31" xfId="0" applyBorder="1" applyAlignment="1">
      <alignment shrinkToFit="1"/>
    </xf>
    <xf numFmtId="0" fontId="17" fillId="14" borderId="10" xfId="71" applyBorder="1" applyAlignment="1">
      <alignment horizontal="center"/>
    </xf>
    <xf numFmtId="0" fontId="0" fillId="0" borderId="14" xfId="37" applyFont="1" applyBorder="1" applyAlignment="1">
      <alignment shrinkToFit="1"/>
    </xf>
    <xf numFmtId="0" fontId="17" fillId="27" borderId="10" xfId="72" applyBorder="1" applyAlignment="1">
      <alignment horizontal="center"/>
    </xf>
    <xf numFmtId="0" fontId="18" fillId="0" borderId="0" xfId="52" applyBorder="1"/>
    <xf numFmtId="0" fontId="31" fillId="30" borderId="8" xfId="67" applyFill="1" applyBorder="1" applyAlignment="1">
      <alignment horizontal="center" vertical="center" wrapText="1"/>
    </xf>
    <xf numFmtId="0" fontId="17" fillId="14" borderId="26" xfId="71" applyBorder="1" applyAlignment="1">
      <alignment horizontal="center" shrinkToFit="1"/>
    </xf>
    <xf numFmtId="0" fontId="17" fillId="27" borderId="10" xfId="72" applyBorder="1" applyAlignment="1">
      <alignment horizontal="center" shrinkToFit="1"/>
    </xf>
    <xf numFmtId="0" fontId="17" fillId="14" borderId="27" xfId="71" applyBorder="1" applyAlignment="1">
      <alignment horizontal="center" shrinkToFit="1"/>
    </xf>
    <xf numFmtId="0" fontId="17" fillId="14" borderId="41" xfId="71" applyBorder="1" applyAlignment="1">
      <alignment horizontal="center" shrinkToFit="1"/>
    </xf>
    <xf numFmtId="0" fontId="18" fillId="0" borderId="0" xfId="18" applyBorder="1" applyAlignment="1"/>
    <xf numFmtId="0" fontId="31" fillId="30" borderId="8" xfId="36" applyFill="1" applyBorder="1" applyAlignment="1">
      <alignment horizontal="center" vertical="center" wrapText="1"/>
    </xf>
    <xf numFmtId="0" fontId="0" fillId="0" borderId="0" xfId="0" applyBorder="1" applyAlignment="1">
      <alignment shrinkToFit="1"/>
    </xf>
    <xf numFmtId="0" fontId="19" fillId="29" borderId="37" xfId="69" applyBorder="1" applyAlignment="1">
      <alignment vertical="center"/>
    </xf>
    <xf numFmtId="0" fontId="19" fillId="29" borderId="38" xfId="69" applyBorder="1" applyAlignment="1">
      <alignment vertical="center"/>
    </xf>
    <xf numFmtId="0" fontId="37" fillId="29" borderId="33" xfId="70" applyBorder="1" applyAlignment="1">
      <alignment vertical="center" shrinkToFit="1"/>
    </xf>
    <xf numFmtId="0" fontId="31" fillId="30" borderId="39" xfId="36" applyFill="1" applyBorder="1" applyAlignment="1">
      <alignment horizontal="center" vertical="center" wrapText="1"/>
    </xf>
    <xf numFmtId="0" fontId="37" fillId="29" borderId="13" xfId="70" applyBorder="1" applyAlignment="1"/>
    <xf numFmtId="0" fontId="31" fillId="16" borderId="8" xfId="67" applyAlignment="1">
      <alignment horizontal="center" vertical="center" wrapText="1"/>
    </xf>
    <xf numFmtId="0" fontId="43" fillId="0" borderId="0" xfId="70" applyFont="1" applyFill="1" applyBorder="1" applyAlignment="1">
      <alignment shrinkToFit="1"/>
    </xf>
    <xf numFmtId="0" fontId="45" fillId="11" borderId="9" xfId="21" applyFont="1" applyBorder="1" applyAlignment="1">
      <alignment horizontal="center" vertical="center"/>
      <protection locked="0"/>
    </xf>
    <xf numFmtId="0" fontId="31" fillId="16" borderId="8" xfId="67" applyAlignment="1">
      <alignment horizontal="center" vertical="center" wrapText="1"/>
    </xf>
    <xf numFmtId="0" fontId="17" fillId="14" borderId="10" xfId="71" applyAlignment="1">
      <alignment horizontal="center" vertical="center"/>
    </xf>
    <xf numFmtId="1" fontId="17" fillId="14" borderId="10" xfId="71" applyNumberFormat="1" applyAlignment="1">
      <alignment horizontal="center" vertical="top"/>
    </xf>
    <xf numFmtId="1" fontId="17" fillId="27" borderId="10" xfId="72" applyNumberFormat="1" applyAlignment="1">
      <alignment horizontal="center" vertical="top"/>
    </xf>
    <xf numFmtId="3" fontId="17" fillId="27" borderId="10" xfId="72" applyNumberFormat="1" applyAlignment="1">
      <alignment horizontal="center" vertical="top"/>
    </xf>
    <xf numFmtId="1" fontId="39" fillId="9" borderId="9" xfId="27" applyNumberFormat="1" applyAlignment="1">
      <alignment horizontal="center"/>
      <protection locked="0"/>
    </xf>
    <xf numFmtId="3" fontId="39" fillId="9" borderId="9" xfId="27" applyNumberFormat="1" applyAlignment="1">
      <alignment horizontal="center"/>
      <protection locked="0"/>
    </xf>
    <xf numFmtId="0" fontId="31" fillId="16" borderId="8" xfId="67" applyAlignment="1">
      <alignment horizontal="center" vertical="center" wrapText="1"/>
    </xf>
    <xf numFmtId="0" fontId="18" fillId="0" borderId="0" xfId="18" applyBorder="1" applyAlignment="1">
      <alignment vertical="top" wrapText="1"/>
    </xf>
    <xf numFmtId="0" fontId="0" fillId="0" borderId="0" xfId="0" applyBorder="1" applyAlignment="1">
      <alignment vertical="top" wrapText="1"/>
    </xf>
    <xf numFmtId="0" fontId="0" fillId="0" borderId="0" xfId="0" applyBorder="1" applyAlignment="1">
      <alignment vertical="top"/>
    </xf>
    <xf numFmtId="0" fontId="0" fillId="11" borderId="9" xfId="21" applyFont="1" applyAlignment="1">
      <alignment horizontal="center" vertical="center"/>
      <protection locked="0"/>
    </xf>
    <xf numFmtId="0" fontId="27" fillId="0" borderId="0" xfId="29" applyAlignment="1"/>
    <xf numFmtId="0" fontId="46" fillId="0" borderId="13" xfId="70" applyFont="1" applyFill="1" applyAlignment="1">
      <alignment horizontal="right"/>
    </xf>
    <xf numFmtId="0" fontId="46" fillId="0" borderId="0" xfId="0" applyFont="1" applyAlignment="1">
      <alignment horizontal="right"/>
    </xf>
    <xf numFmtId="0" fontId="0" fillId="0" borderId="0" xfId="0" applyFont="1"/>
    <xf numFmtId="0" fontId="0" fillId="9" borderId="43" xfId="19" applyFont="1" applyBorder="1">
      <alignment vertical="top"/>
      <protection locked="0"/>
    </xf>
    <xf numFmtId="0" fontId="17" fillId="14" borderId="27" xfId="71" applyBorder="1" applyAlignment="1">
      <alignment vertical="top"/>
    </xf>
    <xf numFmtId="0" fontId="32" fillId="16" borderId="44" xfId="38" applyBorder="1" applyAlignment="1">
      <alignment horizontal="centerContinuous"/>
    </xf>
    <xf numFmtId="0" fontId="32" fillId="16" borderId="8" xfId="38" applyBorder="1" applyAlignment="1">
      <alignment horizontal="centerContinuous"/>
    </xf>
    <xf numFmtId="0" fontId="31" fillId="16" borderId="44" xfId="36" applyBorder="1" applyAlignment="1">
      <alignment horizontal="center" vertical="center" wrapText="1"/>
    </xf>
    <xf numFmtId="0" fontId="17" fillId="14" borderId="45" xfId="71" applyBorder="1" applyAlignment="1">
      <alignment vertical="top"/>
    </xf>
    <xf numFmtId="0" fontId="17" fillId="14" borderId="10" xfId="71" applyBorder="1" applyAlignment="1">
      <alignment vertical="top"/>
    </xf>
    <xf numFmtId="0" fontId="0" fillId="9" borderId="46" xfId="19" applyFont="1" applyBorder="1">
      <alignment vertical="top"/>
      <protection locked="0"/>
    </xf>
    <xf numFmtId="0" fontId="0" fillId="9" borderId="9" xfId="19" applyFont="1" applyBorder="1">
      <alignment vertical="top"/>
      <protection locked="0"/>
    </xf>
    <xf numFmtId="2" fontId="17" fillId="9" borderId="9" xfId="19" applyNumberFormat="1" applyAlignment="1">
      <alignment horizontal="center"/>
      <protection locked="0"/>
    </xf>
    <xf numFmtId="170" fontId="17" fillId="9" borderId="9" xfId="19" applyNumberFormat="1" applyAlignment="1">
      <alignment horizontal="center"/>
      <protection locked="0"/>
    </xf>
    <xf numFmtId="0" fontId="28" fillId="0" borderId="0" xfId="0" applyFont="1"/>
    <xf numFmtId="1" fontId="17" fillId="14" borderId="10" xfId="71" applyNumberFormat="1" applyFill="1" applyAlignment="1">
      <alignment horizontal="center" vertical="top"/>
    </xf>
    <xf numFmtId="3" fontId="39" fillId="14" borderId="9" xfId="27" applyNumberFormat="1" applyFill="1" applyAlignment="1">
      <alignment horizontal="center" vertical="top"/>
      <protection locked="0"/>
    </xf>
    <xf numFmtId="172" fontId="17" fillId="14" borderId="10" xfId="71" applyNumberFormat="1" applyBorder="1" applyAlignment="1">
      <alignment horizontal="center"/>
    </xf>
    <xf numFmtId="0" fontId="39" fillId="9" borderId="9" xfId="27" applyNumberFormat="1" applyBorder="1" applyAlignment="1">
      <alignment horizontal="center" vertical="top"/>
      <protection locked="0"/>
    </xf>
    <xf numFmtId="171" fontId="39" fillId="9" borderId="9" xfId="27" applyNumberFormat="1" applyBorder="1" applyAlignment="1">
      <alignment horizontal="center" vertical="top"/>
      <protection locked="0"/>
    </xf>
    <xf numFmtId="0" fontId="43" fillId="0" borderId="13" xfId="70" applyFont="1" applyFill="1" applyBorder="1" applyAlignment="1">
      <alignment horizontal="right"/>
    </xf>
    <xf numFmtId="0" fontId="0" fillId="0" borderId="0" xfId="0" applyFont="1" applyFill="1" applyAlignment="1">
      <alignment horizontal="left" indent="2"/>
    </xf>
    <xf numFmtId="171" fontId="39" fillId="9" borderId="9" xfId="27" applyNumberFormat="1" applyBorder="1" applyAlignment="1">
      <alignment horizontal="center" shrinkToFit="1"/>
      <protection locked="0"/>
    </xf>
    <xf numFmtId="1" fontId="39" fillId="9" borderId="9" xfId="27" quotePrefix="1" applyNumberFormat="1" applyAlignment="1">
      <alignment horizontal="center" vertical="top"/>
      <protection locked="0"/>
    </xf>
    <xf numFmtId="3" fontId="39" fillId="9" borderId="9" xfId="27" quotePrefix="1" applyNumberFormat="1" applyAlignment="1">
      <alignment horizontal="center" vertical="top"/>
      <protection locked="0"/>
    </xf>
    <xf numFmtId="0" fontId="0" fillId="0" borderId="14" xfId="37" applyFont="1" applyBorder="1" applyAlignment="1"/>
    <xf numFmtId="0" fontId="0" fillId="0" borderId="14" xfId="0" applyBorder="1" applyAlignment="1"/>
    <xf numFmtId="1" fontId="39" fillId="14" borderId="9" xfId="27" applyNumberFormat="1" applyFill="1" applyAlignment="1">
      <alignment horizontal="center" vertical="top"/>
      <protection locked="0"/>
    </xf>
    <xf numFmtId="0" fontId="27" fillId="0" borderId="0" xfId="29" applyFill="1" applyAlignment="1">
      <alignment horizontal="left" indent="2"/>
    </xf>
    <xf numFmtId="3" fontId="17" fillId="9" borderId="9" xfId="19" applyNumberFormat="1" applyAlignment="1">
      <alignment horizontal="center"/>
      <protection locked="0"/>
    </xf>
    <xf numFmtId="171" fontId="17" fillId="14" borderId="10" xfId="71" applyNumberFormat="1" applyAlignment="1">
      <alignment horizontal="center"/>
    </xf>
    <xf numFmtId="2" fontId="39" fillId="14" borderId="9" xfId="27" applyNumberFormat="1" applyFill="1" applyAlignment="1">
      <alignment horizontal="center" vertical="top"/>
      <protection locked="0"/>
    </xf>
    <xf numFmtId="0" fontId="31" fillId="16" borderId="8" xfId="67" applyAlignment="1">
      <alignment horizontal="center" vertical="center" wrapText="1"/>
    </xf>
    <xf numFmtId="0" fontId="18" fillId="0" borderId="0" xfId="18" applyBorder="1" applyAlignment="1">
      <alignment vertical="top"/>
    </xf>
    <xf numFmtId="0" fontId="18" fillId="0" borderId="0" xfId="18" applyBorder="1" applyAlignment="1">
      <alignment vertical="top" shrinkToFit="1"/>
    </xf>
    <xf numFmtId="0" fontId="31" fillId="16" borderId="8" xfId="36" applyAlignment="1">
      <alignment horizontal="center" vertical="center" wrapText="1"/>
    </xf>
    <xf numFmtId="0" fontId="31" fillId="16" borderId="8" xfId="67" applyAlignment="1">
      <alignment horizontal="center" vertical="center" wrapText="1"/>
    </xf>
    <xf numFmtId="0" fontId="31" fillId="16" borderId="8" xfId="36" applyAlignment="1">
      <alignment horizontal="center" vertical="center" wrapText="1"/>
    </xf>
    <xf numFmtId="0" fontId="0" fillId="0" borderId="0" xfId="0" applyBorder="1" applyAlignment="1">
      <alignment vertical="top"/>
    </xf>
    <xf numFmtId="0" fontId="31" fillId="16" borderId="8" xfId="67" applyAlignment="1">
      <alignment horizontal="center" vertical="center" wrapText="1"/>
    </xf>
    <xf numFmtId="2" fontId="39" fillId="9" borderId="9" xfId="27" applyNumberFormat="1" applyBorder="1" applyAlignment="1">
      <alignment horizontal="center" vertical="top"/>
      <protection locked="0"/>
    </xf>
    <xf numFmtId="0" fontId="18" fillId="0" borderId="0" xfId="18" applyFill="1">
      <alignment vertical="top"/>
    </xf>
    <xf numFmtId="0" fontId="0" fillId="0" borderId="0" xfId="0" applyFill="1"/>
    <xf numFmtId="170" fontId="17" fillId="9" borderId="9" xfId="19" applyNumberFormat="1" applyBorder="1" applyAlignment="1">
      <alignment horizontal="center"/>
      <protection locked="0"/>
    </xf>
    <xf numFmtId="3" fontId="39" fillId="9" borderId="9" xfId="27" applyNumberFormat="1" applyFill="1" applyAlignment="1">
      <alignment horizontal="center" vertical="top"/>
      <protection locked="0"/>
    </xf>
    <xf numFmtId="3" fontId="17" fillId="14" borderId="9" xfId="19" applyNumberFormat="1" applyFill="1" applyAlignment="1">
      <alignment horizontal="center"/>
      <protection locked="0"/>
    </xf>
    <xf numFmtId="4" fontId="17" fillId="9" borderId="9" xfId="19" applyNumberFormat="1" applyAlignment="1">
      <alignment horizontal="center"/>
      <protection locked="0"/>
    </xf>
    <xf numFmtId="172" fontId="39" fillId="14" borderId="9" xfId="27" applyNumberFormat="1" applyFill="1" applyAlignment="1">
      <alignment horizontal="center" vertical="top"/>
      <protection locked="0"/>
    </xf>
    <xf numFmtId="10" fontId="17" fillId="9" borderId="14" xfId="37" applyNumberFormat="1" applyFill="1" applyAlignment="1">
      <alignment horizontal="center"/>
    </xf>
    <xf numFmtId="1" fontId="39" fillId="9" borderId="9" xfId="27" applyNumberFormat="1" applyBorder="1" applyAlignment="1">
      <alignment horizontal="center" vertical="top"/>
      <protection locked="0"/>
    </xf>
    <xf numFmtId="171" fontId="39" fillId="14" borderId="9" xfId="27" applyNumberFormat="1" applyFill="1" applyBorder="1" applyAlignment="1">
      <alignment horizontal="center" vertical="top"/>
      <protection locked="0"/>
    </xf>
    <xf numFmtId="0" fontId="0" fillId="9" borderId="0" xfId="0" applyFill="1" applyBorder="1" applyAlignment="1">
      <alignment horizontal="center"/>
    </xf>
    <xf numFmtId="170" fontId="39" fillId="9" borderId="9" xfId="27" applyNumberFormat="1" applyBorder="1" applyAlignment="1">
      <alignment horizontal="center" vertical="top"/>
      <protection locked="0"/>
    </xf>
    <xf numFmtId="170" fontId="39" fillId="9" borderId="9" xfId="27" applyNumberFormat="1" applyBorder="1" applyAlignment="1">
      <alignment horizontal="center" shrinkToFit="1"/>
      <protection locked="0"/>
    </xf>
    <xf numFmtId="171" fontId="39" fillId="14" borderId="9" xfId="27" applyNumberFormat="1" applyFill="1" applyAlignment="1">
      <alignment horizontal="center" vertical="top"/>
      <protection locked="0"/>
    </xf>
    <xf numFmtId="168" fontId="17" fillId="9" borderId="9" xfId="19" applyNumberFormat="1" applyAlignment="1">
      <alignment horizontal="center"/>
      <protection locked="0"/>
    </xf>
    <xf numFmtId="3" fontId="39" fillId="14" borderId="9" xfId="27" applyNumberFormat="1" applyFill="1" applyAlignment="1">
      <alignment horizontal="center"/>
      <protection locked="0"/>
    </xf>
    <xf numFmtId="171" fontId="17" fillId="14" borderId="10" xfId="71" applyNumberFormat="1" applyAlignment="1">
      <alignment horizontal="center" vertical="top"/>
    </xf>
    <xf numFmtId="172" fontId="17" fillId="14" borderId="10" xfId="71" applyNumberFormat="1" applyAlignment="1">
      <alignment horizontal="center" vertical="top"/>
    </xf>
    <xf numFmtId="0" fontId="43" fillId="0" borderId="13" xfId="70" applyFont="1" applyFill="1" applyAlignment="1">
      <alignment horizontal="right"/>
    </xf>
    <xf numFmtId="0" fontId="0" fillId="0" borderId="0" xfId="0" applyAlignment="1">
      <alignment horizontal="right"/>
    </xf>
    <xf numFmtId="0" fontId="0" fillId="0" borderId="0" xfId="0" applyBorder="1" applyAlignment="1">
      <alignment horizontal="right"/>
    </xf>
    <xf numFmtId="169" fontId="17" fillId="9" borderId="14" xfId="37" applyNumberFormat="1" applyFill="1"/>
    <xf numFmtId="169" fontId="17" fillId="14" borderId="14" xfId="37" applyNumberFormat="1" applyFill="1"/>
    <xf numFmtId="3" fontId="17" fillId="9" borderId="14" xfId="37" applyNumberFormat="1" applyFill="1"/>
    <xf numFmtId="0" fontId="31" fillId="16" borderId="8" xfId="67" applyAlignment="1">
      <alignment horizontal="center" vertical="center" wrapText="1"/>
    </xf>
    <xf numFmtId="0" fontId="31" fillId="16" borderId="8" xfId="36" applyAlignment="1">
      <alignment horizontal="center" vertical="center" wrapText="1"/>
    </xf>
    <xf numFmtId="0" fontId="0" fillId="0" borderId="0" xfId="0" applyBorder="1" applyAlignment="1">
      <alignment vertical="top"/>
    </xf>
    <xf numFmtId="0" fontId="31" fillId="16" borderId="8" xfId="67" applyAlignment="1">
      <alignment horizontal="center" vertical="center" wrapText="1"/>
    </xf>
    <xf numFmtId="0" fontId="0" fillId="0" borderId="0" xfId="0" applyAlignment="1">
      <alignment horizontal="center"/>
    </xf>
    <xf numFmtId="0" fontId="0" fillId="0" borderId="0" xfId="0" applyNumberFormat="1" applyAlignment="1">
      <alignment horizontal="center"/>
    </xf>
    <xf numFmtId="0" fontId="0" fillId="0" borderId="0" xfId="0" applyAlignment="1">
      <alignment horizontal="center" vertical="center" wrapText="1"/>
    </xf>
    <xf numFmtId="0" fontId="17" fillId="9" borderId="9" xfId="19" applyAlignment="1">
      <alignment horizontal="left"/>
      <protection locked="0"/>
    </xf>
    <xf numFmtId="0" fontId="0" fillId="0" borderId="49" xfId="0" applyFill="1" applyBorder="1" applyAlignment="1">
      <alignment horizontal="right"/>
    </xf>
    <xf numFmtId="0" fontId="0" fillId="0" borderId="0" xfId="0" applyFill="1" applyBorder="1" applyAlignment="1">
      <alignment horizontal="right"/>
    </xf>
    <xf numFmtId="9" fontId="0" fillId="0" borderId="0" xfId="0" applyNumberFormat="1" applyBorder="1" applyAlignment="1">
      <alignment horizontal="left"/>
    </xf>
    <xf numFmtId="0" fontId="0" fillId="0" borderId="0" xfId="0" applyFill="1" applyBorder="1" applyAlignment="1">
      <alignment horizontal="left"/>
    </xf>
    <xf numFmtId="0" fontId="0" fillId="0" borderId="50" xfId="0" applyBorder="1"/>
    <xf numFmtId="0" fontId="0" fillId="0" borderId="51" xfId="0" applyBorder="1" applyAlignment="1">
      <alignment horizontal="right"/>
    </xf>
    <xf numFmtId="0" fontId="0" fillId="0" borderId="52" xfId="0" applyBorder="1"/>
    <xf numFmtId="0" fontId="0" fillId="0" borderId="53" xfId="0" applyBorder="1" applyAlignment="1">
      <alignment horizontal="right"/>
    </xf>
    <xf numFmtId="0" fontId="0" fillId="0" borderId="53" xfId="0" applyBorder="1"/>
    <xf numFmtId="0" fontId="0" fillId="0" borderId="54" xfId="0" applyBorder="1"/>
    <xf numFmtId="0" fontId="0" fillId="0" borderId="55" xfId="0" applyBorder="1"/>
    <xf numFmtId="0" fontId="0" fillId="0" borderId="56" xfId="0" applyBorder="1"/>
    <xf numFmtId="0" fontId="0" fillId="0" borderId="47" xfId="0" applyBorder="1" applyAlignment="1">
      <alignment horizontal="centerContinuous"/>
    </xf>
    <xf numFmtId="0" fontId="0" fillId="0" borderId="48" xfId="0" applyBorder="1" applyAlignment="1">
      <alignment horizontal="centerContinuous"/>
    </xf>
    <xf numFmtId="0" fontId="0" fillId="0" borderId="49" xfId="0" applyBorder="1" applyAlignment="1">
      <alignment horizontal="centerContinuous"/>
    </xf>
    <xf numFmtId="9" fontId="17" fillId="9" borderId="9" xfId="19" applyNumberFormat="1" applyAlignment="1">
      <alignment horizontal="left"/>
      <protection locked="0"/>
    </xf>
    <xf numFmtId="0" fontId="43" fillId="0" borderId="0" xfId="70" applyFont="1" applyFill="1" applyBorder="1" applyAlignment="1"/>
    <xf numFmtId="0" fontId="0" fillId="0" borderId="0" xfId="0" applyBorder="1" applyAlignment="1"/>
    <xf numFmtId="0" fontId="17" fillId="14" borderId="10" xfId="71" applyAlignment="1">
      <alignment horizontal="left"/>
    </xf>
    <xf numFmtId="0" fontId="49" fillId="0" borderId="0" xfId="0" applyFont="1"/>
    <xf numFmtId="0" fontId="0" fillId="0" borderId="0" xfId="0" applyFill="1" applyBorder="1"/>
    <xf numFmtId="9" fontId="17" fillId="9" borderId="0" xfId="19" applyNumberFormat="1" applyBorder="1" applyAlignment="1">
      <alignment horizontal="center"/>
      <protection locked="0"/>
    </xf>
    <xf numFmtId="172" fontId="17" fillId="14" borderId="10" xfId="71" applyNumberFormat="1" applyAlignment="1">
      <alignment horizontal="center"/>
    </xf>
    <xf numFmtId="0" fontId="31" fillId="16" borderId="8" xfId="36" applyAlignment="1">
      <alignment horizontal="center" vertical="center" wrapText="1"/>
    </xf>
    <xf numFmtId="0" fontId="0" fillId="0" borderId="0" xfId="37" applyFont="1" applyBorder="1"/>
    <xf numFmtId="0" fontId="0" fillId="0" borderId="63" xfId="37" applyFont="1" applyBorder="1" applyAlignment="1"/>
    <xf numFmtId="0" fontId="0" fillId="0" borderId="63" xfId="0" applyBorder="1" applyAlignment="1"/>
    <xf numFmtId="0" fontId="27" fillId="0" borderId="0" xfId="29" applyBorder="1" applyAlignment="1"/>
    <xf numFmtId="0" fontId="0" fillId="0" borderId="14" xfId="37" applyFont="1" applyBorder="1"/>
    <xf numFmtId="173" fontId="39" fillId="9" borderId="9" xfId="27" applyNumberFormat="1" applyAlignment="1">
      <alignment horizontal="center"/>
      <protection locked="0"/>
    </xf>
    <xf numFmtId="1" fontId="17" fillId="27" borderId="10" xfId="71" applyNumberFormat="1" applyFill="1" applyAlignment="1">
      <alignment horizontal="center"/>
    </xf>
    <xf numFmtId="4" fontId="39" fillId="9" borderId="9" xfId="27" applyNumberFormat="1" applyAlignment="1">
      <alignment horizontal="center"/>
      <protection locked="0"/>
    </xf>
    <xf numFmtId="3" fontId="0" fillId="9" borderId="0" xfId="0" applyNumberFormat="1" applyFill="1" applyBorder="1" applyAlignment="1">
      <alignment horizontal="center"/>
    </xf>
    <xf numFmtId="170" fontId="17" fillId="14" borderId="10" xfId="71" applyNumberFormat="1" applyAlignment="1">
      <alignment horizontal="center" vertical="top"/>
    </xf>
    <xf numFmtId="3" fontId="17" fillId="14" borderId="10" xfId="71" applyNumberFormat="1" applyAlignment="1">
      <alignment horizontal="center" vertical="top"/>
    </xf>
    <xf numFmtId="170" fontId="17" fillId="27" borderId="10" xfId="72" applyNumberFormat="1" applyAlignment="1">
      <alignment horizontal="center" vertical="top"/>
    </xf>
    <xf numFmtId="172" fontId="17" fillId="27" borderId="10" xfId="72" applyNumberFormat="1" applyAlignment="1">
      <alignment horizontal="center" vertical="top"/>
    </xf>
    <xf numFmtId="0" fontId="0" fillId="9" borderId="9" xfId="19" applyFont="1" applyFill="1">
      <alignment vertical="top"/>
      <protection locked="0"/>
    </xf>
    <xf numFmtId="0" fontId="0" fillId="9" borderId="46" xfId="19" applyFont="1" applyFill="1" applyBorder="1">
      <alignment vertical="top"/>
      <protection locked="0"/>
    </xf>
    <xf numFmtId="0" fontId="0" fillId="9" borderId="9" xfId="19" applyFont="1" applyFill="1" applyBorder="1">
      <alignment vertical="top"/>
      <protection locked="0"/>
    </xf>
    <xf numFmtId="0" fontId="0" fillId="11" borderId="9" xfId="21" applyFont="1" applyAlignment="1">
      <alignment vertical="top"/>
      <protection locked="0"/>
    </xf>
    <xf numFmtId="0" fontId="0" fillId="11" borderId="9" xfId="21" applyFont="1" applyAlignment="1">
      <alignment horizontal="center" vertical="top"/>
      <protection locked="0"/>
    </xf>
    <xf numFmtId="9" fontId="39" fillId="9" borderId="9" xfId="27" applyNumberFormat="1" applyBorder="1" applyAlignment="1">
      <alignment horizontal="center" vertical="top"/>
      <protection locked="0"/>
    </xf>
    <xf numFmtId="9" fontId="17" fillId="9" borderId="9" xfId="64" applyFill="1" applyBorder="1" applyAlignment="1" applyProtection="1">
      <alignment horizontal="center" vertical="top"/>
      <protection locked="0"/>
    </xf>
    <xf numFmtId="0" fontId="17" fillId="27" borderId="10" xfId="72" applyFont="1" applyBorder="1" applyAlignment="1">
      <alignment horizontal="center" wrapText="1"/>
    </xf>
    <xf numFmtId="0" fontId="17" fillId="14" borderId="41" xfId="71" applyBorder="1" applyAlignment="1">
      <alignment horizontal="center" wrapText="1"/>
    </xf>
    <xf numFmtId="0" fontId="17" fillId="27" borderId="10" xfId="72" applyBorder="1" applyAlignment="1">
      <alignment horizontal="center" wrapText="1"/>
    </xf>
    <xf numFmtId="172" fontId="17" fillId="14" borderId="27" xfId="71" applyNumberFormat="1" applyBorder="1" applyAlignment="1">
      <alignment horizontal="center" vertical="top"/>
    </xf>
    <xf numFmtId="170" fontId="17" fillId="14" borderId="45" xfId="71" applyNumberFormat="1" applyBorder="1" applyAlignment="1">
      <alignment horizontal="center" vertical="top"/>
    </xf>
    <xf numFmtId="0" fontId="32" fillId="16" borderId="64" xfId="38" applyBorder="1" applyAlignment="1">
      <alignment horizontal="centerContinuous"/>
    </xf>
    <xf numFmtId="0" fontId="31" fillId="16" borderId="64" xfId="36" applyBorder="1" applyAlignment="1">
      <alignment horizontal="center" vertical="center" wrapText="1"/>
    </xf>
    <xf numFmtId="172" fontId="17" fillId="14" borderId="65" xfId="71" applyNumberFormat="1" applyBorder="1" applyAlignment="1">
      <alignment horizontal="center" vertical="top"/>
    </xf>
    <xf numFmtId="0" fontId="43" fillId="0" borderId="13" xfId="70" applyFont="1" applyFill="1" applyBorder="1" applyAlignment="1">
      <alignment horizontal="right" shrinkToFit="1"/>
    </xf>
    <xf numFmtId="3" fontId="17" fillId="14" borderId="10" xfId="71" applyNumberFormat="1" applyBorder="1" applyAlignment="1">
      <alignment horizontal="center"/>
    </xf>
    <xf numFmtId="0" fontId="43" fillId="0" borderId="13" xfId="70" applyFont="1" applyFill="1" applyAlignment="1">
      <alignment horizontal="right" shrinkToFit="1"/>
    </xf>
    <xf numFmtId="1" fontId="17" fillId="27" borderId="10" xfId="72" applyNumberFormat="1" applyAlignment="1">
      <alignment horizontal="center" vertical="top" wrapText="1"/>
    </xf>
    <xf numFmtId="170" fontId="17" fillId="14" borderId="9" xfId="19" applyNumberFormat="1" applyFill="1" applyAlignment="1">
      <alignment horizontal="center"/>
      <protection locked="0"/>
    </xf>
    <xf numFmtId="170" fontId="0" fillId="9" borderId="0" xfId="0" applyNumberFormat="1" applyFill="1" applyBorder="1" applyAlignment="1">
      <alignment horizontal="center"/>
    </xf>
    <xf numFmtId="170" fontId="0" fillId="0" borderId="0" xfId="0" applyNumberFormat="1"/>
    <xf numFmtId="0" fontId="31" fillId="16" borderId="8" xfId="36" applyAlignment="1">
      <alignment horizontal="center" vertical="center" wrapText="1"/>
    </xf>
    <xf numFmtId="0" fontId="0" fillId="9" borderId="66" xfId="19" applyFont="1" applyBorder="1" applyAlignment="1">
      <protection locked="0"/>
    </xf>
    <xf numFmtId="0" fontId="0" fillId="11" borderId="66" xfId="21" applyFont="1" applyBorder="1" applyAlignment="1">
      <protection locked="0"/>
    </xf>
    <xf numFmtId="0" fontId="0" fillId="11" borderId="66" xfId="21" applyFont="1" applyBorder="1" applyAlignment="1">
      <alignment horizontal="center"/>
      <protection locked="0"/>
    </xf>
    <xf numFmtId="0" fontId="17" fillId="14" borderId="67" xfId="71" applyNumberFormat="1" applyBorder="1"/>
    <xf numFmtId="0" fontId="0" fillId="9" borderId="68" xfId="19" applyFont="1" applyBorder="1" applyAlignment="1">
      <protection locked="0"/>
    </xf>
    <xf numFmtId="1" fontId="17" fillId="27" borderId="10" xfId="72" applyNumberFormat="1" applyAlignment="1">
      <alignment horizontal="center"/>
    </xf>
    <xf numFmtId="0" fontId="43" fillId="0" borderId="0" xfId="70" applyFont="1" applyFill="1" applyBorder="1" applyAlignment="1">
      <alignment horizontal="right"/>
    </xf>
    <xf numFmtId="0" fontId="49" fillId="0" borderId="0" xfId="0" applyFont="1" applyFill="1" applyBorder="1"/>
    <xf numFmtId="0" fontId="45" fillId="0" borderId="0" xfId="0" applyFont="1"/>
    <xf numFmtId="14" fontId="0" fillId="9" borderId="0" xfId="0" applyNumberFormat="1" applyFill="1"/>
    <xf numFmtId="0" fontId="0" fillId="0" borderId="0" xfId="0" applyAlignment="1">
      <alignment wrapText="1"/>
    </xf>
    <xf numFmtId="0" fontId="28" fillId="0" borderId="0" xfId="0" applyFont="1" applyAlignment="1">
      <alignment vertical="top"/>
    </xf>
    <xf numFmtId="0" fontId="0" fillId="0" borderId="0" xfId="0" applyAlignment="1">
      <alignment vertical="top" wrapText="1"/>
    </xf>
    <xf numFmtId="0" fontId="0" fillId="0" borderId="0" xfId="0" applyFill="1" applyAlignment="1">
      <alignment wrapText="1"/>
    </xf>
    <xf numFmtId="0" fontId="0" fillId="0" borderId="14" xfId="37" applyFont="1" applyAlignment="1">
      <alignment horizontal="left"/>
    </xf>
    <xf numFmtId="0" fontId="17" fillId="9" borderId="14" xfId="37" applyFont="1" applyFill="1" applyAlignment="1">
      <alignment horizontal="center"/>
    </xf>
    <xf numFmtId="172" fontId="17" fillId="9" borderId="14" xfId="37" applyNumberFormat="1" applyFont="1" applyFill="1" applyAlignment="1">
      <alignment horizontal="center"/>
    </xf>
    <xf numFmtId="174" fontId="17" fillId="9" borderId="14" xfId="37" applyNumberFormat="1" applyFill="1"/>
    <xf numFmtId="175" fontId="17" fillId="9" borderId="14" xfId="37" applyNumberFormat="1" applyFill="1"/>
    <xf numFmtId="0" fontId="17" fillId="27" borderId="27" xfId="72" applyBorder="1" applyAlignment="1">
      <alignment vertical="top"/>
    </xf>
    <xf numFmtId="170" fontId="17" fillId="14" borderId="45" xfId="72" applyNumberFormat="1" applyFill="1" applyBorder="1" applyAlignment="1">
      <alignment horizontal="center" vertical="top"/>
    </xf>
    <xf numFmtId="3" fontId="17" fillId="27" borderId="10" xfId="72" applyNumberFormat="1" applyBorder="1" applyAlignment="1">
      <alignment horizontal="center" vertical="top"/>
    </xf>
    <xf numFmtId="171" fontId="17" fillId="14" borderId="10" xfId="72" applyNumberFormat="1" applyFill="1" applyBorder="1" applyAlignment="1">
      <alignment horizontal="center" vertical="top"/>
    </xf>
    <xf numFmtId="0" fontId="17" fillId="27" borderId="10" xfId="72" applyBorder="1" applyAlignment="1">
      <alignment horizontal="center" vertical="top"/>
    </xf>
    <xf numFmtId="172" fontId="17" fillId="14" borderId="10" xfId="72" applyNumberFormat="1" applyFill="1" applyBorder="1" applyAlignment="1">
      <alignment horizontal="center" vertical="top"/>
    </xf>
    <xf numFmtId="172" fontId="17" fillId="27" borderId="10" xfId="72" applyNumberFormat="1" applyBorder="1" applyAlignment="1">
      <alignment horizontal="center" vertical="top"/>
    </xf>
    <xf numFmtId="170" fontId="17" fillId="14" borderId="58" xfId="71" applyNumberFormat="1" applyBorder="1" applyAlignment="1">
      <alignment horizontal="center" vertical="top"/>
    </xf>
    <xf numFmtId="0" fontId="31" fillId="16" borderId="21" xfId="36" applyBorder="1" applyAlignment="1">
      <alignment horizontal="center" vertical="center" wrapText="1"/>
    </xf>
    <xf numFmtId="0" fontId="31" fillId="16" borderId="23" xfId="36" applyBorder="1" applyAlignment="1">
      <alignment horizontal="center" vertical="center" wrapText="1"/>
    </xf>
    <xf numFmtId="0" fontId="32" fillId="16" borderId="69" xfId="38" applyBorder="1" applyAlignment="1">
      <alignment horizontal="centerContinuous"/>
    </xf>
    <xf numFmtId="0" fontId="31" fillId="16" borderId="62" xfId="36" applyBorder="1" applyAlignment="1">
      <alignment horizontal="center" vertical="center" wrapText="1"/>
    </xf>
    <xf numFmtId="0" fontId="31" fillId="16" borderId="61" xfId="36" applyBorder="1" applyAlignment="1">
      <alignment horizontal="center" vertical="center" wrapText="1"/>
    </xf>
    <xf numFmtId="2" fontId="17" fillId="14" borderId="27" xfId="71" applyNumberFormat="1" applyBorder="1" applyAlignment="1">
      <alignment horizontal="center" vertical="top"/>
    </xf>
    <xf numFmtId="170" fontId="17" fillId="14" borderId="71" xfId="71" applyNumberFormat="1" applyBorder="1" applyAlignment="1">
      <alignment horizontal="center" vertical="top"/>
    </xf>
    <xf numFmtId="3" fontId="17" fillId="27" borderId="71" xfId="72" applyNumberFormat="1" applyBorder="1" applyAlignment="1">
      <alignment horizontal="center" vertical="top"/>
    </xf>
    <xf numFmtId="171" fontId="17" fillId="14" borderId="71" xfId="71" applyNumberFormat="1" applyBorder="1" applyAlignment="1">
      <alignment horizontal="center" vertical="top"/>
    </xf>
    <xf numFmtId="1" fontId="17" fillId="27" borderId="71" xfId="72" applyNumberFormat="1" applyBorder="1" applyAlignment="1">
      <alignment horizontal="center" vertical="top"/>
    </xf>
    <xf numFmtId="172" fontId="17" fillId="14" borderId="71" xfId="71" applyNumberFormat="1" applyBorder="1" applyAlignment="1">
      <alignment horizontal="center" vertical="top"/>
    </xf>
    <xf numFmtId="172" fontId="17" fillId="27" borderId="71" xfId="72" applyNumberFormat="1" applyBorder="1" applyAlignment="1">
      <alignment horizontal="center" vertical="top"/>
    </xf>
    <xf numFmtId="170" fontId="17" fillId="14" borderId="10" xfId="71" applyNumberFormat="1" applyBorder="1" applyAlignment="1">
      <alignment horizontal="center" vertical="top"/>
    </xf>
    <xf numFmtId="171" fontId="17" fillId="14" borderId="10" xfId="71" applyNumberFormat="1" applyBorder="1" applyAlignment="1">
      <alignment horizontal="center" vertical="top"/>
    </xf>
    <xf numFmtId="1" fontId="17" fillId="27" borderId="10" xfId="72" applyNumberFormat="1" applyBorder="1" applyAlignment="1">
      <alignment horizontal="center" vertical="top"/>
    </xf>
    <xf numFmtId="172" fontId="17" fillId="14" borderId="10" xfId="71" applyNumberFormat="1" applyBorder="1" applyAlignment="1">
      <alignment horizontal="center" vertical="top"/>
    </xf>
    <xf numFmtId="2" fontId="17" fillId="14" borderId="72" xfId="71" applyNumberFormat="1" applyBorder="1" applyAlignment="1">
      <alignment horizontal="center" vertical="top"/>
    </xf>
    <xf numFmtId="2" fontId="17" fillId="14" borderId="65" xfId="71" applyNumberFormat="1" applyBorder="1" applyAlignment="1">
      <alignment horizontal="center" vertical="top"/>
    </xf>
    <xf numFmtId="170" fontId="17" fillId="27" borderId="58" xfId="72" applyNumberFormat="1" applyBorder="1" applyAlignment="1">
      <alignment horizontal="center" vertical="top"/>
    </xf>
    <xf numFmtId="170" fontId="17" fillId="14" borderId="70" xfId="72" applyNumberFormat="1" applyFill="1" applyBorder="1" applyAlignment="1">
      <alignment horizontal="center" vertical="top"/>
    </xf>
    <xf numFmtId="171" fontId="17" fillId="14" borderId="71" xfId="72" applyNumberFormat="1" applyFill="1" applyBorder="1" applyAlignment="1">
      <alignment horizontal="center" vertical="top"/>
    </xf>
    <xf numFmtId="0" fontId="17" fillId="27" borderId="71" xfId="72" applyBorder="1" applyAlignment="1">
      <alignment horizontal="center" vertical="top"/>
    </xf>
    <xf numFmtId="172" fontId="17" fillId="14" borderId="71" xfId="72" applyNumberFormat="1" applyFill="1" applyBorder="1" applyAlignment="1">
      <alignment horizontal="center" vertical="top"/>
    </xf>
    <xf numFmtId="172" fontId="17" fillId="14" borderId="72" xfId="72" applyNumberFormat="1" applyFill="1" applyBorder="1" applyAlignment="1">
      <alignment horizontal="center" vertical="top"/>
    </xf>
    <xf numFmtId="172" fontId="17" fillId="14" borderId="65" xfId="72" applyNumberFormat="1" applyFill="1" applyBorder="1" applyAlignment="1">
      <alignment horizontal="center" vertical="top"/>
    </xf>
    <xf numFmtId="0" fontId="31" fillId="16" borderId="8" xfId="36" applyAlignment="1">
      <alignment horizontal="center" vertical="center" wrapText="1"/>
    </xf>
    <xf numFmtId="0" fontId="31" fillId="16" borderId="8" xfId="67" applyAlignment="1">
      <alignment horizontal="center" vertical="center" wrapText="1"/>
    </xf>
    <xf numFmtId="169" fontId="17" fillId="27" borderId="10" xfId="72" applyNumberFormat="1" applyAlignment="1">
      <alignment horizontal="center"/>
    </xf>
    <xf numFmtId="0" fontId="24" fillId="0" borderId="33" xfId="70" applyFont="1" applyFill="1" applyBorder="1" applyAlignment="1"/>
    <xf numFmtId="0" fontId="17" fillId="0" borderId="31" xfId="0" applyFont="1" applyBorder="1" applyAlignment="1"/>
    <xf numFmtId="3" fontId="39" fillId="9" borderId="9" xfId="27" applyNumberFormat="1" applyBorder="1" applyAlignment="1">
      <alignment horizontal="center" shrinkToFit="1"/>
      <protection locked="0"/>
    </xf>
    <xf numFmtId="172" fontId="39" fillId="9" borderId="9" xfId="27" applyNumberFormat="1" applyBorder="1" applyAlignment="1">
      <alignment horizontal="center" shrinkToFit="1"/>
      <protection locked="0"/>
    </xf>
    <xf numFmtId="172" fontId="39" fillId="9" borderId="40" xfId="27" applyNumberFormat="1" applyBorder="1" applyAlignment="1">
      <alignment horizontal="center" shrinkToFit="1"/>
      <protection locked="0"/>
    </xf>
    <xf numFmtId="3" fontId="17" fillId="14" borderId="10" xfId="71" applyNumberFormat="1" applyAlignment="1">
      <alignment horizontal="center"/>
    </xf>
    <xf numFmtId="0" fontId="28" fillId="0" borderId="0" xfId="0" applyFont="1" applyBorder="1"/>
    <xf numFmtId="1" fontId="17" fillId="9" borderId="9" xfId="19" applyNumberFormat="1" applyBorder="1" applyAlignment="1">
      <alignment horizontal="center"/>
      <protection locked="0"/>
    </xf>
    <xf numFmtId="172" fontId="17" fillId="14" borderId="9" xfId="19" applyNumberFormat="1" applyFill="1" applyAlignment="1">
      <alignment horizontal="center" vertical="top"/>
      <protection locked="0"/>
    </xf>
    <xf numFmtId="170" fontId="17" fillId="14" borderId="10" xfId="71" applyNumberFormat="1" applyBorder="1" applyAlignment="1">
      <alignment horizontal="center"/>
    </xf>
    <xf numFmtId="170" fontId="39" fillId="9" borderId="9" xfId="27" applyNumberFormat="1" applyAlignment="1">
      <alignment horizontal="center"/>
      <protection locked="0"/>
    </xf>
    <xf numFmtId="0" fontId="0" fillId="0" borderId="0" xfId="0" applyFont="1" applyFill="1" applyAlignment="1">
      <alignment horizontal="left"/>
    </xf>
    <xf numFmtId="2" fontId="0" fillId="9" borderId="0" xfId="0" applyNumberFormat="1" applyFill="1" applyBorder="1" applyAlignment="1">
      <alignment horizontal="center"/>
    </xf>
    <xf numFmtId="170" fontId="39" fillId="14" borderId="9" xfId="27" applyNumberFormat="1" applyFill="1" applyAlignment="1">
      <alignment horizontal="center" vertical="top"/>
      <protection locked="0"/>
    </xf>
    <xf numFmtId="0" fontId="43" fillId="0" borderId="13" xfId="70" applyFont="1" applyFill="1" applyAlignment="1"/>
    <xf numFmtId="0" fontId="17" fillId="27" borderId="10" xfId="72" applyAlignment="1">
      <alignment horizontal="center"/>
    </xf>
    <xf numFmtId="9" fontId="0" fillId="9" borderId="9" xfId="19" applyNumberFormat="1" applyFont="1" applyAlignment="1">
      <alignment horizontal="center" vertical="center"/>
      <protection locked="0"/>
    </xf>
    <xf numFmtId="0" fontId="17" fillId="31" borderId="10" xfId="72" applyFill="1" applyAlignment="1">
      <alignment horizontal="center" vertical="top"/>
    </xf>
    <xf numFmtId="9" fontId="17" fillId="9" borderId="14" xfId="37" applyNumberFormat="1" applyFill="1"/>
    <xf numFmtId="0" fontId="0" fillId="0" borderId="0" xfId="0" applyFill="1" applyAlignment="1"/>
    <xf numFmtId="168" fontId="17" fillId="9" borderId="14" xfId="64" applyNumberFormat="1" applyFill="1" applyBorder="1"/>
    <xf numFmtId="0" fontId="0" fillId="32" borderId="0" xfId="0" applyFill="1"/>
    <xf numFmtId="9" fontId="17" fillId="32" borderId="14" xfId="37" applyNumberFormat="1" applyFill="1"/>
    <xf numFmtId="3" fontId="17" fillId="32" borderId="14" xfId="37" applyNumberFormat="1" applyFill="1"/>
    <xf numFmtId="171" fontId="0" fillId="14" borderId="0" xfId="0" applyNumberFormat="1" applyFill="1"/>
    <xf numFmtId="3" fontId="0" fillId="9" borderId="0" xfId="0" applyNumberFormat="1" applyFill="1"/>
    <xf numFmtId="0" fontId="32" fillId="16" borderId="0" xfId="38" applyBorder="1" applyAlignment="1">
      <alignment horizontal="centerContinuous"/>
    </xf>
    <xf numFmtId="0" fontId="32" fillId="16" borderId="61" xfId="38" applyBorder="1" applyAlignment="1">
      <alignment horizontal="centerContinuous"/>
    </xf>
    <xf numFmtId="0" fontId="32" fillId="16" borderId="62" xfId="38" applyBorder="1" applyAlignment="1">
      <alignment horizontal="centerContinuous"/>
    </xf>
    <xf numFmtId="0" fontId="32" fillId="16" borderId="78" xfId="38" applyBorder="1" applyAlignment="1">
      <alignment horizontal="centerContinuous"/>
    </xf>
    <xf numFmtId="3" fontId="0" fillId="14" borderId="0" xfId="0" applyNumberFormat="1" applyFill="1"/>
    <xf numFmtId="0" fontId="31" fillId="16" borderId="78" xfId="36" applyBorder="1" applyAlignment="1">
      <alignment horizontal="center" vertical="center" wrapText="1"/>
    </xf>
    <xf numFmtId="2" fontId="17" fillId="27" borderId="79" xfId="37" applyNumberFormat="1" applyFill="1" applyBorder="1"/>
    <xf numFmtId="2" fontId="17" fillId="14" borderId="14" xfId="37" applyNumberFormat="1" applyFill="1" applyBorder="1"/>
    <xf numFmtId="2" fontId="17" fillId="27" borderId="14" xfId="37" applyNumberFormat="1" applyFill="1" applyBorder="1"/>
    <xf numFmtId="2" fontId="17" fillId="14" borderId="80" xfId="37" applyNumberFormat="1" applyFill="1" applyBorder="1"/>
    <xf numFmtId="2" fontId="17" fillId="14" borderId="82" xfId="71" applyNumberFormat="1" applyFill="1" applyBorder="1" applyAlignment="1">
      <alignment horizontal="center" vertical="top"/>
    </xf>
    <xf numFmtId="170" fontId="17" fillId="27" borderId="83" xfId="72" applyNumberFormat="1" applyBorder="1" applyAlignment="1">
      <alignment horizontal="center" vertical="top"/>
    </xf>
    <xf numFmtId="2" fontId="17" fillId="14" borderId="84" xfId="71" applyNumberFormat="1" applyBorder="1" applyAlignment="1">
      <alignment horizontal="center" vertical="top"/>
    </xf>
    <xf numFmtId="2" fontId="17" fillId="14" borderId="26" xfId="71" applyNumberFormat="1" applyBorder="1" applyAlignment="1">
      <alignment horizontal="center" vertical="top"/>
    </xf>
    <xf numFmtId="2" fontId="17" fillId="14" borderId="82" xfId="71" applyNumberFormat="1" applyBorder="1" applyAlignment="1">
      <alignment horizontal="center" vertical="top"/>
    </xf>
    <xf numFmtId="2" fontId="17" fillId="27" borderId="79" xfId="37" applyNumberFormat="1" applyFill="1" applyBorder="1" applyAlignment="1">
      <alignment horizontal="center"/>
    </xf>
    <xf numFmtId="2" fontId="17" fillId="14" borderId="14" xfId="37" applyNumberFormat="1" applyFill="1" applyBorder="1" applyAlignment="1">
      <alignment horizontal="center"/>
    </xf>
    <xf numFmtId="2" fontId="17" fillId="27" borderId="14" xfId="37" applyNumberFormat="1" applyFill="1" applyBorder="1" applyAlignment="1">
      <alignment horizontal="center"/>
    </xf>
    <xf numFmtId="4" fontId="17" fillId="14" borderId="14" xfId="37" applyNumberFormat="1" applyFill="1" applyBorder="1" applyAlignment="1">
      <alignment horizontal="center"/>
    </xf>
    <xf numFmtId="4" fontId="17" fillId="27" borderId="14" xfId="37" applyNumberFormat="1" applyFill="1" applyBorder="1" applyAlignment="1">
      <alignment horizontal="center"/>
    </xf>
    <xf numFmtId="4" fontId="17" fillId="14" borderId="80" xfId="37" applyNumberFormat="1" applyFill="1" applyBorder="1" applyAlignment="1">
      <alignment horizontal="center"/>
    </xf>
    <xf numFmtId="4" fontId="17" fillId="14" borderId="14" xfId="37" applyNumberFormat="1" applyFill="1" applyBorder="1"/>
    <xf numFmtId="4" fontId="17" fillId="27" borderId="14" xfId="37" applyNumberFormat="1" applyFill="1" applyBorder="1"/>
    <xf numFmtId="4" fontId="17" fillId="14" borderId="80" xfId="37" applyNumberFormat="1" applyFill="1" applyBorder="1"/>
    <xf numFmtId="6" fontId="17" fillId="0" borderId="14" xfId="37" applyNumberFormat="1" applyAlignment="1">
      <alignment horizontal="center"/>
    </xf>
    <xf numFmtId="3" fontId="17" fillId="0" borderId="14" xfId="37" applyNumberFormat="1" applyAlignment="1">
      <alignment horizontal="center"/>
    </xf>
    <xf numFmtId="6" fontId="17" fillId="10" borderId="0" xfId="54" applyNumberFormat="1" applyAlignment="1">
      <alignment horizontal="center"/>
    </xf>
    <xf numFmtId="0" fontId="0" fillId="0" borderId="0" xfId="0" applyBorder="1" applyAlignment="1">
      <alignment vertical="top" wrapText="1"/>
    </xf>
    <xf numFmtId="0" fontId="0" fillId="0" borderId="0" xfId="0" applyBorder="1" applyAlignment="1">
      <alignment vertical="top"/>
    </xf>
    <xf numFmtId="0" fontId="31" fillId="16" borderId="8" xfId="67" applyAlignment="1">
      <alignment horizontal="center" vertical="center" wrapText="1"/>
    </xf>
    <xf numFmtId="170" fontId="17" fillId="27" borderId="10" xfId="72" applyNumberFormat="1" applyAlignment="1">
      <alignment horizontal="center"/>
    </xf>
    <xf numFmtId="170" fontId="17" fillId="28" borderId="10" xfId="73" applyNumberFormat="1" applyAlignment="1">
      <alignment horizontal="center"/>
    </xf>
    <xf numFmtId="0" fontId="17" fillId="14" borderId="86" xfId="71" applyNumberFormat="1" applyBorder="1"/>
    <xf numFmtId="0" fontId="17" fillId="14" borderId="67" xfId="71" applyNumberFormat="1" applyBorder="1" applyAlignment="1">
      <alignment vertical="top"/>
    </xf>
    <xf numFmtId="0" fontId="17" fillId="11" borderId="66" xfId="21" applyBorder="1" applyAlignment="1">
      <alignment vertical="top"/>
      <protection locked="0"/>
    </xf>
    <xf numFmtId="0" fontId="17" fillId="27" borderId="67" xfId="72" applyNumberFormat="1" applyBorder="1" applyAlignment="1">
      <alignment vertical="top"/>
    </xf>
    <xf numFmtId="0" fontId="17" fillId="0" borderId="87" xfId="37" applyFill="1" applyBorder="1" applyAlignment="1">
      <alignment horizontal="center"/>
    </xf>
    <xf numFmtId="170" fontId="17" fillId="14" borderId="88" xfId="72" applyNumberFormat="1" applyFill="1" applyBorder="1" applyAlignment="1">
      <alignment horizontal="center" vertical="top"/>
    </xf>
    <xf numFmtId="3" fontId="17" fillId="27" borderId="67" xfId="72" applyNumberFormat="1" applyBorder="1" applyAlignment="1">
      <alignment horizontal="center" vertical="top"/>
    </xf>
    <xf numFmtId="171" fontId="17" fillId="14" borderId="67" xfId="72" applyNumberFormat="1" applyFill="1" applyBorder="1" applyAlignment="1">
      <alignment horizontal="center" vertical="top"/>
    </xf>
    <xf numFmtId="0" fontId="17" fillId="27" borderId="67" xfId="72" applyNumberFormat="1" applyBorder="1" applyAlignment="1">
      <alignment horizontal="center" vertical="top"/>
    </xf>
    <xf numFmtId="172" fontId="17" fillId="14" borderId="67" xfId="72" applyNumberFormat="1" applyFill="1" applyBorder="1" applyAlignment="1">
      <alignment horizontal="center" vertical="top"/>
    </xf>
    <xf numFmtId="172" fontId="17" fillId="27" borderId="67" xfId="72" applyNumberFormat="1" applyBorder="1" applyAlignment="1">
      <alignment horizontal="center" vertical="top"/>
    </xf>
    <xf numFmtId="172" fontId="17" fillId="14" borderId="89" xfId="72" applyNumberFormat="1" applyFill="1" applyBorder="1" applyAlignment="1">
      <alignment horizontal="center" vertical="top"/>
    </xf>
    <xf numFmtId="170" fontId="17" fillId="27" borderId="67" xfId="72" applyNumberFormat="1" applyBorder="1" applyAlignment="1">
      <alignment horizontal="center" vertical="top"/>
    </xf>
    <xf numFmtId="170" fontId="17" fillId="14" borderId="67" xfId="71" applyNumberFormat="1" applyBorder="1" applyAlignment="1">
      <alignment horizontal="center" vertical="top"/>
    </xf>
    <xf numFmtId="171" fontId="17" fillId="14" borderId="67" xfId="71" applyNumberFormat="1" applyBorder="1" applyAlignment="1">
      <alignment horizontal="center" vertical="top"/>
    </xf>
    <xf numFmtId="172" fontId="17" fillId="14" borderId="67" xfId="71" applyNumberFormat="1" applyBorder="1" applyAlignment="1">
      <alignment horizontal="center" vertical="top"/>
    </xf>
    <xf numFmtId="2" fontId="17" fillId="14" borderId="67" xfId="71" applyNumberFormat="1" applyBorder="1" applyAlignment="1">
      <alignment horizontal="center" vertical="top"/>
    </xf>
    <xf numFmtId="1" fontId="17" fillId="27" borderId="67" xfId="72" applyNumberFormat="1" applyBorder="1" applyAlignment="1">
      <alignment horizontal="center" vertical="top"/>
    </xf>
    <xf numFmtId="2" fontId="17" fillId="14" borderId="89" xfId="71" applyNumberFormat="1" applyBorder="1" applyAlignment="1">
      <alignment horizontal="center" vertical="top"/>
    </xf>
    <xf numFmtId="0" fontId="17" fillId="27" borderId="45" xfId="72" applyBorder="1" applyAlignment="1">
      <alignment vertical="top"/>
    </xf>
    <xf numFmtId="0" fontId="17" fillId="14" borderId="90" xfId="71" applyBorder="1" applyAlignment="1">
      <alignment vertical="top"/>
    </xf>
    <xf numFmtId="0" fontId="17" fillId="14" borderId="85" xfId="71" applyBorder="1" applyAlignment="1">
      <alignment vertical="top"/>
    </xf>
    <xf numFmtId="0" fontId="0" fillId="9" borderId="66" xfId="19" applyFont="1" applyBorder="1">
      <alignment vertical="top"/>
      <protection locked="0"/>
    </xf>
    <xf numFmtId="0" fontId="0" fillId="11" borderId="66" xfId="21" applyFont="1" applyBorder="1">
      <alignment vertical="top"/>
      <protection locked="0"/>
    </xf>
    <xf numFmtId="0" fontId="17" fillId="27" borderId="91" xfId="72" applyNumberFormat="1" applyBorder="1" applyAlignment="1">
      <alignment vertical="top"/>
    </xf>
    <xf numFmtId="172" fontId="17" fillId="14" borderId="66" xfId="19" applyNumberFormat="1" applyFill="1" applyBorder="1" applyAlignment="1">
      <alignment horizontal="center" vertical="top"/>
      <protection locked="0"/>
    </xf>
    <xf numFmtId="0" fontId="17" fillId="14" borderId="92" xfId="71" applyNumberFormat="1" applyBorder="1" applyAlignment="1">
      <alignment vertical="top"/>
    </xf>
    <xf numFmtId="0" fontId="17" fillId="11" borderId="9" xfId="21" applyAlignment="1">
      <alignment horizontal="center" vertical="top"/>
      <protection locked="0"/>
    </xf>
    <xf numFmtId="2" fontId="17" fillId="27" borderId="58" xfId="72" applyNumberFormat="1" applyBorder="1" applyAlignment="1">
      <alignment horizontal="center"/>
    </xf>
    <xf numFmtId="2" fontId="17" fillId="14" borderId="58" xfId="71" applyNumberFormat="1" applyBorder="1" applyAlignment="1">
      <alignment horizontal="center"/>
    </xf>
    <xf numFmtId="172" fontId="17" fillId="27" borderId="27" xfId="72" applyNumberFormat="1" applyBorder="1" applyAlignment="1">
      <alignment horizontal="center" vertical="top"/>
    </xf>
    <xf numFmtId="172" fontId="17" fillId="27" borderId="26" xfId="72" applyNumberFormat="1" applyBorder="1" applyAlignment="1">
      <alignment horizontal="center" vertical="top"/>
    </xf>
    <xf numFmtId="172" fontId="17" fillId="27" borderId="86" xfId="72" applyNumberFormat="1" applyBorder="1" applyAlignment="1">
      <alignment horizontal="center" vertical="top"/>
    </xf>
    <xf numFmtId="0" fontId="18" fillId="0" borderId="0" xfId="18" applyBorder="1" applyAlignment="1">
      <alignment vertical="top" wrapText="1"/>
    </xf>
    <xf numFmtId="0" fontId="0" fillId="0" borderId="0" xfId="0" applyBorder="1" applyAlignment="1">
      <alignment vertical="top" wrapText="1"/>
    </xf>
    <xf numFmtId="0" fontId="0" fillId="0" borderId="0" xfId="0" applyBorder="1" applyAlignment="1">
      <alignment vertical="top"/>
    </xf>
    <xf numFmtId="0" fontId="24" fillId="0" borderId="31" xfId="70" applyFont="1" applyFill="1" applyBorder="1" applyAlignment="1"/>
    <xf numFmtId="0" fontId="0" fillId="9" borderId="9" xfId="19" applyFont="1" applyAlignment="1">
      <protection locked="0"/>
    </xf>
    <xf numFmtId="0" fontId="0" fillId="11" borderId="9" xfId="21" applyFont="1" applyAlignment="1">
      <protection locked="0"/>
    </xf>
    <xf numFmtId="0" fontId="17" fillId="14" borderId="10" xfId="71" applyNumberFormat="1"/>
    <xf numFmtId="0" fontId="0" fillId="11" borderId="66" xfId="21" applyFont="1" applyBorder="1" applyAlignment="1">
      <alignment horizontal="center" vertical="top"/>
      <protection locked="0"/>
    </xf>
    <xf numFmtId="0" fontId="17" fillId="14" borderId="10" xfId="71" applyAlignment="1"/>
    <xf numFmtId="2" fontId="17" fillId="27" borderId="27" xfId="72" applyNumberFormat="1" applyBorder="1" applyAlignment="1">
      <alignment horizontal="center" vertical="top"/>
    </xf>
    <xf numFmtId="2" fontId="17" fillId="27" borderId="26" xfId="72" applyNumberFormat="1" applyBorder="1" applyAlignment="1">
      <alignment horizontal="center" vertical="top"/>
    </xf>
    <xf numFmtId="0" fontId="31" fillId="16" borderId="8" xfId="67" applyAlignment="1">
      <alignment horizontal="center" vertical="center" wrapText="1"/>
    </xf>
    <xf numFmtId="0" fontId="32" fillId="16" borderId="93" xfId="38" applyBorder="1" applyAlignment="1">
      <alignment horizontal="centerContinuous"/>
    </xf>
    <xf numFmtId="171" fontId="17" fillId="9" borderId="9" xfId="19" applyNumberFormat="1" applyAlignment="1">
      <alignment horizontal="center" vertical="top"/>
      <protection locked="0"/>
    </xf>
    <xf numFmtId="0" fontId="32" fillId="16" borderId="94" xfId="38" applyBorder="1" applyAlignment="1">
      <alignment horizontal="centerContinuous"/>
    </xf>
    <xf numFmtId="0" fontId="18" fillId="0" borderId="0" xfId="18" quotePrefix="1" applyAlignment="1"/>
    <xf numFmtId="0" fontId="51" fillId="0" borderId="0" xfId="18" applyFont="1" applyAlignment="1"/>
    <xf numFmtId="0" fontId="52" fillId="0" borderId="0" xfId="18" applyFont="1" applyAlignment="1"/>
    <xf numFmtId="0" fontId="52" fillId="0" borderId="0" xfId="18" quotePrefix="1" applyFont="1" applyAlignment="1"/>
    <xf numFmtId="0" fontId="0" fillId="0" borderId="0" xfId="0" applyAlignment="1">
      <alignment horizontal="center" wrapText="1"/>
    </xf>
    <xf numFmtId="170" fontId="17" fillId="14" borderId="10" xfId="71" applyNumberFormat="1" applyAlignment="1">
      <alignment horizontal="center" vertical="center"/>
    </xf>
    <xf numFmtId="3" fontId="17" fillId="14" borderId="10" xfId="71" applyNumberFormat="1" applyAlignment="1">
      <alignment horizontal="center" vertical="center"/>
    </xf>
    <xf numFmtId="171" fontId="17" fillId="14" borderId="10" xfId="71" applyNumberFormat="1" applyAlignment="1">
      <alignment horizontal="center" vertical="center"/>
    </xf>
    <xf numFmtId="2" fontId="17" fillId="14" borderId="10" xfId="71" applyNumberFormat="1" applyAlignment="1">
      <alignment horizontal="center" vertical="center"/>
    </xf>
    <xf numFmtId="4" fontId="17" fillId="14" borderId="10" xfId="71" applyNumberFormat="1" applyAlignment="1">
      <alignment horizontal="center" vertical="center"/>
    </xf>
    <xf numFmtId="174" fontId="17" fillId="14" borderId="14" xfId="37" applyNumberFormat="1" applyFill="1"/>
    <xf numFmtId="10" fontId="0" fillId="0" borderId="0" xfId="0" applyNumberFormat="1"/>
    <xf numFmtId="168" fontId="17" fillId="0" borderId="0" xfId="64" applyNumberFormat="1"/>
    <xf numFmtId="0" fontId="32" fillId="16" borderId="21" xfId="38" applyFill="1" applyBorder="1" applyAlignment="1">
      <alignment horizontal="centerContinuous"/>
    </xf>
    <xf numFmtId="172" fontId="0" fillId="9" borderId="0" xfId="0" applyNumberFormat="1" applyFill="1" applyBorder="1" applyAlignment="1">
      <alignment horizontal="center"/>
    </xf>
    <xf numFmtId="4" fontId="39" fillId="14" borderId="9" xfId="27" applyNumberFormat="1" applyFill="1" applyAlignment="1">
      <alignment horizontal="center" vertical="top"/>
      <protection locked="0"/>
    </xf>
    <xf numFmtId="0" fontId="0" fillId="0" borderId="95" xfId="0" applyFill="1" applyBorder="1"/>
    <xf numFmtId="169" fontId="17" fillId="14" borderId="10" xfId="71" applyNumberFormat="1" applyAlignment="1">
      <alignment horizontal="center"/>
    </xf>
    <xf numFmtId="2" fontId="17" fillId="9" borderId="9" xfId="19" applyNumberFormat="1" applyBorder="1" applyAlignment="1">
      <alignment horizontal="center"/>
      <protection locked="0"/>
    </xf>
    <xf numFmtId="170" fontId="17" fillId="9" borderId="14" xfId="37" applyNumberFormat="1" applyFill="1" applyAlignment="1">
      <alignment horizontal="center"/>
    </xf>
    <xf numFmtId="0" fontId="0" fillId="0" borderId="0" xfId="0" applyAlignment="1"/>
    <xf numFmtId="0" fontId="0" fillId="0" borderId="14" xfId="37" applyFont="1" applyAlignment="1">
      <alignment horizontal="center" wrapText="1"/>
    </xf>
    <xf numFmtId="2" fontId="17" fillId="14" borderId="14" xfId="71" applyNumberFormat="1" applyBorder="1" applyAlignment="1">
      <alignment horizontal="center" vertical="top"/>
    </xf>
    <xf numFmtId="4" fontId="17" fillId="27" borderId="10" xfId="72" applyNumberFormat="1" applyAlignment="1">
      <alignment horizontal="center"/>
    </xf>
    <xf numFmtId="2" fontId="17" fillId="27" borderId="81" xfId="72" applyNumberFormat="1" applyBorder="1" applyAlignment="1">
      <alignment horizontal="center"/>
    </xf>
    <xf numFmtId="4" fontId="17" fillId="27" borderId="83" xfId="72" applyNumberFormat="1" applyBorder="1" applyAlignment="1">
      <alignment horizontal="center"/>
    </xf>
    <xf numFmtId="0" fontId="25" fillId="0" borderId="0" xfId="28" applyAlignment="1">
      <alignment horizontal="right" shrinkToFit="1"/>
    </xf>
    <xf numFmtId="0" fontId="32" fillId="33" borderId="21" xfId="38" applyFill="1" applyBorder="1" applyAlignment="1">
      <alignment horizontal="centerContinuous"/>
    </xf>
    <xf numFmtId="0" fontId="32" fillId="33" borderId="0" xfId="38" applyFill="1" applyBorder="1" applyAlignment="1">
      <alignment horizontal="centerContinuous"/>
    </xf>
    <xf numFmtId="0" fontId="25" fillId="0" borderId="0" xfId="28" applyAlignment="1">
      <alignment horizontal="center"/>
    </xf>
    <xf numFmtId="0" fontId="0" fillId="9" borderId="9" xfId="19" applyNumberFormat="1" applyFont="1" applyAlignment="1">
      <alignment horizontal="center" vertical="center"/>
      <protection locked="0"/>
    </xf>
    <xf numFmtId="0" fontId="43" fillId="0" borderId="13" xfId="70" applyFont="1" applyFill="1" applyAlignment="1">
      <alignment shrinkToFit="1"/>
    </xf>
    <xf numFmtId="0" fontId="31" fillId="16" borderId="8" xfId="67" applyAlignment="1">
      <alignment horizontal="center" vertical="center" wrapText="1"/>
    </xf>
    <xf numFmtId="169" fontId="0" fillId="14" borderId="10" xfId="71" applyNumberFormat="1" applyFont="1" applyAlignment="1">
      <alignment horizontal="center"/>
    </xf>
    <xf numFmtId="0" fontId="43" fillId="0" borderId="13" xfId="70" applyFont="1" applyFill="1" applyAlignment="1">
      <alignment shrinkToFit="1"/>
    </xf>
    <xf numFmtId="0" fontId="31" fillId="16" borderId="8" xfId="67" applyAlignment="1">
      <alignment horizontal="center" vertical="center" wrapText="1"/>
    </xf>
    <xf numFmtId="0" fontId="17" fillId="11" borderId="9" xfId="21" applyAlignment="1">
      <alignment horizontal="center"/>
      <protection locked="0"/>
    </xf>
    <xf numFmtId="0" fontId="17" fillId="27" borderId="67" xfId="72" applyBorder="1"/>
    <xf numFmtId="2" fontId="17" fillId="27" borderId="0" xfId="37" applyNumberFormat="1" applyFill="1" applyBorder="1" applyAlignment="1">
      <alignment horizontal="center"/>
    </xf>
    <xf numFmtId="2" fontId="17" fillId="14" borderId="0" xfId="37" applyNumberFormat="1" applyFill="1" applyBorder="1" applyAlignment="1">
      <alignment horizontal="center"/>
    </xf>
    <xf numFmtId="4" fontId="17" fillId="14" borderId="0" xfId="37" applyNumberFormat="1" applyFill="1" applyBorder="1" applyAlignment="1">
      <alignment horizontal="center"/>
    </xf>
    <xf numFmtId="4" fontId="17" fillId="27" borderId="0" xfId="37" applyNumberFormat="1" applyFill="1" applyBorder="1" applyAlignment="1">
      <alignment horizontal="center"/>
    </xf>
    <xf numFmtId="4" fontId="17" fillId="14" borderId="98" xfId="37" applyNumberFormat="1" applyFill="1" applyBorder="1" applyAlignment="1">
      <alignment horizontal="center"/>
    </xf>
    <xf numFmtId="2" fontId="17" fillId="27" borderId="20" xfId="37" applyNumberFormat="1" applyFill="1" applyBorder="1" applyAlignment="1">
      <alignment horizontal="center"/>
    </xf>
    <xf numFmtId="0" fontId="0" fillId="9" borderId="9" xfId="19" applyFont="1" applyAlignment="1">
      <alignment horizontal="center"/>
      <protection locked="0"/>
    </xf>
    <xf numFmtId="0" fontId="55" fillId="0" borderId="0" xfId="0" applyFont="1"/>
    <xf numFmtId="172" fontId="17" fillId="27" borderId="41" xfId="72" applyNumberFormat="1" applyBorder="1" applyAlignment="1">
      <alignment horizontal="center" vertical="top"/>
    </xf>
    <xf numFmtId="0" fontId="32" fillId="16" borderId="22" xfId="38" applyFill="1" applyBorder="1" applyAlignment="1">
      <alignment horizontal="centerContinuous"/>
    </xf>
    <xf numFmtId="0" fontId="32" fillId="16" borderId="0" xfId="38" applyFill="1" applyBorder="1" applyAlignment="1">
      <alignment horizontal="centerContinuous"/>
    </xf>
    <xf numFmtId="170" fontId="17" fillId="14" borderId="10" xfId="71" applyNumberFormat="1" applyBorder="1" applyAlignment="1">
      <alignment horizontal="center" vertical="center"/>
    </xf>
    <xf numFmtId="171" fontId="17" fillId="14" borderId="10" xfId="71" applyNumberFormat="1" applyBorder="1" applyAlignment="1">
      <alignment horizontal="center" vertical="center"/>
    </xf>
    <xf numFmtId="2" fontId="17" fillId="14" borderId="10" xfId="71" applyNumberFormat="1" applyBorder="1" applyAlignment="1">
      <alignment horizontal="center" vertical="center"/>
    </xf>
    <xf numFmtId="0" fontId="17" fillId="9" borderId="66" xfId="19" applyBorder="1" applyAlignment="1">
      <alignment horizontal="center"/>
      <protection locked="0"/>
    </xf>
    <xf numFmtId="0" fontId="17" fillId="14" borderId="67" xfId="71" applyNumberFormat="1" applyBorder="1" applyAlignment="1">
      <alignment horizontal="center"/>
    </xf>
    <xf numFmtId="0" fontId="17" fillId="14" borderId="67" xfId="71" applyBorder="1" applyAlignment="1">
      <alignment horizontal="center"/>
    </xf>
    <xf numFmtId="0" fontId="17" fillId="27" borderId="67" xfId="72" applyNumberFormat="1" applyBorder="1" applyAlignment="1">
      <alignment horizontal="center"/>
    </xf>
    <xf numFmtId="170" fontId="17" fillId="14" borderId="67" xfId="71" applyNumberFormat="1" applyBorder="1" applyAlignment="1">
      <alignment horizontal="center" vertical="center"/>
    </xf>
    <xf numFmtId="171" fontId="17" fillId="14" borderId="67" xfId="71" applyNumberFormat="1" applyBorder="1" applyAlignment="1">
      <alignment horizontal="center" vertical="center"/>
    </xf>
    <xf numFmtId="2" fontId="17" fillId="14" borderId="67" xfId="71" applyNumberFormat="1" applyBorder="1" applyAlignment="1">
      <alignment horizontal="center" vertical="center"/>
    </xf>
    <xf numFmtId="4" fontId="17" fillId="14" borderId="67" xfId="71" applyNumberFormat="1" applyBorder="1" applyAlignment="1">
      <alignment horizontal="center" vertical="center"/>
    </xf>
    <xf numFmtId="2" fontId="17" fillId="27" borderId="102" xfId="37" applyNumberFormat="1" applyFill="1" applyBorder="1" applyAlignment="1">
      <alignment horizontal="center"/>
    </xf>
    <xf numFmtId="2" fontId="17" fillId="27" borderId="83" xfId="72" applyNumberFormat="1" applyBorder="1" applyAlignment="1">
      <alignment horizontal="center" vertical="top"/>
    </xf>
    <xf numFmtId="171" fontId="17" fillId="27" borderId="71" xfId="72" applyNumberFormat="1" applyFill="1" applyBorder="1" applyAlignment="1">
      <alignment horizontal="center" vertical="top"/>
    </xf>
    <xf numFmtId="171" fontId="17" fillId="27" borderId="10" xfId="72" applyNumberFormat="1" applyFill="1" applyBorder="1" applyAlignment="1">
      <alignment horizontal="center" vertical="top"/>
    </xf>
    <xf numFmtId="171" fontId="17" fillId="27" borderId="67" xfId="72" applyNumberFormat="1" applyFill="1" applyBorder="1" applyAlignment="1">
      <alignment horizontal="center" vertical="top"/>
    </xf>
    <xf numFmtId="172" fontId="17" fillId="27" borderId="71" xfId="72" applyNumberFormat="1" applyFill="1" applyBorder="1" applyAlignment="1">
      <alignment horizontal="center" vertical="top"/>
    </xf>
    <xf numFmtId="172" fontId="17" fillId="27" borderId="10" xfId="72" applyNumberFormat="1" applyFill="1" applyBorder="1" applyAlignment="1">
      <alignment horizontal="center" vertical="top"/>
    </xf>
    <xf numFmtId="172" fontId="17" fillId="27" borderId="67" xfId="72" applyNumberFormat="1" applyFill="1" applyBorder="1" applyAlignment="1">
      <alignment horizontal="center" vertical="top"/>
    </xf>
    <xf numFmtId="0" fontId="17" fillId="14" borderId="71" xfId="72" applyFill="1" applyBorder="1" applyAlignment="1">
      <alignment horizontal="center" vertical="top"/>
    </xf>
    <xf numFmtId="0" fontId="17" fillId="14" borderId="10" xfId="72" applyFill="1" applyBorder="1" applyAlignment="1">
      <alignment horizontal="center" vertical="top"/>
    </xf>
    <xf numFmtId="0" fontId="17" fillId="14" borderId="67" xfId="72" applyNumberFormat="1" applyFill="1" applyBorder="1" applyAlignment="1">
      <alignment horizontal="center" vertical="top"/>
    </xf>
    <xf numFmtId="172" fontId="17" fillId="14" borderId="27" xfId="72" applyNumberFormat="1" applyFill="1" applyBorder="1" applyAlignment="1">
      <alignment horizontal="center" vertical="top"/>
    </xf>
    <xf numFmtId="172" fontId="17" fillId="14" borderId="86" xfId="72" applyNumberFormat="1" applyFill="1" applyBorder="1" applyAlignment="1">
      <alignment horizontal="center" vertical="top"/>
    </xf>
    <xf numFmtId="172" fontId="17" fillId="27" borderId="72" xfId="72" applyNumberFormat="1" applyFill="1" applyBorder="1" applyAlignment="1">
      <alignment horizontal="center" vertical="top"/>
    </xf>
    <xf numFmtId="172" fontId="17" fillId="27" borderId="65" xfId="72" applyNumberFormat="1" applyFill="1" applyBorder="1" applyAlignment="1">
      <alignment horizontal="center" vertical="top"/>
    </xf>
    <xf numFmtId="172" fontId="17" fillId="27" borderId="89" xfId="72" applyNumberFormat="1" applyFill="1" applyBorder="1" applyAlignment="1">
      <alignment horizontal="center" vertical="top"/>
    </xf>
    <xf numFmtId="170" fontId="17" fillId="14" borderId="58" xfId="72" applyNumberFormat="1" applyFill="1" applyBorder="1" applyAlignment="1">
      <alignment horizontal="center" vertical="top"/>
    </xf>
    <xf numFmtId="170" fontId="17" fillId="14" borderId="67" xfId="72" applyNumberFormat="1" applyFill="1" applyBorder="1" applyAlignment="1">
      <alignment horizontal="center" vertical="top"/>
    </xf>
    <xf numFmtId="172" fontId="17" fillId="14" borderId="10" xfId="72" applyNumberFormat="1" applyFill="1" applyAlignment="1">
      <alignment horizontal="center" vertical="top"/>
    </xf>
    <xf numFmtId="170" fontId="17" fillId="27" borderId="10" xfId="71" applyNumberFormat="1" applyFill="1" applyAlignment="1">
      <alignment horizontal="center" vertical="top"/>
    </xf>
    <xf numFmtId="170" fontId="17" fillId="27" borderId="67" xfId="71" applyNumberFormat="1" applyFill="1" applyBorder="1" applyAlignment="1">
      <alignment horizontal="center" vertical="top"/>
    </xf>
    <xf numFmtId="171" fontId="17" fillId="27" borderId="10" xfId="71" applyNumberFormat="1" applyFill="1" applyAlignment="1">
      <alignment horizontal="center" vertical="top"/>
    </xf>
    <xf numFmtId="171" fontId="17" fillId="27" borderId="67" xfId="71" applyNumberFormat="1" applyFill="1" applyBorder="1" applyAlignment="1">
      <alignment horizontal="center" vertical="top"/>
    </xf>
    <xf numFmtId="172" fontId="17" fillId="27" borderId="10" xfId="71" applyNumberFormat="1" applyFill="1" applyAlignment="1">
      <alignment horizontal="center" vertical="top"/>
    </xf>
    <xf numFmtId="172" fontId="17" fillId="27" borderId="67" xfId="71" applyNumberFormat="1" applyFill="1" applyBorder="1" applyAlignment="1">
      <alignment horizontal="center" vertical="top"/>
    </xf>
    <xf numFmtId="2" fontId="17" fillId="27" borderId="27" xfId="71" applyNumberFormat="1" applyFill="1" applyBorder="1" applyAlignment="1">
      <alignment horizontal="center" vertical="top"/>
    </xf>
    <xf numFmtId="2" fontId="17" fillId="27" borderId="67" xfId="71" applyNumberFormat="1" applyFill="1" applyBorder="1" applyAlignment="1">
      <alignment horizontal="center" vertical="top"/>
    </xf>
    <xf numFmtId="170" fontId="17" fillId="27" borderId="71" xfId="71" applyNumberFormat="1" applyFill="1" applyBorder="1" applyAlignment="1">
      <alignment horizontal="center" vertical="top"/>
    </xf>
    <xf numFmtId="170" fontId="17" fillId="27" borderId="10" xfId="71" applyNumberFormat="1" applyFill="1" applyBorder="1" applyAlignment="1">
      <alignment horizontal="center" vertical="top"/>
    </xf>
    <xf numFmtId="171" fontId="17" fillId="27" borderId="71" xfId="71" applyNumberFormat="1" applyFill="1" applyBorder="1" applyAlignment="1">
      <alignment horizontal="center" vertical="top"/>
    </xf>
    <xf numFmtId="171" fontId="17" fillId="27" borderId="10" xfId="71" applyNumberFormat="1" applyFill="1" applyBorder="1" applyAlignment="1">
      <alignment horizontal="center" vertical="top"/>
    </xf>
    <xf numFmtId="1" fontId="17" fillId="14" borderId="71" xfId="72" applyNumberFormat="1" applyFill="1" applyBorder="1" applyAlignment="1">
      <alignment horizontal="center" vertical="top"/>
    </xf>
    <xf numFmtId="1" fontId="17" fillId="14" borderId="10" xfId="72" applyNumberFormat="1" applyFill="1" applyBorder="1" applyAlignment="1">
      <alignment horizontal="center" vertical="top"/>
    </xf>
    <xf numFmtId="1" fontId="17" fillId="14" borderId="67" xfId="72" applyNumberFormat="1" applyFill="1" applyBorder="1" applyAlignment="1">
      <alignment horizontal="center" vertical="top"/>
    </xf>
    <xf numFmtId="172" fontId="17" fillId="14" borderId="26" xfId="72" applyNumberFormat="1" applyFill="1" applyBorder="1" applyAlignment="1">
      <alignment horizontal="center" vertical="top"/>
    </xf>
    <xf numFmtId="3" fontId="17" fillId="14" borderId="71" xfId="72" applyNumberFormat="1" applyFill="1" applyBorder="1" applyAlignment="1">
      <alignment horizontal="center" vertical="top"/>
    </xf>
    <xf numFmtId="3" fontId="17" fillId="14" borderId="10" xfId="72" applyNumberFormat="1" applyFill="1" applyBorder="1" applyAlignment="1">
      <alignment horizontal="center" vertical="top"/>
    </xf>
    <xf numFmtId="3" fontId="17" fillId="14" borderId="67" xfId="72" applyNumberFormat="1" applyFill="1" applyBorder="1" applyAlignment="1">
      <alignment horizontal="center" vertical="top"/>
    </xf>
    <xf numFmtId="2" fontId="17" fillId="14" borderId="27" xfId="72" applyNumberFormat="1" applyFill="1" applyBorder="1" applyAlignment="1">
      <alignment horizontal="center" vertical="top"/>
    </xf>
    <xf numFmtId="170" fontId="17" fillId="14" borderId="81" xfId="72" applyNumberFormat="1" applyFill="1" applyBorder="1" applyAlignment="1">
      <alignment horizontal="center" vertical="top"/>
    </xf>
    <xf numFmtId="170" fontId="17" fillId="14" borderId="83" xfId="72" applyNumberFormat="1" applyFill="1" applyBorder="1" applyAlignment="1">
      <alignment horizontal="center" vertical="top"/>
    </xf>
    <xf numFmtId="172" fontId="17" fillId="27" borderId="10" xfId="71" applyNumberFormat="1" applyFill="1" applyBorder="1" applyAlignment="1">
      <alignment horizontal="center" vertical="top"/>
    </xf>
    <xf numFmtId="2" fontId="17" fillId="27" borderId="84" xfId="71" applyNumberFormat="1" applyFill="1" applyBorder="1" applyAlignment="1">
      <alignment horizontal="center" vertical="top"/>
    </xf>
    <xf numFmtId="171" fontId="17" fillId="14" borderId="14" xfId="71" applyNumberFormat="1" applyFill="1" applyBorder="1" applyAlignment="1">
      <alignment horizontal="center" vertical="top"/>
    </xf>
    <xf numFmtId="171" fontId="17" fillId="14" borderId="27" xfId="71" applyNumberFormat="1" applyBorder="1" applyAlignment="1">
      <alignment horizontal="center" vertical="top"/>
    </xf>
    <xf numFmtId="172" fontId="17" fillId="14" borderId="14" xfId="71" applyNumberFormat="1" applyFill="1" applyBorder="1" applyAlignment="1">
      <alignment horizontal="center" vertical="top"/>
    </xf>
    <xf numFmtId="1" fontId="17" fillId="14" borderId="14" xfId="71" applyNumberFormat="1" applyFill="1" applyBorder="1" applyAlignment="1">
      <alignment horizontal="center" vertical="top"/>
    </xf>
    <xf numFmtId="1" fontId="17" fillId="14" borderId="27" xfId="71" applyNumberFormat="1" applyBorder="1" applyAlignment="1">
      <alignment horizontal="center" vertical="top"/>
    </xf>
    <xf numFmtId="172" fontId="17" fillId="14" borderId="101" xfId="71" applyNumberFormat="1" applyFill="1" applyBorder="1" applyAlignment="1">
      <alignment horizontal="center" vertical="top"/>
    </xf>
    <xf numFmtId="172" fontId="17" fillId="14" borderId="84" xfId="71" applyNumberFormat="1" applyBorder="1" applyAlignment="1">
      <alignment horizontal="center" vertical="top"/>
    </xf>
    <xf numFmtId="171" fontId="17" fillId="27" borderId="14" xfId="71" applyNumberFormat="1" applyFill="1" applyBorder="1" applyAlignment="1">
      <alignment horizontal="center" vertical="top"/>
    </xf>
    <xf numFmtId="171" fontId="17" fillId="27" borderId="27" xfId="71" applyNumberFormat="1" applyFill="1" applyBorder="1" applyAlignment="1">
      <alignment horizontal="center" vertical="top"/>
    </xf>
    <xf numFmtId="172" fontId="17" fillId="27" borderId="14" xfId="71" applyNumberFormat="1" applyFill="1" applyBorder="1" applyAlignment="1">
      <alignment horizontal="center" vertical="top"/>
    </xf>
    <xf numFmtId="172" fontId="17" fillId="27" borderId="27" xfId="71" applyNumberFormat="1" applyFill="1" applyBorder="1" applyAlignment="1">
      <alignment horizontal="center" vertical="top"/>
    </xf>
    <xf numFmtId="172" fontId="17" fillId="27" borderId="9" xfId="19" applyNumberFormat="1" applyFill="1" applyAlignment="1">
      <alignment horizontal="center" vertical="top"/>
      <protection locked="0"/>
    </xf>
    <xf numFmtId="172" fontId="17" fillId="31" borderId="9" xfId="19" applyNumberFormat="1" applyFill="1" applyAlignment="1">
      <alignment horizontal="center" vertical="top"/>
      <protection locked="0"/>
    </xf>
    <xf numFmtId="2" fontId="17" fillId="14" borderId="100" xfId="71" applyNumberFormat="1" applyBorder="1" applyAlignment="1">
      <alignment horizontal="center" vertical="top"/>
    </xf>
    <xf numFmtId="2" fontId="17" fillId="27" borderId="19" xfId="37" applyNumberFormat="1" applyFill="1" applyBorder="1" applyAlignment="1">
      <alignment horizontal="center"/>
    </xf>
    <xf numFmtId="2" fontId="17" fillId="14" borderId="103" xfId="37" applyNumberFormat="1" applyFill="1" applyBorder="1" applyAlignment="1">
      <alignment horizontal="center"/>
    </xf>
    <xf numFmtId="2" fontId="17" fillId="27" borderId="103" xfId="37" applyNumberFormat="1" applyFill="1" applyBorder="1" applyAlignment="1">
      <alignment horizontal="center"/>
    </xf>
    <xf numFmtId="4" fontId="17" fillId="14" borderId="103" xfId="37" applyNumberFormat="1" applyFill="1" applyBorder="1" applyAlignment="1">
      <alignment horizontal="center"/>
    </xf>
    <xf numFmtId="4" fontId="17" fillId="27" borderId="103" xfId="37" applyNumberFormat="1" applyFill="1" applyBorder="1" applyAlignment="1">
      <alignment horizontal="center"/>
    </xf>
    <xf numFmtId="4" fontId="17" fillId="14" borderId="104" xfId="37" applyNumberFormat="1" applyFill="1" applyBorder="1" applyAlignment="1">
      <alignment horizontal="center"/>
    </xf>
    <xf numFmtId="0" fontId="55" fillId="0" borderId="0" xfId="0" applyFont="1" applyFill="1"/>
    <xf numFmtId="0" fontId="18" fillId="0" borderId="0" xfId="18" applyFill="1" applyAlignment="1"/>
    <xf numFmtId="0" fontId="32" fillId="16" borderId="20" xfId="38" applyBorder="1" applyAlignment="1">
      <alignment horizontal="centerContinuous"/>
    </xf>
    <xf numFmtId="0" fontId="0" fillId="0" borderId="104" xfId="0" applyBorder="1" applyAlignment="1">
      <alignment horizontal="center" wrapText="1"/>
    </xf>
    <xf numFmtId="0" fontId="0" fillId="0" borderId="19" xfId="0" applyBorder="1" applyAlignment="1">
      <alignment horizontal="center" wrapText="1"/>
    </xf>
    <xf numFmtId="2" fontId="17" fillId="14" borderId="83" xfId="71" applyNumberFormat="1" applyBorder="1" applyAlignment="1">
      <alignment horizontal="center" vertical="center"/>
    </xf>
    <xf numFmtId="0" fontId="0" fillId="0" borderId="20" xfId="0" applyBorder="1" applyAlignment="1">
      <alignment horizontal="center" wrapText="1"/>
    </xf>
    <xf numFmtId="170" fontId="17" fillId="14" borderId="83" xfId="71" applyNumberFormat="1" applyBorder="1" applyAlignment="1">
      <alignment horizontal="center" vertical="center"/>
    </xf>
    <xf numFmtId="170" fontId="17" fillId="14" borderId="99" xfId="71" applyNumberFormat="1" applyBorder="1" applyAlignment="1">
      <alignment horizontal="center" vertical="center"/>
    </xf>
    <xf numFmtId="0" fontId="31" fillId="16" borderId="93" xfId="36" applyBorder="1" applyAlignment="1">
      <alignment horizontal="center" vertical="center" wrapText="1"/>
    </xf>
    <xf numFmtId="172" fontId="17" fillId="27" borderId="105" xfId="72" applyNumberFormat="1" applyBorder="1" applyAlignment="1">
      <alignment horizontal="center" wrapText="1"/>
    </xf>
    <xf numFmtId="0" fontId="0" fillId="0" borderId="98" xfId="0" applyBorder="1" applyAlignment="1">
      <alignment horizontal="center" wrapText="1"/>
    </xf>
    <xf numFmtId="2" fontId="17" fillId="14" borderId="99" xfId="71" applyNumberFormat="1" applyBorder="1" applyAlignment="1">
      <alignment horizontal="center" vertical="center"/>
    </xf>
    <xf numFmtId="0" fontId="17" fillId="27" borderId="10" xfId="71" applyFill="1" applyAlignment="1">
      <alignment horizontal="center"/>
    </xf>
    <xf numFmtId="0" fontId="17" fillId="27" borderId="67" xfId="71" applyFill="1" applyBorder="1" applyAlignment="1">
      <alignment horizontal="center"/>
    </xf>
    <xf numFmtId="0" fontId="17" fillId="27" borderId="67" xfId="71" applyNumberFormat="1" applyFill="1" applyBorder="1" applyAlignment="1">
      <alignment horizontal="center"/>
    </xf>
    <xf numFmtId="0" fontId="17" fillId="27" borderId="10" xfId="71" applyFill="1" applyAlignment="1">
      <alignment horizontal="center" wrapText="1"/>
    </xf>
    <xf numFmtId="0" fontId="17" fillId="27" borderId="67" xfId="71" applyNumberFormat="1" applyFill="1" applyBorder="1" applyAlignment="1">
      <alignment horizontal="center" wrapText="1"/>
    </xf>
    <xf numFmtId="170" fontId="17" fillId="27" borderId="83" xfId="71" applyNumberFormat="1" applyFill="1" applyBorder="1" applyAlignment="1">
      <alignment horizontal="center" vertical="center"/>
    </xf>
    <xf numFmtId="170" fontId="17" fillId="27" borderId="99" xfId="71" applyNumberFormat="1" applyFill="1" applyBorder="1" applyAlignment="1">
      <alignment horizontal="center" vertical="center"/>
    </xf>
    <xf numFmtId="3" fontId="17" fillId="27" borderId="10" xfId="71" applyNumberFormat="1" applyFill="1" applyAlignment="1">
      <alignment horizontal="center" vertical="center"/>
    </xf>
    <xf numFmtId="3" fontId="17" fillId="27" borderId="67" xfId="71" applyNumberFormat="1" applyFill="1" applyBorder="1" applyAlignment="1">
      <alignment horizontal="center" vertical="center"/>
    </xf>
    <xf numFmtId="171" fontId="17" fillId="27" borderId="10" xfId="71" applyNumberFormat="1" applyFill="1" applyAlignment="1">
      <alignment horizontal="center" vertical="center"/>
    </xf>
    <xf numFmtId="171" fontId="17" fillId="27" borderId="67" xfId="71" applyNumberFormat="1" applyFill="1" applyBorder="1" applyAlignment="1">
      <alignment horizontal="center" vertical="center"/>
    </xf>
    <xf numFmtId="2" fontId="17" fillId="27" borderId="10" xfId="71" applyNumberFormat="1" applyFill="1" applyAlignment="1">
      <alignment horizontal="center" vertical="center"/>
    </xf>
    <xf numFmtId="2" fontId="17" fillId="27" borderId="67" xfId="71" applyNumberFormat="1" applyFill="1" applyBorder="1" applyAlignment="1">
      <alignment horizontal="center" vertical="center"/>
    </xf>
    <xf numFmtId="2" fontId="17" fillId="27" borderId="83" xfId="71" applyNumberFormat="1" applyFill="1" applyBorder="1" applyAlignment="1">
      <alignment horizontal="center" vertical="center"/>
    </xf>
    <xf numFmtId="2" fontId="17" fillId="27" borderId="99" xfId="71" applyNumberFormat="1" applyFill="1" applyBorder="1" applyAlignment="1">
      <alignment horizontal="center" vertical="center"/>
    </xf>
    <xf numFmtId="2" fontId="17" fillId="27" borderId="84" xfId="71" applyNumberFormat="1" applyFill="1" applyBorder="1" applyAlignment="1">
      <alignment horizontal="center" vertical="center"/>
    </xf>
    <xf numFmtId="4" fontId="17" fillId="27" borderId="84" xfId="71" applyNumberFormat="1" applyFill="1" applyBorder="1" applyAlignment="1">
      <alignment horizontal="center" vertical="center"/>
    </xf>
    <xf numFmtId="4" fontId="17" fillId="27" borderId="100" xfId="71" applyNumberFormat="1" applyFill="1" applyBorder="1" applyAlignment="1">
      <alignment horizontal="center" vertical="center"/>
    </xf>
    <xf numFmtId="0" fontId="17" fillId="14" borderId="10" xfId="72" applyFill="1" applyAlignment="1">
      <alignment horizontal="center"/>
    </xf>
    <xf numFmtId="0" fontId="17" fillId="14" borderId="67" xfId="72" applyNumberFormat="1" applyFill="1" applyBorder="1" applyAlignment="1">
      <alignment horizontal="center"/>
    </xf>
    <xf numFmtId="0" fontId="17" fillId="14" borderId="10" xfId="72" applyFill="1" applyAlignment="1">
      <alignment horizontal="center" wrapText="1"/>
    </xf>
    <xf numFmtId="0" fontId="17" fillId="14" borderId="67" xfId="72" applyNumberFormat="1" applyFill="1" applyBorder="1" applyAlignment="1">
      <alignment horizontal="center" wrapText="1"/>
    </xf>
    <xf numFmtId="0" fontId="17" fillId="14" borderId="27" xfId="72" applyFill="1" applyBorder="1" applyAlignment="1">
      <alignment horizontal="center" wrapText="1"/>
    </xf>
    <xf numFmtId="0" fontId="17" fillId="14" borderId="86" xfId="72" applyNumberFormat="1" applyFill="1" applyBorder="1" applyAlignment="1">
      <alignment horizontal="center" wrapText="1"/>
    </xf>
    <xf numFmtId="170" fontId="17" fillId="27" borderId="10" xfId="71" applyNumberFormat="1" applyFill="1" applyAlignment="1">
      <alignment horizontal="center" vertical="center"/>
    </xf>
    <xf numFmtId="4" fontId="17" fillId="27" borderId="10" xfId="71" applyNumberFormat="1" applyFill="1" applyAlignment="1">
      <alignment horizontal="center" vertical="center"/>
    </xf>
    <xf numFmtId="2" fontId="17" fillId="14" borderId="58" xfId="71" applyNumberFormat="1" applyBorder="1" applyAlignment="1">
      <alignment horizontal="center" vertical="center"/>
    </xf>
    <xf numFmtId="0" fontId="0" fillId="0" borderId="0" xfId="0" applyBorder="1" applyAlignment="1">
      <alignment horizontal="center" wrapText="1"/>
    </xf>
    <xf numFmtId="170" fontId="17" fillId="27" borderId="58" xfId="71" applyNumberFormat="1" applyFill="1" applyBorder="1" applyAlignment="1">
      <alignment horizontal="center" vertical="center"/>
    </xf>
    <xf numFmtId="3" fontId="17" fillId="27" borderId="10" xfId="71" applyNumberFormat="1" applyFill="1" applyBorder="1" applyAlignment="1">
      <alignment horizontal="center" vertical="center"/>
    </xf>
    <xf numFmtId="171" fontId="17" fillId="27" borderId="10" xfId="71" applyNumberFormat="1" applyFill="1" applyBorder="1" applyAlignment="1">
      <alignment horizontal="center" vertical="center"/>
    </xf>
    <xf numFmtId="2" fontId="17" fillId="27" borderId="10" xfId="71" applyNumberFormat="1" applyFill="1" applyBorder="1" applyAlignment="1">
      <alignment horizontal="center" vertical="center"/>
    </xf>
    <xf numFmtId="170" fontId="17" fillId="27" borderId="67" xfId="71" applyNumberFormat="1" applyFill="1" applyBorder="1" applyAlignment="1">
      <alignment horizontal="center" vertical="center"/>
    </xf>
    <xf numFmtId="2" fontId="17" fillId="27" borderId="100" xfId="71" applyNumberFormat="1" applyFill="1" applyBorder="1" applyAlignment="1">
      <alignment horizontal="center" vertical="center"/>
    </xf>
    <xf numFmtId="0" fontId="17" fillId="14" borderId="26" xfId="71" applyBorder="1" applyAlignment="1">
      <alignment horizontal="center" wrapText="1" shrinkToFit="1"/>
    </xf>
    <xf numFmtId="0" fontId="17" fillId="27" borderId="10" xfId="72" applyBorder="1" applyAlignment="1">
      <alignment horizontal="center" wrapText="1" shrinkToFit="1"/>
    </xf>
    <xf numFmtId="0" fontId="0" fillId="11" borderId="9" xfId="21" applyNumberFormat="1" applyFont="1" applyAlignment="1">
      <protection locked="0"/>
    </xf>
    <xf numFmtId="170" fontId="0" fillId="11" borderId="9" xfId="21" applyNumberFormat="1" applyFont="1" applyAlignment="1">
      <protection locked="0"/>
    </xf>
    <xf numFmtId="0" fontId="17" fillId="14" borderId="45" xfId="72" applyFill="1" applyBorder="1" applyAlignment="1">
      <alignment vertical="top"/>
    </xf>
    <xf numFmtId="0" fontId="17" fillId="14" borderId="10" xfId="72" applyFill="1" applyAlignment="1">
      <alignment vertical="top"/>
    </xf>
    <xf numFmtId="0" fontId="0" fillId="9" borderId="106" xfId="19" applyFont="1" applyBorder="1" applyAlignment="1">
      <protection locked="0"/>
    </xf>
    <xf numFmtId="0" fontId="0" fillId="9" borderId="107" xfId="19" applyFont="1" applyBorder="1">
      <alignment vertical="top"/>
      <protection locked="0"/>
    </xf>
    <xf numFmtId="0" fontId="18" fillId="0" borderId="0" xfId="18" applyBorder="1" applyAlignment="1">
      <alignment vertical="top" wrapText="1"/>
    </xf>
    <xf numFmtId="0" fontId="0" fillId="0" borderId="0" xfId="0" applyBorder="1" applyAlignment="1">
      <alignment vertical="top"/>
    </xf>
    <xf numFmtId="0" fontId="31" fillId="16" borderId="8" xfId="67" applyAlignment="1">
      <alignment horizontal="center" vertical="center" wrapText="1"/>
    </xf>
    <xf numFmtId="169" fontId="17" fillId="9" borderId="10" xfId="71" applyNumberFormat="1" applyFill="1" applyAlignment="1">
      <alignment horizontal="center"/>
    </xf>
    <xf numFmtId="3" fontId="17" fillId="9" borderId="10" xfId="71" applyNumberFormat="1" applyFill="1" applyAlignment="1">
      <alignment horizontal="center"/>
    </xf>
    <xf numFmtId="170" fontId="17" fillId="9" borderId="10" xfId="71" applyNumberFormat="1" applyFill="1" applyAlignment="1">
      <alignment horizontal="center"/>
    </xf>
    <xf numFmtId="2" fontId="17" fillId="9" borderId="10" xfId="71" applyNumberFormat="1" applyFill="1" applyAlignment="1">
      <alignment horizontal="center"/>
    </xf>
    <xf numFmtId="0" fontId="31" fillId="16" borderId="8" xfId="67" applyAlignment="1">
      <alignment horizontal="centerContinuous"/>
    </xf>
    <xf numFmtId="0" fontId="31" fillId="16" borderId="21" xfId="36" applyBorder="1" applyAlignment="1">
      <alignment horizontal="centerContinuous" vertical="center" wrapText="1"/>
    </xf>
    <xf numFmtId="0" fontId="31" fillId="16" borderId="8" xfId="36" applyBorder="1" applyAlignment="1">
      <alignment horizontal="centerContinuous" vertical="center" wrapText="1"/>
    </xf>
    <xf numFmtId="0" fontId="56" fillId="0" borderId="29" xfId="46" applyFont="1" applyBorder="1" applyAlignment="1"/>
    <xf numFmtId="0" fontId="57" fillId="0" borderId="29" xfId="46" applyFont="1" applyBorder="1" applyAlignment="1"/>
    <xf numFmtId="0" fontId="0" fillId="0" borderId="0" xfId="0" applyBorder="1" applyAlignment="1">
      <alignment vertical="top"/>
    </xf>
    <xf numFmtId="0" fontId="37" fillId="29" borderId="13" xfId="70" applyAlignment="1">
      <alignment wrapText="1"/>
    </xf>
    <xf numFmtId="0" fontId="0" fillId="0" borderId="0" xfId="0" applyAlignment="1">
      <alignment vertical="center"/>
    </xf>
    <xf numFmtId="0" fontId="0" fillId="0" borderId="20" xfId="0" applyBorder="1" applyAlignment="1">
      <alignment vertical="center"/>
    </xf>
    <xf numFmtId="0" fontId="0" fillId="9" borderId="9" xfId="19" applyFont="1" applyAlignment="1">
      <alignment vertical="center"/>
      <protection locked="0"/>
    </xf>
    <xf numFmtId="0" fontId="0" fillId="11" borderId="9" xfId="21" applyFont="1" applyAlignment="1">
      <alignment vertical="center"/>
      <protection locked="0"/>
    </xf>
    <xf numFmtId="0" fontId="17" fillId="14" borderId="10" xfId="71" applyAlignment="1">
      <alignment vertical="center"/>
    </xf>
    <xf numFmtId="0" fontId="0" fillId="9" borderId="46" xfId="19" applyFont="1" applyBorder="1" applyAlignment="1">
      <alignment vertical="center" wrapText="1"/>
      <protection locked="0"/>
    </xf>
    <xf numFmtId="0" fontId="0" fillId="9" borderId="9" xfId="19" applyFont="1" applyAlignment="1">
      <alignment vertical="center" wrapText="1"/>
      <protection locked="0"/>
    </xf>
    <xf numFmtId="0" fontId="0" fillId="9" borderId="43" xfId="19" applyFont="1" applyBorder="1" applyAlignment="1">
      <alignment vertical="center"/>
      <protection locked="0"/>
    </xf>
    <xf numFmtId="0" fontId="0" fillId="9" borderId="46" xfId="19" applyFont="1" applyBorder="1" applyAlignment="1">
      <alignment vertical="center"/>
      <protection locked="0"/>
    </xf>
    <xf numFmtId="0" fontId="17" fillId="14" borderId="45" xfId="71" applyBorder="1" applyAlignment="1">
      <alignment vertical="center"/>
    </xf>
    <xf numFmtId="0" fontId="17" fillId="14" borderId="10" xfId="71" applyBorder="1" applyAlignment="1">
      <alignment vertical="center"/>
    </xf>
    <xf numFmtId="0" fontId="17" fillId="14" borderId="27" xfId="71" applyBorder="1" applyAlignment="1">
      <alignment vertical="center"/>
    </xf>
    <xf numFmtId="0" fontId="0" fillId="9" borderId="9" xfId="19" applyFont="1" applyBorder="1" applyAlignment="1">
      <alignment vertical="center"/>
      <protection locked="0"/>
    </xf>
    <xf numFmtId="0" fontId="0" fillId="14" borderId="9" xfId="21" applyFont="1" applyFill="1" applyAlignment="1">
      <alignment horizontal="center" vertical="center"/>
      <protection locked="0"/>
    </xf>
    <xf numFmtId="0" fontId="0" fillId="27" borderId="9" xfId="21" applyFont="1" applyFill="1" applyAlignment="1">
      <alignment horizontal="center" vertical="center"/>
      <protection locked="0"/>
    </xf>
    <xf numFmtId="0" fontId="17" fillId="14" borderId="26" xfId="71" applyFont="1" applyBorder="1" applyAlignment="1">
      <alignment horizontal="center" shrinkToFit="1"/>
    </xf>
    <xf numFmtId="0" fontId="17" fillId="27" borderId="10" xfId="72" applyFont="1" applyBorder="1" applyAlignment="1">
      <alignment horizontal="center" shrinkToFit="1"/>
    </xf>
    <xf numFmtId="0" fontId="56" fillId="0" borderId="0" xfId="46" applyFont="1" applyBorder="1" applyAlignment="1"/>
    <xf numFmtId="0" fontId="57" fillId="0" borderId="0" xfId="46" applyFont="1" applyBorder="1" applyAlignment="1"/>
    <xf numFmtId="0" fontId="57" fillId="0" borderId="29" xfId="46" applyFont="1" applyBorder="1" applyAlignment="1">
      <alignment horizontal="center" shrinkToFit="1"/>
    </xf>
    <xf numFmtId="0" fontId="57" fillId="0" borderId="0" xfId="46" applyFont="1" applyFill="1" applyBorder="1" applyAlignment="1">
      <alignment horizontal="center" shrinkToFit="1"/>
    </xf>
    <xf numFmtId="0" fontId="17" fillId="14" borderId="110" xfId="71" applyNumberFormat="1" applyBorder="1"/>
    <xf numFmtId="0" fontId="17" fillId="14" borderId="111" xfId="71" applyNumberFormat="1" applyBorder="1"/>
    <xf numFmtId="0" fontId="31" fillId="16" borderId="113" xfId="36" applyBorder="1" applyAlignment="1">
      <alignment horizontal="centerContinuous" vertical="center" wrapText="1"/>
    </xf>
    <xf numFmtId="0" fontId="31" fillId="16" borderId="114" xfId="36" applyBorder="1" applyAlignment="1">
      <alignment horizontal="centerContinuous" vertical="center" wrapText="1"/>
    </xf>
    <xf numFmtId="0" fontId="31" fillId="16" borderId="115" xfId="36" applyBorder="1" applyAlignment="1">
      <alignment horizontal="center" vertical="center" wrapText="1"/>
    </xf>
    <xf numFmtId="0" fontId="31" fillId="16" borderId="94" xfId="36" applyBorder="1" applyAlignment="1">
      <alignment horizontal="center" vertical="center" wrapText="1"/>
    </xf>
    <xf numFmtId="0" fontId="31" fillId="16" borderId="94" xfId="36" applyBorder="1" applyAlignment="1">
      <alignment horizontal="centerContinuous" vertical="center" wrapText="1"/>
    </xf>
    <xf numFmtId="0" fontId="31" fillId="16" borderId="115" xfId="36" applyBorder="1" applyAlignment="1">
      <alignment horizontal="centerContinuous" vertical="center" wrapText="1"/>
    </xf>
    <xf numFmtId="0" fontId="31" fillId="16" borderId="115" xfId="67" applyBorder="1" applyAlignment="1">
      <alignment horizontal="centerContinuous"/>
    </xf>
    <xf numFmtId="0" fontId="57" fillId="0" borderId="0" xfId="46" applyFont="1" applyBorder="1" applyAlignment="1">
      <alignment horizontal="center" shrinkToFit="1"/>
    </xf>
    <xf numFmtId="0" fontId="0" fillId="14" borderId="9" xfId="21" applyNumberFormat="1" applyFont="1" applyFill="1" applyAlignment="1">
      <protection locked="0"/>
    </xf>
    <xf numFmtId="4" fontId="17" fillId="14" borderId="84" xfId="71" applyNumberFormat="1" applyBorder="1" applyAlignment="1">
      <alignment horizontal="center" vertical="center"/>
    </xf>
    <xf numFmtId="0" fontId="18" fillId="0" borderId="0" xfId="18" applyFont="1" applyAlignment="1"/>
    <xf numFmtId="0" fontId="18" fillId="0" borderId="0" xfId="0" applyFont="1"/>
    <xf numFmtId="0" fontId="52" fillId="0" borderId="0" xfId="0" applyFont="1"/>
    <xf numFmtId="1" fontId="0" fillId="0" borderId="0" xfId="0" applyNumberFormat="1"/>
    <xf numFmtId="0" fontId="0" fillId="14" borderId="9" xfId="21" applyFont="1" applyFill="1" applyAlignment="1">
      <alignment horizontal="center" vertical="top"/>
      <protection locked="0"/>
    </xf>
    <xf numFmtId="0" fontId="0" fillId="14" borderId="66" xfId="21" applyFont="1" applyFill="1" applyBorder="1" applyAlignment="1">
      <alignment horizontal="center"/>
      <protection locked="0"/>
    </xf>
    <xf numFmtId="0" fontId="0" fillId="14" borderId="9" xfId="21" applyNumberFormat="1" applyFont="1" applyFill="1" applyAlignment="1">
      <alignment horizontal="center" vertical="top"/>
      <protection locked="0"/>
    </xf>
    <xf numFmtId="0" fontId="0" fillId="14" borderId="66" xfId="21" applyNumberFormat="1" applyFont="1" applyFill="1" applyBorder="1" applyAlignment="1">
      <alignment horizontal="center" vertical="top"/>
      <protection locked="0"/>
    </xf>
    <xf numFmtId="0" fontId="17" fillId="9" borderId="9" xfId="19" applyAlignment="1">
      <alignment horizontal="center" vertical="center"/>
      <protection locked="0"/>
    </xf>
    <xf numFmtId="0" fontId="17" fillId="27" borderId="10" xfId="71" applyFill="1" applyAlignment="1">
      <alignment horizontal="center" vertical="center"/>
    </xf>
    <xf numFmtId="0" fontId="17" fillId="27" borderId="10" xfId="72" applyAlignment="1">
      <alignment horizontal="center" vertical="center"/>
    </xf>
    <xf numFmtId="0" fontId="17" fillId="14" borderId="10" xfId="72" applyFill="1" applyAlignment="1">
      <alignment horizontal="center" vertical="center"/>
    </xf>
    <xf numFmtId="0" fontId="17" fillId="27" borderId="10" xfId="71" applyFill="1" applyAlignment="1">
      <alignment horizontal="center" vertical="center" wrapText="1"/>
    </xf>
    <xf numFmtId="0" fontId="17" fillId="14" borderId="10" xfId="72" applyFill="1" applyAlignment="1">
      <alignment horizontal="center" vertical="center" wrapText="1"/>
    </xf>
    <xf numFmtId="0" fontId="17" fillId="14" borderId="27" xfId="72" applyFill="1" applyBorder="1" applyAlignment="1">
      <alignment horizontal="center" vertical="center" wrapText="1"/>
    </xf>
    <xf numFmtId="0" fontId="17" fillId="14" borderId="10" xfId="71" applyAlignment="1">
      <alignment horizontal="center" vertical="center" wrapText="1"/>
    </xf>
    <xf numFmtId="0" fontId="17" fillId="27" borderId="10" xfId="72" applyAlignment="1">
      <alignment vertical="center"/>
    </xf>
    <xf numFmtId="0" fontId="17" fillId="28" borderId="116" xfId="73" applyNumberFormat="1" applyBorder="1" applyAlignment="1">
      <alignment horizontal="center" vertical="center"/>
    </xf>
    <xf numFmtId="170" fontId="17" fillId="14" borderId="117" xfId="71" applyNumberFormat="1" applyBorder="1" applyAlignment="1">
      <alignment horizontal="center" vertical="center"/>
    </xf>
    <xf numFmtId="170" fontId="17" fillId="27" borderId="10" xfId="72" applyNumberFormat="1" applyAlignment="1">
      <alignment horizontal="center" vertical="center"/>
    </xf>
    <xf numFmtId="170" fontId="17" fillId="28" borderId="10" xfId="73" applyNumberFormat="1" applyAlignment="1">
      <alignment horizontal="center" vertical="center"/>
    </xf>
    <xf numFmtId="170" fontId="17" fillId="27" borderId="116" xfId="72" applyNumberFormat="1" applyBorder="1" applyAlignment="1">
      <alignment horizontal="center" vertical="center"/>
    </xf>
    <xf numFmtId="1" fontId="17" fillId="14" borderId="117" xfId="71" applyNumberFormat="1" applyBorder="1" applyAlignment="1">
      <alignment horizontal="center" vertical="center"/>
    </xf>
    <xf numFmtId="2" fontId="17" fillId="14" borderId="116" xfId="71" applyNumberFormat="1" applyBorder="1" applyAlignment="1">
      <alignment horizontal="center" vertical="center"/>
    </xf>
    <xf numFmtId="2" fontId="17" fillId="14" borderId="117" xfId="71" applyNumberFormat="1" applyBorder="1" applyAlignment="1">
      <alignment horizontal="center" vertical="center"/>
    </xf>
    <xf numFmtId="2" fontId="17" fillId="27" borderId="10" xfId="72" applyNumberFormat="1" applyAlignment="1">
      <alignment horizontal="center" vertical="center"/>
    </xf>
    <xf numFmtId="2" fontId="17" fillId="27" borderId="116" xfId="72" applyNumberFormat="1" applyBorder="1" applyAlignment="1">
      <alignment horizontal="center" vertical="center"/>
    </xf>
    <xf numFmtId="1" fontId="17" fillId="14" borderId="10" xfId="71" applyNumberFormat="1" applyAlignment="1">
      <alignment horizontal="center" vertical="center"/>
    </xf>
    <xf numFmtId="0" fontId="0" fillId="9" borderId="109" xfId="19" applyFont="1" applyBorder="1" applyAlignment="1">
      <alignment vertical="center"/>
      <protection locked="0"/>
    </xf>
    <xf numFmtId="0" fontId="17" fillId="14" borderId="10" xfId="71" applyNumberFormat="1" applyAlignment="1">
      <alignment horizontal="center" vertical="center"/>
    </xf>
    <xf numFmtId="0" fontId="17" fillId="14" borderId="10" xfId="71" applyNumberFormat="1" applyBorder="1" applyAlignment="1">
      <alignment horizontal="center" vertical="center"/>
    </xf>
    <xf numFmtId="0" fontId="17" fillId="14" borderId="10" xfId="71" applyNumberFormat="1" applyBorder="1" applyAlignment="1">
      <alignment horizontal="center" vertical="center" wrapText="1"/>
    </xf>
    <xf numFmtId="0" fontId="17" fillId="27" borderId="10" xfId="72" applyNumberFormat="1" applyAlignment="1">
      <alignment vertical="center"/>
    </xf>
    <xf numFmtId="0" fontId="17" fillId="28" borderId="84" xfId="73" applyNumberFormat="1" applyBorder="1" applyAlignment="1">
      <alignment horizontal="center" vertical="center"/>
    </xf>
    <xf numFmtId="169" fontId="17" fillId="14" borderId="83" xfId="71" applyNumberFormat="1" applyBorder="1" applyAlignment="1">
      <alignment horizontal="center" vertical="center"/>
    </xf>
    <xf numFmtId="169" fontId="17" fillId="14" borderId="10" xfId="71" applyNumberFormat="1" applyAlignment="1">
      <alignment horizontal="center" vertical="center"/>
    </xf>
    <xf numFmtId="169" fontId="17" fillId="27" borderId="84" xfId="72" applyNumberFormat="1" applyBorder="1" applyAlignment="1">
      <alignment horizontal="center" vertical="center"/>
    </xf>
    <xf numFmtId="2" fontId="17" fillId="28" borderId="112" xfId="73" applyNumberFormat="1" applyBorder="1" applyAlignment="1">
      <alignment horizontal="center" vertical="center"/>
    </xf>
    <xf numFmtId="2" fontId="17" fillId="14" borderId="105" xfId="71" applyNumberFormat="1" applyBorder="1" applyAlignment="1">
      <alignment horizontal="center" vertical="center"/>
    </xf>
    <xf numFmtId="2" fontId="0" fillId="0" borderId="0" xfId="0" applyNumberFormat="1" applyAlignment="1">
      <alignment vertical="center"/>
    </xf>
    <xf numFmtId="171" fontId="17" fillId="14" borderId="27" xfId="71" applyNumberFormat="1" applyBorder="1" applyAlignment="1">
      <alignment horizontal="center" vertical="center"/>
    </xf>
    <xf numFmtId="1" fontId="17" fillId="27" borderId="83" xfId="71" applyNumberFormat="1" applyFill="1" applyBorder="1" applyAlignment="1">
      <alignment horizontal="center" vertical="center"/>
    </xf>
    <xf numFmtId="2" fontId="17" fillId="14" borderId="10" xfId="71" applyNumberFormat="1" applyFill="1" applyAlignment="1">
      <alignment horizontal="center" vertical="center"/>
    </xf>
    <xf numFmtId="2" fontId="17" fillId="14" borderId="67" xfId="71" applyNumberFormat="1" applyFill="1" applyBorder="1" applyAlignment="1">
      <alignment horizontal="center" vertical="center"/>
    </xf>
    <xf numFmtId="2" fontId="17" fillId="14" borderId="84" xfId="71" applyNumberFormat="1" applyFill="1" applyBorder="1" applyAlignment="1">
      <alignment horizontal="center" vertical="center"/>
    </xf>
    <xf numFmtId="2" fontId="17" fillId="14" borderId="100" xfId="71" applyNumberFormat="1" applyFill="1" applyBorder="1" applyAlignment="1">
      <alignment horizontal="center" vertical="center"/>
    </xf>
    <xf numFmtId="2" fontId="17" fillId="14" borderId="10" xfId="71" applyNumberFormat="1" applyFill="1" applyBorder="1" applyAlignment="1">
      <alignment horizontal="center" vertical="center"/>
    </xf>
    <xf numFmtId="172" fontId="17" fillId="27" borderId="10" xfId="71" applyNumberFormat="1" applyFill="1" applyAlignment="1">
      <alignment horizontal="center" vertical="center"/>
    </xf>
    <xf numFmtId="2" fontId="17" fillId="27" borderId="27" xfId="71" applyNumberFormat="1" applyFill="1" applyBorder="1" applyAlignment="1">
      <alignment horizontal="center" vertical="center"/>
    </xf>
    <xf numFmtId="172" fontId="17" fillId="27" borderId="67" xfId="71" applyNumberFormat="1" applyFill="1" applyBorder="1" applyAlignment="1">
      <alignment horizontal="center" vertical="center"/>
    </xf>
    <xf numFmtId="168" fontId="0" fillId="11" borderId="9" xfId="21" applyNumberFormat="1" applyFont="1" applyAlignment="1">
      <alignment horizontal="center"/>
      <protection locked="0"/>
    </xf>
    <xf numFmtId="3" fontId="0" fillId="0" borderId="0" xfId="0" applyNumberFormat="1"/>
    <xf numFmtId="0" fontId="0" fillId="11" borderId="9" xfId="21" applyNumberFormat="1" applyFont="1" applyAlignment="1">
      <alignment horizontal="center"/>
      <protection locked="0"/>
    </xf>
    <xf numFmtId="0" fontId="17" fillId="11" borderId="9" xfId="21" applyAlignment="1">
      <alignment horizontal="center"/>
      <protection locked="0"/>
    </xf>
    <xf numFmtId="0" fontId="43" fillId="0" borderId="60" xfId="70" applyFont="1" applyFill="1" applyBorder="1" applyAlignment="1">
      <alignment shrinkToFit="1"/>
    </xf>
    <xf numFmtId="0" fontId="0" fillId="0" borderId="73" xfId="0" applyBorder="1" applyAlignment="1">
      <alignment shrinkToFit="1"/>
    </xf>
    <xf numFmtId="0" fontId="17" fillId="11" borderId="9" xfId="21" applyNumberFormat="1" applyAlignment="1">
      <alignment horizontal="center"/>
      <protection locked="0"/>
    </xf>
    <xf numFmtId="0" fontId="18" fillId="0" borderId="0" xfId="18" applyFill="1" applyBorder="1" applyAlignment="1">
      <alignment vertical="top" wrapText="1"/>
    </xf>
    <xf numFmtId="0" fontId="18" fillId="0" borderId="0" xfId="18" applyAlignment="1">
      <alignment vertical="top" wrapText="1"/>
    </xf>
    <xf numFmtId="0" fontId="18" fillId="0" borderId="0" xfId="18" applyBorder="1" applyAlignment="1">
      <alignment vertical="top" wrapText="1"/>
    </xf>
    <xf numFmtId="0" fontId="0" fillId="0" borderId="0" xfId="0" applyBorder="1" applyAlignment="1">
      <alignment vertical="top" wrapText="1"/>
    </xf>
    <xf numFmtId="0" fontId="0" fillId="0" borderId="0" xfId="0" applyBorder="1" applyAlignment="1">
      <alignment vertical="top"/>
    </xf>
    <xf numFmtId="0" fontId="18" fillId="0" borderId="108" xfId="18" applyBorder="1" applyAlignment="1">
      <alignment horizontal="center" vertical="top" wrapText="1"/>
    </xf>
    <xf numFmtId="0" fontId="18" fillId="0" borderId="0" xfId="18" applyBorder="1" applyAlignment="1">
      <alignment horizontal="center" vertical="top" wrapText="1"/>
    </xf>
    <xf numFmtId="0" fontId="43" fillId="0" borderId="59" xfId="70" applyFont="1" applyFill="1" applyBorder="1" applyAlignment="1">
      <alignment shrinkToFit="1"/>
    </xf>
    <xf numFmtId="0" fontId="0" fillId="0" borderId="59" xfId="0" applyBorder="1" applyAlignment="1">
      <alignment shrinkToFit="1"/>
    </xf>
    <xf numFmtId="0" fontId="43" fillId="0" borderId="57" xfId="70" applyFont="1" applyFill="1" applyBorder="1" applyAlignment="1">
      <alignment shrinkToFit="1"/>
    </xf>
    <xf numFmtId="0" fontId="0" fillId="0" borderId="57" xfId="0" applyBorder="1" applyAlignment="1">
      <alignment shrinkToFit="1"/>
    </xf>
    <xf numFmtId="0" fontId="43" fillId="0" borderId="59" xfId="70" applyFont="1" applyFill="1" applyBorder="1" applyAlignment="1"/>
    <xf numFmtId="0" fontId="0" fillId="0" borderId="59" xfId="0" applyBorder="1" applyAlignment="1"/>
    <xf numFmtId="0" fontId="43" fillId="0" borderId="77" xfId="70" applyFont="1" applyFill="1" applyBorder="1" applyAlignment="1">
      <alignment shrinkToFit="1"/>
    </xf>
    <xf numFmtId="0" fontId="0" fillId="0" borderId="77" xfId="0" applyBorder="1" applyAlignment="1">
      <alignment shrinkToFit="1"/>
    </xf>
    <xf numFmtId="0" fontId="31" fillId="16" borderId="74" xfId="0" applyFont="1" applyFill="1" applyBorder="1" applyAlignment="1">
      <alignment horizontal="center" vertical="center" wrapText="1"/>
    </xf>
    <xf numFmtId="0" fontId="0" fillId="0" borderId="75" xfId="0" applyBorder="1" applyAlignment="1"/>
    <xf numFmtId="0" fontId="0" fillId="0" borderId="76" xfId="0" applyBorder="1" applyAlignment="1"/>
    <xf numFmtId="0" fontId="17" fillId="14" borderId="27" xfId="71" applyBorder="1" applyAlignment="1">
      <alignment horizontal="center"/>
    </xf>
    <xf numFmtId="0" fontId="17" fillId="14" borderId="28" xfId="71" applyBorder="1" applyAlignment="1">
      <alignment horizontal="center"/>
    </xf>
    <xf numFmtId="0" fontId="31" fillId="16" borderId="8" xfId="67" applyAlignment="1">
      <alignment horizontal="center" vertical="center" wrapText="1"/>
    </xf>
    <xf numFmtId="0" fontId="0" fillId="0" borderId="8" xfId="0" applyBorder="1" applyAlignment="1">
      <alignment horizontal="center" vertical="center" wrapText="1"/>
    </xf>
    <xf numFmtId="0" fontId="17" fillId="14" borderId="42" xfId="71" applyBorder="1" applyAlignment="1">
      <alignment horizontal="center"/>
    </xf>
    <xf numFmtId="0" fontId="17" fillId="15" borderId="87" xfId="74" applyBorder="1" applyAlignment="1">
      <alignment horizontal="center"/>
    </xf>
    <xf numFmtId="0" fontId="17" fillId="15" borderId="0" xfId="74" applyBorder="1" applyAlignment="1">
      <alignment horizontal="center"/>
    </xf>
    <xf numFmtId="0" fontId="0" fillId="0" borderId="24" xfId="37" applyFont="1" applyBorder="1" applyAlignment="1"/>
    <xf numFmtId="0" fontId="0" fillId="0" borderId="24" xfId="0" applyBorder="1" applyAlignment="1"/>
    <xf numFmtId="0" fontId="0" fillId="0" borderId="25" xfId="37" applyFont="1" applyBorder="1" applyAlignment="1"/>
    <xf numFmtId="0" fontId="0" fillId="0" borderId="25" xfId="0" applyBorder="1" applyAlignment="1"/>
  </cellXfs>
  <cellStyles count="82">
    <cellStyle name="Bad" xfId="7" builtinId="27" hidden="1"/>
    <cellStyle name="Bad" xfId="47" builtinId="27" customBuiltin="1"/>
    <cellStyle name="Body: normal cell" xfId="81"/>
    <cellStyle name="Calculation" xfId="11" builtinId="22" hidden="1"/>
    <cellStyle name="Calculation" xfId="50" builtinId="22" customBuiltin="1"/>
    <cellStyle name="Check Cell" xfId="13" builtinId="23" hidden="1"/>
    <cellStyle name="Check Cell" xfId="51" builtinId="23" customBuiltin="1"/>
    <cellStyle name="Comma" xfId="60" builtinId="3" customBuiltin="1"/>
    <cellStyle name="Comma [0]" xfId="61" builtinId="6" customBuiltin="1"/>
    <cellStyle name="Currency" xfId="62" builtinId="4" customBuiltin="1"/>
    <cellStyle name="Currency [0]" xfId="63" builtinId="7" customBuiltin="1"/>
    <cellStyle name="Currency 2" xfId="79"/>
    <cellStyle name="Explanatory Text" xfId="16" builtinId="53" hidden="1"/>
    <cellStyle name="Explanatory Text" xfId="52" builtinId="53" customBuiltin="1"/>
    <cellStyle name="Followed Hyperlink" xfId="30" builtinId="9" customBuiltin="1"/>
    <cellStyle name="Good" xfId="6" builtinId="26" hidden="1"/>
    <cellStyle name="Good" xfId="48"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29" builtinId="8" customBuiltin="1"/>
    <cellStyle name="Input" xfId="9" builtinId="20" hidden="1"/>
    <cellStyle name="Input" xfId="53" builtinId="20" customBuiltin="1"/>
    <cellStyle name="Linked Cell" xfId="12" builtinId="24" hidden="1"/>
    <cellStyle name="Linked Cell" xfId="54" builtinId="24" customBuiltin="1"/>
    <cellStyle name="N_Accent07" xfId="65"/>
    <cellStyle name="N_Accent08" xfId="40"/>
    <cellStyle name="N_Accent09" xfId="41"/>
    <cellStyle name="N_Accent10" xfId="42"/>
    <cellStyle name="N_Accent11" xfId="43"/>
    <cellStyle name="N_Accent12" xfId="44"/>
    <cellStyle name="N_Calc1" xfId="71"/>
    <cellStyle name="N_Calc2" xfId="72"/>
    <cellStyle name="N_Calc3" xfId="73"/>
    <cellStyle name="N_Calc4" xfId="74"/>
    <cellStyle name="N_Calc5" xfId="75"/>
    <cellStyle name="N_CalcSum" xfId="25"/>
    <cellStyle name="N_Check" xfId="23"/>
    <cellStyle name="N_Comment" xfId="18"/>
    <cellStyle name="N_Dark_H1" xfId="32"/>
    <cellStyle name="N_Dark_H2" xfId="39"/>
    <cellStyle name="N_Dark_H3" xfId="38"/>
    <cellStyle name="N_Footer" xfId="46"/>
    <cellStyle name="N_Input" xfId="19"/>
    <cellStyle name="N_InputCalc" xfId="27"/>
    <cellStyle name="N_InputFixed" xfId="45"/>
    <cellStyle name="N_InputList" xfId="21"/>
    <cellStyle name="N_InputWhite" xfId="26"/>
    <cellStyle name="N_Light_H1" xfId="68"/>
    <cellStyle name="N_Light_H2" xfId="69"/>
    <cellStyle name="N_Light_H3" xfId="70"/>
    <cellStyle name="N_RangeName" xfId="28"/>
    <cellStyle name="N_Source" xfId="24"/>
    <cellStyle name="N_Table0_Cell" xfId="33"/>
    <cellStyle name="N_Table0_Header" xfId="31"/>
    <cellStyle name="N_Table1_Cell" xfId="37"/>
    <cellStyle name="N_Table1_Header" xfId="36"/>
    <cellStyle name="N_Table2_Cell" xfId="35"/>
    <cellStyle name="N_Table2_Header" xfId="34"/>
    <cellStyle name="N_VBALink" xfId="20"/>
    <cellStyle name="N_Warning" xfId="22"/>
    <cellStyle name="Neutral" xfId="8" builtinId="28" hidden="1"/>
    <cellStyle name="Neutral" xfId="49" builtinId="28" customBuiltin="1"/>
    <cellStyle name="Normal" xfId="0" builtinId="0" customBuiltin="1"/>
    <cellStyle name="Normal 10" xfId="77"/>
    <cellStyle name="Normal 15" xfId="76"/>
    <cellStyle name="Normal 2" xfId="78"/>
    <cellStyle name="Note" xfId="15" builtinId="10" hidden="1"/>
    <cellStyle name="Note" xfId="55" builtinId="10" customBuiltin="1"/>
    <cellStyle name="NRes_RepTitle" xfId="66"/>
    <cellStyle name="NRes_Table_Header" xfId="67"/>
    <cellStyle name="Output" xfId="10" builtinId="21" hidden="1"/>
    <cellStyle name="Output" xfId="56" builtinId="21" customBuiltin="1"/>
    <cellStyle name="Parent row" xfId="80"/>
    <cellStyle name="Percent" xfId="64" builtinId="5" customBuiltin="1"/>
    <cellStyle name="Title" xfId="1" builtinId="15" hidden="1"/>
    <cellStyle name="Title" xfId="58" builtinId="15" customBuiltin="1"/>
    <cellStyle name="Total" xfId="17" builtinId="25" hidden="1"/>
    <cellStyle name="Total" xfId="59" builtinId="25" customBuiltin="1"/>
    <cellStyle name="Warning Text" xfId="14" builtinId="11" hidden="1"/>
    <cellStyle name="Warning Text" xfId="57" builtinId="11" customBuiltin="1"/>
  </cellStyles>
  <dxfs count="590">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center" textRotation="0" wrapText="1" indent="0" justifyLastLine="0" shrinkToFit="0" readingOrder="0"/>
    </dxf>
    <dxf>
      <numFmt numFmtId="2" formatCode="0.00"/>
      <alignment vertical="center" textRotation="0" indent="0" justifyLastLine="0" shrinkToFit="0" readingOrder="0"/>
      <border outline="0">
        <left style="hair">
          <color rgb="FFBBBCBD"/>
        </left>
      </border>
    </dxf>
    <dxf>
      <numFmt numFmtId="2" formatCode="0.00"/>
      <alignment vertical="center" textRotation="0" indent="0" justifyLastLine="0" shrinkToFit="0" readingOrder="0"/>
      <border outline="0">
        <left style="hair">
          <color rgb="FFBBBCBD"/>
        </left>
        <right style="hair">
          <color rgb="FFBBBCBD"/>
        </right>
      </border>
    </dxf>
    <dxf>
      <numFmt numFmtId="2" formatCode="0.00"/>
      <alignment horizontal="center" vertical="center" textRotation="0" wrapText="0" indent="0" justifyLastLine="0" shrinkToFit="0" readingOrder="0"/>
      <border outline="0">
        <left style="hair">
          <color rgb="FFBBBCBD"/>
        </left>
        <right style="hair">
          <color rgb="FFBBBCBD"/>
        </right>
      </border>
    </dxf>
    <dxf>
      <numFmt numFmtId="2" formatCode="0.00"/>
      <alignment vertical="center" textRotation="0" indent="0" justifyLastLine="0" shrinkToFit="0" readingOrder="0"/>
      <border diagonalUp="0" diagonalDown="0" outline="0">
        <left style="medium">
          <color rgb="FF95D600"/>
        </left>
        <right/>
      </border>
    </dxf>
    <dxf>
      <numFmt numFmtId="2" formatCode="0.00"/>
      <alignment horizontal="center" vertical="center" textRotation="0" wrapText="0" indent="0" justifyLastLine="0" shrinkToFit="0" readingOrder="0"/>
      <border diagonalUp="0" diagonalDown="0" outline="0">
        <left style="medium">
          <color rgb="FF95D600"/>
        </left>
        <right style="medium">
          <color rgb="FF95D600"/>
        </right>
        <top style="hair">
          <color rgb="FFBBBCBD"/>
        </top>
        <bottom style="hair">
          <color rgb="FFBBBCBD"/>
        </bottom>
      </border>
    </dxf>
    <dxf>
      <numFmt numFmtId="2" formatCode="0.00"/>
      <alignment horizontal="general" vertical="center" textRotation="0" wrapText="0" indent="0" justifyLastLine="0" shrinkToFit="0" readingOrder="0"/>
      <border diagonalUp="0" diagonalDown="0" outline="0">
        <left style="medium">
          <color rgb="FF95D600"/>
        </left>
        <right/>
        <top style="hair">
          <color rgb="FFBBBCBD"/>
        </top>
        <bottom style="hair">
          <color rgb="FFBBBCBD"/>
        </bottom>
      </border>
    </dxf>
    <dxf>
      <numFmt numFmtId="169" formatCode="&quot;$&quot;#,##0.00"/>
      <alignment horizontal="center" vertical="center" textRotation="0" wrapText="0" indent="0" justifyLastLine="0" shrinkToFit="0" readingOrder="0"/>
      <border diagonalUp="0" diagonalDown="0" outline="0">
        <left style="hair">
          <color rgb="FFBBBCBD"/>
        </left>
        <right style="medium">
          <color rgb="FF95D600"/>
        </right>
      </border>
    </dxf>
    <dxf>
      <numFmt numFmtId="169" formatCode="&quot;$&quot;#,##0.00"/>
      <alignment horizontal="center" vertical="center" textRotation="0" wrapText="0" indent="0" justifyLastLine="0" shrinkToFit="0" readingOrder="0"/>
      <border outline="0">
        <right style="hair">
          <color rgb="FFBBBCBD"/>
        </right>
      </border>
    </dxf>
    <dxf>
      <numFmt numFmtId="170" formatCode="&quot;$&quot;#,##0"/>
      <alignment horizontal="center" vertical="center" textRotation="0" wrapText="0" indent="0" justifyLastLine="0" shrinkToFit="0" readingOrder="0"/>
      <border outline="0">
        <right style="hair">
          <color rgb="FFBBBCBD"/>
        </right>
      </border>
    </dxf>
    <dxf>
      <numFmt numFmtId="170" formatCode="&quot;$&quot;#,##0"/>
      <alignment horizontal="center" vertical="center" textRotation="0" wrapText="0" indent="0" justifyLastLine="0" shrinkToFit="0" readingOrder="0"/>
      <border outline="0">
        <left style="hair">
          <color rgb="FFBBBCBD"/>
        </left>
      </border>
    </dxf>
    <dxf>
      <numFmt numFmtId="169" formatCode="&quot;$&quot;#,##0.00"/>
      <alignment horizontal="center" vertical="center" textRotation="0" wrapText="0" indent="0" justifyLastLine="0" shrinkToFit="0" readingOrder="0"/>
      <border diagonalUp="0" diagonalDown="0" outline="0">
        <left style="medium">
          <color rgb="FF95D600"/>
        </left>
        <right/>
      </border>
    </dxf>
    <dxf>
      <numFmt numFmtId="0" formatCode="General"/>
      <alignment horizontal="center" vertical="center" textRotation="0" wrapText="0" indent="0" justifyLastLine="0" shrinkToFit="0" readingOrder="0"/>
      <border diagonalUp="0" diagonalDown="0" outline="0">
        <right style="medium">
          <color rgb="FF95D600"/>
        </right>
      </border>
    </dxf>
    <dxf>
      <numFmt numFmtId="0" formatCode="General"/>
      <alignment horizontal="general"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border outline="0">
        <left style="hair">
          <color rgb="FFBBBCBD"/>
        </left>
      </border>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alignment vertical="center" textRotation="0" indent="0" justifyLastLine="0" shrinkToFit="0" readingOrder="0"/>
      <border outline="0">
        <right style="hair">
          <color rgb="FFBBBCBD"/>
        </right>
      </border>
    </dxf>
    <dxf>
      <font>
        <b val="0"/>
        <i val="0"/>
        <strike val="0"/>
        <condense val="0"/>
        <extend val="0"/>
        <outline val="0"/>
        <shadow val="0"/>
        <u val="none"/>
        <vertAlign val="baseline"/>
        <sz val="8"/>
        <color auto="1"/>
        <name val="Arial"/>
        <scheme val="none"/>
      </font>
      <alignment vertical="center" textRotation="0" indent="0" justifyLastLine="0" shrinkToFit="0" readingOrder="0"/>
    </dxf>
    <dxf>
      <alignment vertical="center" textRotation="0" indent="0" justifyLastLine="0" shrinkToFit="0" readingOrder="0"/>
    </dxf>
    <dxf>
      <border outline="0">
        <bottom style="medium">
          <color rgb="FF95D600"/>
        </bottom>
      </border>
    </dxf>
    <dxf>
      <alignment horizontal="center" vertical="center" textRotation="0" wrapText="1" indent="0" justifyLastLine="0" shrinkToFit="0" readingOrder="0"/>
    </dxf>
    <dxf>
      <numFmt numFmtId="1" formatCode="0"/>
      <fill>
        <patternFill patternType="solid">
          <fgColor indexed="64"/>
          <bgColor rgb="FFDDF2B8"/>
        </patternFill>
      </fill>
      <alignment horizontal="center" vertical="center" textRotation="0" wrapText="0" indent="0" justifyLastLine="0" shrinkToFit="0" readingOrder="0"/>
      <border diagonalUp="0" diagonalDown="0" outline="0">
        <left style="medium">
          <color rgb="FF95D600"/>
        </left>
      </border>
    </dxf>
    <dxf>
      <numFmt numFmtId="171" formatCode="0.000"/>
      <alignment horizontal="center" vertical="center" textRotation="0" wrapText="0" indent="0" justifyLastLine="0" shrinkToFit="0" readingOrder="0"/>
      <border outline="0">
        <left style="hair">
          <color rgb="FFBBBCBD"/>
        </left>
        <right style="medium">
          <color rgb="FF95D600"/>
        </right>
      </border>
    </dxf>
    <dxf>
      <numFmt numFmtId="171" formatCode="0.000"/>
      <alignment horizontal="center" vertical="center" textRotation="0" wrapText="0" indent="0" justifyLastLine="0" shrinkToFit="0" readingOrder="0"/>
      <border outline="0">
        <left style="hair">
          <color rgb="FFBBBCBD"/>
        </left>
        <right style="hair">
          <color rgb="FFBBBCBD"/>
        </right>
      </border>
    </dxf>
    <dxf>
      <numFmt numFmtId="1" formatCode="0"/>
      <alignment horizontal="center" vertical="center" textRotation="0" wrapText="0" indent="0" justifyLastLine="0" shrinkToFit="0" readingOrder="0"/>
      <border outline="0">
        <left style="hair">
          <color rgb="FFBBBCBD"/>
        </left>
        <right style="hair">
          <color rgb="FFBBBCBD"/>
        </right>
      </border>
    </dxf>
    <dxf>
      <numFmt numFmtId="1" formatCode="0"/>
      <alignment horizontal="center" vertical="center" textRotation="0" wrapText="0" indent="0" justifyLastLine="0" shrinkToFit="0" readingOrder="0"/>
      <border diagonalUp="0" diagonalDown="0" outline="0">
        <left style="medium">
          <color theme="5"/>
        </left>
        <right/>
      </border>
    </dxf>
    <dxf>
      <numFmt numFmtId="2" formatCode="0.00"/>
      <alignment horizontal="center" vertical="center" textRotation="0" wrapText="0" indent="0" justifyLastLine="0" shrinkToFit="0" readingOrder="0"/>
      <border diagonalUp="0" diagonalDown="0" outline="0">
        <left style="hair">
          <color rgb="FFBBBCBD"/>
        </left>
        <right style="medium">
          <color theme="5"/>
        </right>
      </border>
    </dxf>
    <dxf>
      <numFmt numFmtId="2" formatCode="0.00"/>
      <alignment horizontal="center" vertical="center" textRotation="0" wrapText="0" indent="0" justifyLastLine="0" shrinkToFit="0" readingOrder="0"/>
      <border outline="0">
        <left style="hair">
          <color rgb="FFBBBCBD"/>
        </left>
        <right style="hair">
          <color rgb="FFBBBCBD"/>
        </right>
      </border>
    </dxf>
    <dxf>
      <numFmt numFmtId="2" formatCode="0.00"/>
      <alignment horizontal="center" vertical="center" textRotation="0" wrapText="0" indent="0" justifyLastLine="0" shrinkToFit="0" readingOrder="0"/>
      <border outline="0">
        <left style="hair">
          <color rgb="FFBBBCBD"/>
        </left>
        <right style="hair">
          <color rgb="FFBBBCBD"/>
        </right>
      </border>
    </dxf>
    <dxf>
      <numFmt numFmtId="2" formatCode="0.00"/>
      <alignment horizontal="center" vertical="center" textRotation="0" wrapText="0" indent="0" justifyLastLine="0" shrinkToFit="0" readingOrder="0"/>
      <border diagonalUp="0" diagonalDown="0" outline="0">
        <left style="medium">
          <color theme="5"/>
        </left>
        <right/>
      </border>
    </dxf>
    <dxf>
      <numFmt numFmtId="2" formatCode="0.00"/>
      <alignment horizontal="center" vertical="center" textRotation="0" wrapText="0" indent="0" justifyLastLine="0" shrinkToFit="0" readingOrder="0"/>
      <border diagonalUp="0" diagonalDown="0" outline="0">
        <left style="hair">
          <color rgb="FFBBBCBD"/>
        </left>
        <right style="medium">
          <color theme="5"/>
        </right>
      </border>
    </dxf>
    <dxf>
      <numFmt numFmtId="1" formatCode="0"/>
      <alignment horizontal="center" vertical="center" textRotation="0" wrapText="0" indent="0" justifyLastLine="0" shrinkToFit="0" readingOrder="0"/>
      <border diagonalUp="0" diagonalDown="0" outline="0">
        <left style="medium">
          <color theme="5"/>
        </left>
        <right/>
      </border>
    </dxf>
    <dxf>
      <numFmt numFmtId="170" formatCode="&quot;$&quot;#,##0"/>
      <fill>
        <patternFill patternType="solid">
          <fgColor indexed="64"/>
          <bgColor rgb="FFFF0000"/>
        </patternFill>
      </fill>
      <alignment horizontal="center" vertical="center" textRotation="0" wrapText="0" indent="0" justifyLastLine="0" shrinkToFit="0" readingOrder="0"/>
      <border diagonalUp="0" diagonalDown="0" outline="0">
        <right style="medium">
          <color theme="5"/>
        </right>
      </border>
    </dxf>
    <dxf>
      <numFmt numFmtId="170" formatCode="&quot;$&quot;#,##0"/>
      <fill>
        <patternFill patternType="solid">
          <fgColor indexed="64"/>
          <bgColor rgb="FFFF0000"/>
        </patternFill>
      </fill>
      <alignment horizontal="center" vertical="center" textRotation="0" wrapText="0" indent="0" justifyLastLine="0" shrinkToFit="0" readingOrder="0"/>
    </dxf>
    <dxf>
      <numFmt numFmtId="170" formatCode="&quot;$&quot;#,##0"/>
      <alignment horizontal="center" vertical="center" textRotation="0" wrapText="0" indent="0" justifyLastLine="0" shrinkToFit="0" readingOrder="0"/>
    </dxf>
    <dxf>
      <numFmt numFmtId="170" formatCode="&quot;$&quot;#,##0"/>
      <alignment horizontal="center" vertical="center" textRotation="0" wrapText="0" indent="0" justifyLastLine="0" shrinkToFit="0" readingOrder="0"/>
      <border outline="0">
        <left style="hair">
          <color rgb="FFBBBCBD"/>
        </left>
      </border>
    </dxf>
    <dxf>
      <numFmt numFmtId="170" formatCode="&quot;$&quot;#,##0"/>
      <alignment horizontal="center" vertical="center" textRotation="0" wrapText="0" indent="0" justifyLastLine="0" shrinkToFit="0" readingOrder="0"/>
      <border diagonalUp="0" diagonalDown="0" outline="0">
        <left style="medium">
          <color theme="5"/>
        </left>
        <right/>
      </border>
    </dxf>
    <dxf>
      <numFmt numFmtId="0" formatCode="General"/>
      <alignment horizontal="center" vertical="center" textRotation="0" wrapText="0" indent="0" justifyLastLine="0" shrinkToFit="0" readingOrder="0"/>
      <border diagonalUp="0" diagonalDown="0" outline="0">
        <right style="medium">
          <color theme="5"/>
        </right>
      </border>
    </dxf>
    <dxf>
      <numFmt numFmtId="0" formatCode="General"/>
      <alignment horizontal="general" vertical="center" textRotation="0" wrapText="0" indent="0" justifyLastLine="0" shrinkToFit="0" readingOrder="0"/>
    </dxf>
    <dxf>
      <alignment horizontal="center" vertical="center" textRotation="0" wrapText="0" indent="0" justifyLastLine="0" shrinkToFit="0" readingOrder="0"/>
      <border outline="0">
        <left style="hair">
          <color rgb="FFBBBCBD"/>
        </left>
      </border>
    </dxf>
    <dxf>
      <numFmt numFmtId="0" formatCode="General"/>
      <alignment horizontal="center" vertical="center" textRotation="0" wrapText="1" indent="0" justifyLastLine="0" shrinkToFit="0" readingOrder="0"/>
    </dxf>
    <dxf>
      <numFmt numFmtId="0" formatCode="General"/>
      <alignment horizontal="center" vertical="center" textRotation="0" wrapText="0" indent="0" justifyLastLine="0" shrinkToFit="0" readingOrder="0"/>
      <border outline="0">
        <right style="hair">
          <color rgb="FFBBBCBD"/>
        </right>
      </border>
    </dxf>
    <dxf>
      <numFmt numFmtId="0" formatCode="General"/>
      <alignment horizontal="center" vertical="center" textRotation="0" wrapText="0" indent="0" justifyLastLine="0" shrinkToFit="0" readingOrder="0"/>
      <border outline="0">
        <left style="hair">
          <color rgb="FFBBBCBD"/>
        </left>
      </border>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alignment vertical="center" textRotation="0" indent="0" justifyLastLine="0" shrinkToFit="0" readingOrder="0"/>
    </dxf>
    <dxf>
      <font>
        <b val="0"/>
        <i val="0"/>
        <strike val="0"/>
        <condense val="0"/>
        <extend val="0"/>
        <outline val="0"/>
        <shadow val="0"/>
        <u val="none"/>
        <vertAlign val="baseline"/>
        <sz val="8"/>
        <color auto="1"/>
        <name val="Arial"/>
        <scheme val="none"/>
      </font>
      <alignment vertical="center" textRotation="0" indent="0" justifyLastLine="0" shrinkToFit="0" readingOrder="0"/>
      <border outline="0">
        <right style="hair">
          <color rgb="FFBBBCBD"/>
        </right>
      </border>
    </dxf>
    <dxf>
      <alignment vertical="center" textRotation="0" indent="0" justifyLastLine="0" shrinkToFit="0" readingOrder="0"/>
    </dxf>
    <dxf>
      <border outline="0">
        <bottom style="medium">
          <color rgb="FF95D600"/>
        </bottom>
      </border>
    </dxf>
    <dxf>
      <alignment horizontal="center" vertical="center" textRotation="0" wrapText="1" indent="0" justifyLastLine="0" shrinkToFit="0" readingOrder="0"/>
    </dxf>
    <dxf>
      <numFmt numFmtId="4" formatCode="#,##0.00"/>
      <alignment horizontal="center" vertical="center" textRotation="0" wrapText="0" indent="0" justifyLastLine="0" shrinkToFit="0" readingOrder="0"/>
      <border outline="0">
        <left style="hair">
          <color rgb="FFBBBCBD"/>
        </left>
      </border>
    </dxf>
    <dxf>
      <numFmt numFmtId="2" formatCode="0.00"/>
      <fill>
        <patternFill patternType="solid">
          <fgColor indexed="64"/>
          <bgColor rgb="FFDDF2B8"/>
        </patternFill>
      </fill>
      <alignment horizontal="center" vertical="center" textRotation="0" wrapText="0" indent="0" justifyLastLine="0" shrinkToFit="0" readingOrder="0"/>
      <border outline="0">
        <left style="hair">
          <color rgb="FFBBBCBD"/>
        </left>
        <right style="hair">
          <color rgb="FFBBBCBD"/>
        </right>
      </border>
    </dxf>
    <dxf>
      <numFmt numFmtId="2" formatCode="0.00"/>
      <alignment horizontal="center" vertical="center" textRotation="0" wrapText="0" indent="0" justifyLastLine="0" shrinkToFit="0" readingOrder="0"/>
      <border diagonalUp="0" diagonalDown="0" outline="0">
        <left style="medium">
          <color rgb="FF95D600"/>
        </left>
        <right style="hair">
          <color rgb="FFBBBCBD"/>
        </right>
      </border>
    </dxf>
    <dxf>
      <numFmt numFmtId="4" formatCode="#,##0.00"/>
      <fill>
        <patternFill patternType="solid">
          <fgColor indexed="64"/>
          <bgColor rgb="FFDDF2B8"/>
        </patternFill>
      </fill>
      <alignment horizontal="center" vertical="center" textRotation="0" wrapText="0" indent="0" justifyLastLine="0" shrinkToFit="0" readingOrder="0"/>
      <border diagonalUp="0" diagonalDown="0" outline="0">
        <left style="hair">
          <color rgb="FFBBBCBD"/>
        </left>
        <right style="medium">
          <color rgb="FF95D600"/>
        </right>
      </border>
    </dxf>
    <dxf>
      <numFmt numFmtId="2" formatCode="0.00"/>
      <alignment horizontal="center" vertical="center" textRotation="0" wrapText="0" indent="0" justifyLastLine="0" shrinkToFit="0" readingOrder="0"/>
      <border outline="0">
        <left style="hair">
          <color rgb="FFBBBCBD"/>
        </left>
        <right style="hair">
          <color rgb="FFBBBCBD"/>
        </right>
      </border>
    </dxf>
    <dxf>
      <numFmt numFmtId="2" formatCode="0.00"/>
      <fill>
        <patternFill patternType="solid">
          <fgColor indexed="64"/>
          <bgColor rgb="FFDDF2B8"/>
        </patternFill>
      </fill>
      <alignment horizontal="center" vertical="center" textRotation="0" wrapText="0" indent="0" justifyLastLine="0" shrinkToFit="0" readingOrder="0"/>
      <border diagonalUp="0" diagonalDown="0" outline="0">
        <left style="medium">
          <color rgb="FF95D600"/>
        </left>
        <right/>
      </border>
    </dxf>
    <dxf>
      <numFmt numFmtId="2" formatCode="0.00"/>
      <fill>
        <patternFill patternType="solid">
          <fgColor indexed="64"/>
          <bgColor rgb="FFDDF2B8"/>
        </patternFill>
      </fill>
      <alignment horizontal="center" vertical="center" textRotation="0" wrapText="0" indent="0" justifyLastLine="0" shrinkToFit="0" readingOrder="0"/>
      <border diagonalUp="0" diagonalDown="0" outline="0">
        <left style="hair">
          <color rgb="FFBBBCBD"/>
        </left>
        <right style="medium">
          <color rgb="FF95D600"/>
        </right>
      </border>
    </dxf>
    <dxf>
      <numFmt numFmtId="2" formatCode="0.00"/>
      <fill>
        <patternFill patternType="solid">
          <fgColor indexed="64"/>
          <bgColor rgb="FFEDFFC4"/>
        </patternFill>
      </fill>
      <alignment horizontal="center" vertical="center" textRotation="0" wrapText="0" indent="0" justifyLastLine="0" shrinkToFit="0" readingOrder="0"/>
      <border outline="0">
        <left style="hair">
          <color rgb="FFBBBCBD"/>
        </left>
        <right style="hair">
          <color rgb="FFBBBCBD"/>
        </right>
      </border>
    </dxf>
    <dxf>
      <numFmt numFmtId="2" formatCode="0.00"/>
      <fill>
        <patternFill patternType="solid">
          <fgColor indexed="64"/>
          <bgColor rgb="FFDDF2B8"/>
        </patternFill>
      </fill>
      <alignment horizontal="center" vertical="center" textRotation="0" wrapText="0" indent="0" justifyLastLine="0" shrinkToFit="0" readingOrder="0"/>
      <border outline="0">
        <left style="hair">
          <color rgb="FFBBBCBD"/>
        </left>
        <right style="hair">
          <color rgb="FFBBBCBD"/>
        </right>
      </border>
    </dxf>
    <dxf>
      <numFmt numFmtId="2" formatCode="0.00"/>
      <fill>
        <patternFill patternType="solid">
          <fgColor indexed="64"/>
          <bgColor rgb="FFEDFFC4"/>
        </patternFill>
      </fill>
      <alignment horizontal="center" vertical="center" textRotation="0" wrapText="0" indent="0" justifyLastLine="0" shrinkToFit="0" readingOrder="0"/>
      <border diagonalUp="0" diagonalDown="0" outline="0">
        <left style="hair">
          <color rgb="FFBBBCBD"/>
        </left>
        <right style="hair">
          <color rgb="FFBBBCBD"/>
        </right>
        <top style="hair">
          <color rgb="FFBBBCBD"/>
        </top>
        <bottom/>
      </border>
    </dxf>
    <dxf>
      <numFmt numFmtId="2" formatCode="0.00"/>
      <fill>
        <patternFill patternType="solid">
          <fgColor indexed="64"/>
          <bgColor rgb="FFDDF2B8"/>
        </patternFill>
      </fill>
      <alignment horizontal="center" vertical="center" textRotation="0" wrapText="0" indent="0" justifyLastLine="0" shrinkToFit="0" readingOrder="0"/>
      <border diagonalUp="0" diagonalDown="0" outline="0">
        <left style="hair">
          <color rgb="FFBBBCBD"/>
        </left>
        <right style="hair">
          <color rgb="FFBBBCBD"/>
        </right>
        <top style="hair">
          <color rgb="FFBBBCBD"/>
        </top>
        <bottom/>
      </border>
    </dxf>
    <dxf>
      <numFmt numFmtId="2" formatCode="0.00"/>
      <fill>
        <patternFill patternType="solid">
          <fgColor indexed="64"/>
          <bgColor rgb="FFEDFFC4"/>
        </patternFill>
      </fill>
      <alignment horizontal="center" vertical="center" textRotation="0" wrapText="0" indent="0" justifyLastLine="0" shrinkToFit="0" readingOrder="0"/>
      <border diagonalUp="0" diagonalDown="0" outline="0">
        <left style="hair">
          <color rgb="FFBBBCBD"/>
        </left>
        <right style="hair">
          <color rgb="FFBBBCBD"/>
        </right>
        <top style="hair">
          <color rgb="FFBBBCBD"/>
        </top>
        <bottom/>
      </border>
    </dxf>
    <dxf>
      <numFmt numFmtId="171" formatCode="0.000"/>
      <fill>
        <patternFill patternType="solid">
          <fgColor indexed="64"/>
          <bgColor rgb="FFDDF2B8"/>
        </patternFill>
      </fill>
      <alignment horizontal="center" vertical="center" textRotation="0" wrapText="0" indent="0" justifyLastLine="0" shrinkToFit="0" readingOrder="0"/>
      <border outline="0">
        <left style="hair">
          <color rgb="FFBBBCBD"/>
        </left>
        <right style="hair">
          <color rgb="FFBBBCBD"/>
        </right>
      </border>
    </dxf>
    <dxf>
      <numFmt numFmtId="171" formatCode="0.000"/>
      <alignment horizontal="center" vertical="center" textRotation="0" wrapText="0" indent="0" justifyLastLine="0" shrinkToFit="0" readingOrder="0"/>
      <border outline="0">
        <left style="hair">
          <color rgb="FFBBBCBD"/>
        </left>
        <right style="hair">
          <color rgb="FFBBBCBD"/>
        </right>
      </border>
    </dxf>
    <dxf>
      <numFmt numFmtId="3" formatCode="#,##0"/>
      <fill>
        <patternFill patternType="solid">
          <fgColor indexed="64"/>
          <bgColor rgb="FFDDF2B8"/>
        </patternFill>
      </fill>
      <alignment horizontal="center" vertical="center" textRotation="0" wrapText="0" indent="0" justifyLastLine="0" shrinkToFit="0" readingOrder="0"/>
      <border outline="0">
        <left style="hair">
          <color rgb="FFBBBCBD"/>
        </left>
        <right style="hair">
          <color rgb="FFBBBCBD"/>
        </right>
      </border>
    </dxf>
    <dxf>
      <numFmt numFmtId="170" formatCode="&quot;$&quot;#,##0"/>
      <alignment horizontal="center" vertical="center" textRotation="0" wrapText="0" indent="0" justifyLastLine="0" shrinkToFit="0" readingOrder="0"/>
      <border>
        <left style="hair">
          <color rgb="FFBBBCBD"/>
        </left>
        <right style="hair">
          <color rgb="FFBBBCBD"/>
        </right>
      </border>
    </dxf>
    <dxf>
      <numFmt numFmtId="170" formatCode="&quot;$&quot;#,##0"/>
      <fill>
        <patternFill patternType="solid">
          <fgColor indexed="64"/>
          <bgColor rgb="FFDDF2B8"/>
        </patternFill>
      </fill>
      <alignment horizontal="center" vertical="center" textRotation="0" wrapText="0" indent="0" justifyLastLine="0" shrinkToFit="0" readingOrder="0"/>
      <border diagonalUp="0" diagonalDown="0" outline="0">
        <left style="medium">
          <color rgb="FF95D600"/>
        </left>
        <right/>
      </border>
    </dxf>
    <dxf>
      <numFmt numFmtId="2" formatCode="0.00"/>
      <fill>
        <patternFill patternType="solid">
          <fgColor indexed="64"/>
          <bgColor rgb="FFDDF2B8"/>
        </patternFill>
      </fill>
      <alignment horizontal="center" vertical="center" textRotation="0" wrapText="0" indent="0" justifyLastLine="0" shrinkToFit="0" readingOrder="0"/>
      <border diagonalUp="0" diagonalDown="0" outline="0">
        <left style="hair">
          <color rgb="FFBBBCBD"/>
        </left>
        <right style="medium">
          <color rgb="FF95D600"/>
        </right>
      </border>
    </dxf>
    <dxf>
      <numFmt numFmtId="2" formatCode="0.00"/>
      <fill>
        <patternFill patternType="solid">
          <fgColor indexed="64"/>
          <bgColor rgb="FFEDFFC4"/>
        </patternFill>
      </fill>
      <alignment horizontal="center" vertical="center" textRotation="0" wrapText="0" indent="0" justifyLastLine="0" shrinkToFit="0" readingOrder="0"/>
      <border outline="0">
        <left style="hair">
          <color rgb="FFBBBCBD"/>
        </left>
        <right style="hair">
          <color rgb="FFBBBCBD"/>
        </right>
      </border>
    </dxf>
    <dxf>
      <numFmt numFmtId="172" formatCode="0.0"/>
      <fill>
        <patternFill patternType="solid">
          <fgColor indexed="64"/>
          <bgColor rgb="FFDDF2B8"/>
        </patternFill>
      </fill>
      <alignment horizontal="center" vertical="center" textRotation="0" wrapText="0" indent="0" justifyLastLine="0" shrinkToFit="0" readingOrder="0"/>
      <border outline="0">
        <left style="hair">
          <color rgb="FFBBBCBD"/>
        </left>
        <right style="hair">
          <color rgb="FFBBBCBD"/>
        </right>
      </border>
    </dxf>
    <dxf>
      <numFmt numFmtId="2" formatCode="0.00"/>
      <fill>
        <patternFill patternType="solid">
          <fgColor indexed="64"/>
          <bgColor rgb="FFEDFFC4"/>
        </patternFill>
      </fill>
      <alignment horizontal="center" vertical="center" textRotation="0" wrapText="0" indent="0" justifyLastLine="0" shrinkToFit="0" readingOrder="0"/>
      <border diagonalUp="0" diagonalDown="0" outline="0">
        <left style="hair">
          <color rgb="FFBBBCBD"/>
        </left>
        <right style="hair">
          <color rgb="FFBBBCBD"/>
        </right>
        <top style="hair">
          <color rgb="FFBBBCBD"/>
        </top>
        <bottom/>
      </border>
    </dxf>
    <dxf>
      <numFmt numFmtId="2" formatCode="0.00"/>
      <fill>
        <patternFill patternType="solid">
          <fgColor indexed="64"/>
          <bgColor rgb="FFDDF2B8"/>
        </patternFill>
      </fill>
      <alignment horizontal="center" vertical="center" textRotation="0" wrapText="0" indent="0" justifyLastLine="0" shrinkToFit="0" readingOrder="0"/>
      <border diagonalUp="0" diagonalDown="0" outline="0">
        <left style="hair">
          <color rgb="FFBBBCBD"/>
        </left>
        <right style="hair">
          <color rgb="FFBBBCBD"/>
        </right>
        <top style="hair">
          <color rgb="FFBBBCBD"/>
        </top>
        <bottom/>
      </border>
    </dxf>
    <dxf>
      <numFmt numFmtId="2" formatCode="0.00"/>
      <fill>
        <patternFill patternType="solid">
          <fgColor indexed="64"/>
          <bgColor rgb="FFEDFFC4"/>
        </patternFill>
      </fill>
      <alignment horizontal="center" vertical="center" textRotation="0" wrapText="0" indent="0" justifyLastLine="0" shrinkToFit="0" readingOrder="0"/>
      <border diagonalUp="0" diagonalDown="0" outline="0">
        <left style="hair">
          <color rgb="FFBBBCBD"/>
        </left>
        <right style="hair">
          <color rgb="FFBBBCBD"/>
        </right>
        <top style="hair">
          <color rgb="FFBBBCBD"/>
        </top>
        <bottom/>
      </border>
    </dxf>
    <dxf>
      <numFmt numFmtId="171" formatCode="0.000"/>
      <fill>
        <patternFill patternType="solid">
          <fgColor indexed="64"/>
          <bgColor rgb="FFDDF2B8"/>
        </patternFill>
      </fill>
      <alignment horizontal="center" vertical="center" textRotation="0" wrapText="0" indent="0" justifyLastLine="0" shrinkToFit="0" readingOrder="0"/>
      <border outline="0">
        <left style="hair">
          <color rgb="FFBBBCBD"/>
        </left>
        <right style="hair">
          <color rgb="FFBBBCBD"/>
        </right>
      </border>
    </dxf>
    <dxf>
      <numFmt numFmtId="171" formatCode="0.000"/>
      <alignment horizontal="center" vertical="center" textRotation="0" wrapText="0" indent="0" justifyLastLine="0" shrinkToFit="0" readingOrder="0"/>
      <border outline="0">
        <left style="hair">
          <color rgb="FFBBBCBD"/>
        </left>
        <right style="hair">
          <color rgb="FFBBBCBD"/>
        </right>
      </border>
    </dxf>
    <dxf>
      <numFmt numFmtId="3" formatCode="#,##0"/>
      <fill>
        <patternFill patternType="solid">
          <fgColor indexed="64"/>
          <bgColor rgb="FFDDF2B8"/>
        </patternFill>
      </fill>
      <alignment horizontal="center" vertical="center" textRotation="0" wrapText="0" indent="0" justifyLastLine="0" shrinkToFit="0" readingOrder="0"/>
      <border outline="0">
        <left style="hair">
          <color rgb="FFBBBCBD"/>
        </left>
        <right style="hair">
          <color rgb="FFBBBCBD"/>
        </right>
      </border>
    </dxf>
    <dxf>
      <numFmt numFmtId="170" formatCode="&quot;$&quot;#,##0"/>
      <alignment horizontal="center" vertical="center" textRotation="0" wrapText="0" indent="0" justifyLastLine="0" shrinkToFit="0" readingOrder="0"/>
      <border>
        <left style="hair">
          <color rgb="FFBBBCBD"/>
        </left>
        <right style="hair">
          <color rgb="FFBBBCBD"/>
        </right>
      </border>
    </dxf>
    <dxf>
      <numFmt numFmtId="170" formatCode="&quot;$&quot;#,##0"/>
      <fill>
        <patternFill patternType="solid">
          <fgColor indexed="64"/>
          <bgColor rgb="FFDDF2B8"/>
        </patternFill>
      </fill>
      <alignment horizontal="center" vertical="center" textRotation="0" wrapText="0" indent="0" justifyLastLine="0" shrinkToFit="0" readingOrder="0"/>
      <border diagonalUp="0" diagonalDown="0" outline="0">
        <left/>
        <right style="hair">
          <color rgb="FFBBBCBD"/>
        </right>
      </border>
    </dxf>
    <dxf>
      <numFmt numFmtId="0" formatCode="General"/>
      <fill>
        <patternFill patternType="solid">
          <fgColor indexed="64"/>
          <bgColor rgb="FFEDFFC4"/>
        </patternFill>
      </fill>
      <alignment horizontal="center" vertical="bottom" textRotation="0" wrapText="1" indent="0" justifyLastLine="0" shrinkToFit="0" readingOrder="0"/>
      <border outline="0">
        <left style="hair">
          <color rgb="FFBBBCBD"/>
        </left>
        <right style="medium">
          <color rgb="FF95D600"/>
        </right>
      </border>
    </dxf>
    <dxf>
      <numFmt numFmtId="0" formatCode="General"/>
      <fill>
        <patternFill patternType="solid">
          <fgColor indexed="64"/>
          <bgColor rgb="FFDDF2B8"/>
        </patternFill>
      </fill>
      <alignment horizontal="center" vertical="bottom" textRotation="0" wrapText="1" indent="0" justifyLastLine="0" shrinkToFit="0" readingOrder="0"/>
      <border outline="0">
        <left style="hair">
          <color rgb="FFBBBCBD"/>
        </left>
        <right style="hair">
          <color rgb="FFBBBCBD"/>
        </right>
      </border>
    </dxf>
    <dxf>
      <numFmt numFmtId="0" formatCode="General"/>
      <fill>
        <patternFill patternType="solid">
          <fgColor indexed="64"/>
          <bgColor rgb="FFEDFFC4"/>
        </patternFill>
      </fill>
      <alignment horizontal="center" vertical="bottom" textRotation="0" wrapText="1" indent="0" justifyLastLine="0" shrinkToFit="0" readingOrder="0"/>
      <border outline="0">
        <left style="hair">
          <color rgb="FFBBBCBD"/>
        </left>
        <right style="hair">
          <color rgb="FFBBBCBD"/>
        </right>
      </border>
    </dxf>
    <dxf>
      <numFmt numFmtId="0" formatCode="General"/>
      <fill>
        <patternFill patternType="solid">
          <fgColor indexed="64"/>
          <bgColor rgb="FFDDF2B8"/>
        </patternFill>
      </fill>
      <alignment horizontal="center" vertical="bottom" textRotation="0" wrapText="1" indent="0" justifyLastLine="0" shrinkToFit="0" readingOrder="0"/>
      <border outline="0">
        <left style="hair">
          <color rgb="FFBBBCBD"/>
        </left>
        <right style="hair">
          <color rgb="FFBBBCBD"/>
        </right>
      </border>
    </dxf>
    <dxf>
      <numFmt numFmtId="0" formatCode="General"/>
      <fill>
        <patternFill patternType="solid">
          <fgColor indexed="64"/>
          <bgColor rgb="FFEDFFC4"/>
        </patternFill>
      </fill>
      <alignment horizontal="center" vertical="bottom" textRotation="0" wrapText="0" indent="0" justifyLastLine="0" shrinkToFit="0" readingOrder="0"/>
      <border outline="0">
        <right style="hair">
          <color rgb="FFBBBCBD"/>
        </right>
      </border>
    </dxf>
    <dxf>
      <numFmt numFmtId="0" formatCode="General"/>
      <alignment horizontal="center" vertical="bottom" textRotation="0" wrapText="0" indent="0" justifyLastLine="0" shrinkToFit="0" readingOrder="0"/>
      <border outline="0">
        <right style="hair">
          <color rgb="FFBBBCBD"/>
        </right>
      </border>
    </dxf>
    <dxf>
      <alignment horizontal="center" vertical="bottom" textRotation="0" wrapText="0" indent="0" justifyLastLine="0" shrinkToFit="0" readingOrder="0"/>
      <border outline="0">
        <left style="hair">
          <color rgb="FFBBBCBD"/>
        </left>
      </border>
    </dxf>
    <dxf>
      <fill>
        <patternFill patternType="solid">
          <fgColor indexed="64"/>
          <bgColor rgb="FFDDF2B8"/>
        </patternFill>
      </fill>
      <alignment horizontal="center" vertical="bottom" textRotation="0" wrapText="0" indent="0" justifyLastLine="0" shrinkToFit="0" readingOrder="0"/>
    </dxf>
    <dxf>
      <alignment horizontal="center" vertical="bottom" textRotation="0" wrapText="0" indent="0" justifyLastLine="0" shrinkToFit="0" readingOrder="0"/>
      <border outline="0">
        <left style="hair">
          <color rgb="FFBBBCBD"/>
        </left>
        <right style="hair">
          <color rgb="FFBBBCBD"/>
        </right>
      </border>
    </dxf>
    <dxf>
      <numFmt numFmtId="0" formatCode="General"/>
      <fill>
        <patternFill patternType="solid">
          <fgColor indexed="64"/>
          <bgColor rgb="FFDDF2B8"/>
        </patternFill>
      </fil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border outline="0">
        <left style="hair">
          <color rgb="FFBBBCBD"/>
        </left>
        <right style="hair">
          <color rgb="FFBBBCBD"/>
        </right>
      </border>
    </dxf>
    <dxf>
      <fill>
        <patternFill patternType="solid">
          <fgColor indexed="64"/>
          <bgColor rgb="FFDDF2B8"/>
        </patternFill>
      </fil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border outline="0">
        <left style="hair">
          <color rgb="FFBBBCBD"/>
        </left>
        <right style="hair">
          <color rgb="FFBBBCBD"/>
        </right>
      </border>
    </dxf>
    <dxf>
      <fill>
        <patternFill patternType="solid">
          <fgColor indexed="64"/>
          <bgColor rgb="FFDDF2B8"/>
        </patternFill>
      </fil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border outline="0">
        <right style="hair">
          <color rgb="FFBBBCBD"/>
        </right>
      </border>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1" indent="0" justifyLastLine="0" shrinkToFit="0" readingOrder="0"/>
    </dxf>
    <dxf>
      <numFmt numFmtId="4" formatCode="#,##0.00"/>
      <alignment horizontal="center" vertical="center" textRotation="0" wrapText="0" indent="0" justifyLastLine="0" shrinkToFit="0" readingOrder="0"/>
      <border outline="0">
        <left style="hair">
          <color rgb="FFBBBCBD"/>
        </left>
        <right style="hair">
          <color rgb="FFBBBCBD"/>
        </right>
      </border>
    </dxf>
    <dxf>
      <numFmt numFmtId="2" formatCode="0.00"/>
      <fill>
        <patternFill patternType="solid">
          <fgColor indexed="64"/>
          <bgColor rgb="FFDDF2B8"/>
        </patternFill>
      </fill>
      <alignment horizontal="center" vertical="center" textRotation="0" wrapText="0" indent="0" justifyLastLine="0" shrinkToFit="0" readingOrder="0"/>
      <border outline="0">
        <left style="hair">
          <color rgb="FFBBBCBD"/>
        </left>
        <right style="hair">
          <color rgb="FFBBBCBD"/>
        </right>
      </border>
    </dxf>
    <dxf>
      <numFmt numFmtId="2" formatCode="0.00"/>
      <alignment horizontal="center" vertical="center" textRotation="0" wrapText="0" indent="0" justifyLastLine="0" shrinkToFit="0" readingOrder="0"/>
      <border diagonalUp="0" diagonalDown="0" outline="0">
        <left/>
        <right style="hair">
          <color rgb="FFBBBCBD"/>
        </right>
        <top style="hair">
          <color rgb="FFBBBCBD"/>
        </top>
        <bottom style="hair">
          <color rgb="FFBBBCBD"/>
        </bottom>
      </border>
    </dxf>
    <dxf>
      <numFmt numFmtId="4" formatCode="#,##0.00"/>
      <fill>
        <patternFill patternType="solid">
          <fgColor indexed="64"/>
          <bgColor rgb="FFDDF2B8"/>
        </patternFill>
      </fill>
      <alignment horizontal="center" vertical="center" textRotation="0" wrapText="0" indent="0" justifyLastLine="0" shrinkToFit="0" readingOrder="0"/>
      <border diagonalUp="0" diagonalDown="0" outline="0">
        <left style="hair">
          <color rgb="FFBBBCBD"/>
        </left>
        <right style="medium">
          <color rgb="FF95D600"/>
        </right>
        <top style="hair">
          <color rgb="FFBBBCBD"/>
        </top>
        <bottom style="hair">
          <color rgb="FFBBBCBD"/>
        </bottom>
      </border>
    </dxf>
    <dxf>
      <numFmt numFmtId="2" formatCode="0.00"/>
      <alignment horizontal="center" vertical="center"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2" formatCode="0.00"/>
      <fill>
        <patternFill patternType="solid">
          <fgColor indexed="64"/>
          <bgColor rgb="FFDDF2B8"/>
        </patternFill>
      </fill>
      <alignment horizontal="center" vertical="center" textRotation="0" wrapText="0" indent="0" justifyLastLine="0" shrinkToFit="0" readingOrder="0"/>
      <border diagonalUp="0" diagonalDown="0" outline="0">
        <left/>
        <right style="hair">
          <color rgb="FFBBBCBD"/>
        </right>
        <top style="hair">
          <color rgb="FFBBBCBD"/>
        </top>
        <bottom style="hair">
          <color rgb="FFBBBCBD"/>
        </bottom>
      </border>
    </dxf>
    <dxf>
      <numFmt numFmtId="2" formatCode="0.00"/>
      <fill>
        <patternFill patternType="solid">
          <fgColor indexed="64"/>
          <bgColor rgb="FFDDF2B8"/>
        </patternFill>
      </fill>
      <alignment horizontal="center" vertical="center" textRotation="0" wrapText="0" indent="0" justifyLastLine="0" shrinkToFit="0" readingOrder="0"/>
      <border diagonalUp="0" diagonalDown="0" outline="0">
        <left style="hair">
          <color rgb="FFBBBCBD"/>
        </left>
        <right/>
        <top style="hair">
          <color rgb="FFBBBCBD"/>
        </top>
        <bottom style="hair">
          <color rgb="FFBBBCBD"/>
        </bottom>
      </border>
    </dxf>
    <dxf>
      <numFmt numFmtId="2" formatCode="0.00"/>
      <fill>
        <patternFill patternType="solid">
          <fgColor indexed="64"/>
          <bgColor rgb="FFEDFFC4"/>
        </patternFill>
      </fill>
      <alignment horizontal="center" vertical="center" textRotation="0" wrapText="0" indent="0" justifyLastLine="0" shrinkToFit="0" readingOrder="0"/>
      <border outline="0">
        <left style="hair">
          <color rgb="FFBBBCBD"/>
        </left>
        <right style="hair">
          <color rgb="FFBBBCBD"/>
        </right>
      </border>
    </dxf>
    <dxf>
      <numFmt numFmtId="172" formatCode="0.0"/>
      <fill>
        <patternFill patternType="solid">
          <fgColor indexed="64"/>
          <bgColor rgb="FFDDF2B8"/>
        </patternFill>
      </fill>
      <alignment horizontal="center" vertical="center" textRotation="0" wrapText="0" indent="0" justifyLastLine="0" shrinkToFit="0" readingOrder="0"/>
      <border outline="0">
        <left style="hair">
          <color rgb="FFBBBCBD"/>
        </left>
        <right style="hair">
          <color rgb="FFBBBCBD"/>
        </right>
      </border>
    </dxf>
    <dxf>
      <numFmt numFmtId="2" formatCode="0.00"/>
      <fill>
        <patternFill patternType="solid">
          <fgColor indexed="64"/>
          <bgColor rgb="FFEDFFC4"/>
        </patternFill>
      </fill>
      <alignment horizontal="center" vertical="center" textRotation="0" wrapText="0" indent="0" justifyLastLine="0" shrinkToFit="0" readingOrder="0"/>
      <border outline="0">
        <left style="hair">
          <color rgb="FFBBBCBD"/>
        </left>
        <right style="hair">
          <color rgb="FFBBBCBD"/>
        </right>
      </border>
    </dxf>
    <dxf>
      <numFmt numFmtId="2" formatCode="0.00"/>
      <fill>
        <patternFill patternType="solid">
          <fgColor indexed="64"/>
          <bgColor rgb="FFDDF2B8"/>
        </patternFill>
      </fill>
      <alignment horizontal="center" vertical="center" textRotation="0" wrapText="0" indent="0" justifyLastLine="0" shrinkToFit="0" readingOrder="0"/>
      <border outline="0">
        <left style="hair">
          <color rgb="FFBBBCBD"/>
        </left>
        <right style="hair">
          <color rgb="FFBBBCBD"/>
        </right>
      </border>
    </dxf>
    <dxf>
      <numFmt numFmtId="2" formatCode="0.00"/>
      <fill>
        <patternFill patternType="solid">
          <fgColor indexed="64"/>
          <bgColor rgb="FFEDFFC4"/>
        </patternFill>
      </fill>
      <alignment horizontal="center" vertical="center" textRotation="0" wrapText="0" indent="0" justifyLastLine="0" shrinkToFit="0" readingOrder="0"/>
      <border outline="0">
        <right style="hair">
          <color rgb="FFBBBCBD"/>
        </right>
      </border>
    </dxf>
    <dxf>
      <numFmt numFmtId="171" formatCode="0.000"/>
      <fill>
        <patternFill patternType="solid">
          <fgColor indexed="64"/>
          <bgColor rgb="FFDDF2B8"/>
        </patternFill>
      </fill>
      <alignment horizontal="center" vertical="center" textRotation="0" wrapText="0" indent="0" justifyLastLine="0" shrinkToFit="0" readingOrder="0"/>
      <border outline="0">
        <left style="hair">
          <color rgb="FFBBBCBD"/>
        </left>
        <right style="hair">
          <color rgb="FFBBBCBD"/>
        </right>
      </border>
    </dxf>
    <dxf>
      <numFmt numFmtId="171" formatCode="0.000"/>
      <alignment horizontal="center" vertical="center" textRotation="0" wrapText="0" indent="0" justifyLastLine="0" shrinkToFit="0" readingOrder="0"/>
      <border outline="0">
        <left style="hair">
          <color rgb="FFBBBCBD"/>
        </left>
        <right style="hair">
          <color rgb="FFBBBCBD"/>
        </right>
      </border>
    </dxf>
    <dxf>
      <numFmt numFmtId="3" formatCode="#,##0"/>
      <fill>
        <patternFill patternType="solid">
          <fgColor indexed="64"/>
          <bgColor rgb="FFDDF2B8"/>
        </patternFill>
      </fill>
      <alignment horizontal="center" vertical="center" textRotation="0" wrapText="0" indent="0" justifyLastLine="0" shrinkToFit="0" readingOrder="0"/>
      <border outline="0">
        <left style="hair">
          <color rgb="FFBBBCBD"/>
        </left>
        <right style="hair">
          <color rgb="FFBBBCBD"/>
        </right>
      </border>
    </dxf>
    <dxf>
      <numFmt numFmtId="170" formatCode="&quot;$&quot;#,##0"/>
      <alignment horizontal="center" vertical="center" textRotation="0" wrapText="0" indent="0" justifyLastLine="0" shrinkToFit="0" readingOrder="0"/>
      <border outline="0">
        <left style="hair">
          <color rgb="FFBBBCBD"/>
        </left>
        <right style="hair">
          <color rgb="FFBBBCBD"/>
        </right>
      </border>
    </dxf>
    <dxf>
      <numFmt numFmtId="170" formatCode="&quot;$&quot;#,##0"/>
      <fill>
        <patternFill patternType="solid">
          <fgColor indexed="64"/>
          <bgColor rgb="FFDDF2B8"/>
        </patternFill>
      </fill>
      <alignment horizontal="center" vertical="center" textRotation="0" wrapText="0" indent="0" justifyLastLine="0" shrinkToFit="0" readingOrder="0"/>
      <border diagonalUp="0" diagonalDown="0" outline="0">
        <left style="medium">
          <color rgb="FF95D600"/>
        </left>
        <right style="hair">
          <color rgb="FFBBBCBD"/>
        </right>
        <top style="hair">
          <color rgb="FFBBBCBD"/>
        </top>
        <bottom style="hair">
          <color rgb="FFBBBCBD"/>
        </bottom>
      </border>
    </dxf>
    <dxf>
      <numFmt numFmtId="2" formatCode="0.00"/>
      <fill>
        <patternFill patternType="solid">
          <fgColor indexed="64"/>
          <bgColor rgb="FFDDF2B8"/>
        </patternFill>
      </fill>
      <alignment horizontal="center" vertical="center" textRotation="0" wrapText="0" indent="0" justifyLastLine="0" shrinkToFit="0" readingOrder="0"/>
      <border diagonalUp="0" diagonalDown="0" outline="0">
        <left style="hair">
          <color rgb="FFBBBCBD"/>
        </left>
        <right style="medium">
          <color rgb="FF95D600"/>
        </right>
        <top style="hair">
          <color rgb="FFBBBCBD"/>
        </top>
        <bottom style="hair">
          <color rgb="FFBBBCBD"/>
        </bottom>
      </border>
    </dxf>
    <dxf>
      <numFmt numFmtId="2" formatCode="0.00"/>
      <fill>
        <patternFill patternType="solid">
          <fgColor indexed="64"/>
          <bgColor rgb="FFEDFFC4"/>
        </patternFill>
      </fill>
      <alignment horizontal="center" vertical="center"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2" formatCode="0.00"/>
      <fill>
        <patternFill patternType="solid">
          <fgColor indexed="64"/>
          <bgColor rgb="FFDDF2B8"/>
        </patternFill>
      </fill>
      <alignment horizontal="center" vertical="center"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2" formatCode="0.00"/>
      <fill>
        <patternFill patternType="solid">
          <fgColor indexed="64"/>
          <bgColor rgb="FFEDFFC4"/>
        </patternFill>
      </fill>
      <alignment horizontal="center" vertical="center"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2" formatCode="0.00"/>
      <fill>
        <patternFill patternType="solid">
          <fgColor indexed="64"/>
          <bgColor rgb="FFDDF2B8"/>
        </patternFill>
      </fill>
      <alignment horizontal="center" vertical="center"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2" formatCode="0.00"/>
      <fill>
        <patternFill patternType="solid">
          <fgColor indexed="64"/>
          <bgColor rgb="FFEDFFC4"/>
        </patternFill>
      </fill>
      <alignment horizontal="center" vertical="center"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171" formatCode="0.000"/>
      <fill>
        <patternFill patternType="solid">
          <fgColor indexed="64"/>
          <bgColor rgb="FFDDF2B8"/>
        </patternFill>
      </fill>
      <alignment horizontal="center" vertical="center"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171" formatCode="0.000"/>
      <alignment horizontal="center" vertical="center"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3" formatCode="#,##0"/>
      <fill>
        <patternFill patternType="solid">
          <fgColor indexed="64"/>
          <bgColor rgb="FFDDF2B8"/>
        </patternFill>
      </fill>
      <alignment horizontal="center" vertical="center"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170" formatCode="&quot;$&quot;#,##0"/>
      <alignment horizontal="center" vertical="center"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170" formatCode="&quot;$&quot;#,##0"/>
      <fill>
        <patternFill patternType="solid">
          <fgColor indexed="64"/>
          <bgColor rgb="FFDDF2B8"/>
        </patternFill>
      </fill>
      <alignment horizontal="center" vertical="center" textRotation="0" wrapText="0" indent="0" justifyLastLine="0" shrinkToFit="0" readingOrder="0"/>
      <border diagonalUp="0" diagonalDown="0" outline="0">
        <left style="medium">
          <color rgb="FF95D600"/>
        </left>
        <right style="hair">
          <color rgb="FFBBBCBD"/>
        </right>
        <top style="hair">
          <color rgb="FFBBBCBD"/>
        </top>
        <bottom style="hair">
          <color rgb="FFBBBCBD"/>
        </bottom>
      </border>
    </dxf>
    <dxf>
      <numFmt numFmtId="0" formatCode="General"/>
      <fill>
        <patternFill patternType="solid">
          <fgColor indexed="64"/>
          <bgColor rgb="FFEDFFC4"/>
        </patternFill>
      </fill>
      <alignment horizontal="center" vertical="center" textRotation="0" wrapText="1" indent="0" justifyLastLine="0" shrinkToFit="0" readingOrder="0"/>
      <border outline="0">
        <left style="hair">
          <color rgb="FFBBBCBD"/>
        </left>
        <right style="hair">
          <color rgb="FFBBBCBD"/>
        </right>
      </border>
    </dxf>
    <dxf>
      <numFmt numFmtId="0" formatCode="General"/>
      <fill>
        <patternFill patternType="solid">
          <fgColor indexed="64"/>
          <bgColor rgb="FFDDF2B8"/>
        </patternFill>
      </fill>
      <alignment horizontal="center" vertical="center" textRotation="0" wrapText="1" indent="0" justifyLastLine="0" shrinkToFit="0" readingOrder="0"/>
      <border outline="0">
        <left style="hair">
          <color rgb="FFBBBCBD"/>
        </left>
        <right style="hair">
          <color rgb="FFBBBCBD"/>
        </right>
      </border>
    </dxf>
    <dxf>
      <numFmt numFmtId="0" formatCode="General"/>
      <fill>
        <patternFill patternType="solid">
          <fgColor indexed="64"/>
          <bgColor rgb="FFEDFFC4"/>
        </patternFill>
      </fill>
      <alignment horizontal="center" vertical="center" textRotation="0" wrapText="1" indent="0" justifyLastLine="0" shrinkToFit="0" readingOrder="0"/>
      <border outline="0">
        <left style="hair">
          <color rgb="FFBBBCBD"/>
        </left>
        <right style="hair">
          <color rgb="FFBBBCBD"/>
        </right>
      </border>
    </dxf>
    <dxf>
      <numFmt numFmtId="0" formatCode="General"/>
      <fill>
        <patternFill patternType="solid">
          <fgColor indexed="64"/>
          <bgColor rgb="FFDDF2B8"/>
        </patternFill>
      </fill>
      <alignment horizontal="center" vertical="center" textRotation="0" wrapText="1" indent="0" justifyLastLine="0" shrinkToFit="0" readingOrder="0"/>
      <border outline="0">
        <left style="hair">
          <color rgb="FFBBBCBD"/>
        </left>
        <right style="hair">
          <color rgb="FFBBBCBD"/>
        </right>
      </border>
    </dxf>
    <dxf>
      <numFmt numFmtId="0" formatCode="General"/>
      <fill>
        <patternFill patternType="solid">
          <fgColor indexed="64"/>
          <bgColor rgb="FFEDFFC4"/>
        </patternFill>
      </fill>
      <alignment horizontal="center" vertical="center" textRotation="0" wrapText="0" indent="0" justifyLastLine="0" shrinkToFit="0" readingOrder="0"/>
      <border outline="0">
        <right style="hair">
          <color rgb="FFBBBCBD"/>
        </right>
      </border>
    </dxf>
    <dxf>
      <numFmt numFmtId="0" formatCode="General"/>
      <alignment horizontal="center" vertical="center" textRotation="0" wrapText="0" indent="0" justifyLastLine="0" shrinkToFit="0" readingOrder="0"/>
      <border outline="0">
        <right style="hair">
          <color rgb="FFBBBCBD"/>
        </right>
      </border>
    </dxf>
    <dxf>
      <alignment horizontal="center" vertical="center" textRotation="0" wrapText="0" indent="0" justifyLastLine="0" shrinkToFit="0" readingOrder="0"/>
      <border outline="0">
        <left style="hair">
          <color rgb="FFBBBCBD"/>
        </left>
      </border>
    </dxf>
    <dxf>
      <fill>
        <patternFill patternType="solid">
          <fgColor indexed="64"/>
          <bgColor rgb="FFDDF2B8"/>
        </patternFill>
      </fill>
      <alignment horizontal="center" vertical="center" textRotation="0" wrapText="0" indent="0" justifyLastLine="0" shrinkToFit="0" readingOrder="0"/>
    </dxf>
    <dxf>
      <alignment horizontal="center" vertical="center" textRotation="0" wrapText="0" indent="0" justifyLastLine="0" shrinkToFit="0" readingOrder="0"/>
      <border outline="0">
        <left style="hair">
          <color rgb="FFBBBCBD"/>
        </left>
        <right style="hair">
          <color rgb="FFBBBCBD"/>
        </right>
      </border>
    </dxf>
    <dxf>
      <numFmt numFmtId="0" formatCode="General"/>
      <fill>
        <patternFill patternType="solid">
          <fgColor indexed="64"/>
          <bgColor rgb="FFDDF2B8"/>
        </patternFill>
      </fil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border outline="0">
        <left style="hair">
          <color rgb="FFBBBCBD"/>
        </left>
        <right style="hair">
          <color rgb="FFBBBCBD"/>
        </right>
      </border>
    </dxf>
    <dxf>
      <fill>
        <patternFill patternType="solid">
          <fgColor indexed="64"/>
          <bgColor rgb="FFDDF2B8"/>
        </patternFill>
      </fil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border outline="0">
        <left style="hair">
          <color rgb="FFBBBCBD"/>
        </left>
        <right style="hair">
          <color rgb="FFBBBCBD"/>
        </right>
      </border>
    </dxf>
    <dxf>
      <fill>
        <patternFill patternType="solid">
          <fgColor indexed="64"/>
          <bgColor rgb="FFDDF2B8"/>
        </patternFill>
      </fil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border outline="0">
        <right style="hair">
          <color rgb="FFBBBCBD"/>
        </right>
      </border>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1" indent="0" justifyLastLine="0" shrinkToFit="0" readingOrder="0"/>
    </dxf>
    <dxf>
      <numFmt numFmtId="4" formatCode="#,##0.00"/>
      <fill>
        <patternFill patternType="solid">
          <fgColor indexed="64"/>
          <bgColor rgb="FFDDF2B8"/>
        </patternFill>
      </fill>
      <alignment horizontal="center" vertical="center" textRotation="0" wrapText="0" indent="0" justifyLastLine="0" shrinkToFit="0" readingOrder="0"/>
      <border outline="0">
        <left style="hair">
          <color rgb="FFBBBCBD"/>
        </left>
        <right style="hair">
          <color rgb="FFBBBCBD"/>
        </right>
      </border>
    </dxf>
    <dxf>
      <numFmt numFmtId="2" formatCode="0.00"/>
      <alignment horizontal="center" vertical="center" textRotation="0" wrapText="0" indent="0" justifyLastLine="0" shrinkToFit="0" readingOrder="0"/>
      <border outline="0">
        <left style="hair">
          <color rgb="FFBBBCBD"/>
        </left>
        <right style="hair">
          <color rgb="FFBBBCBD"/>
        </right>
      </border>
    </dxf>
    <dxf>
      <numFmt numFmtId="2" formatCode="0.00"/>
      <fill>
        <patternFill patternType="solid">
          <fgColor indexed="64"/>
          <bgColor rgb="FFDDF2B8"/>
        </patternFill>
      </fill>
      <alignment horizontal="center" vertical="center" textRotation="0" wrapText="0" indent="0" justifyLastLine="0" shrinkToFit="0" readingOrder="0"/>
      <border diagonalUp="0" diagonalDown="0">
        <left style="medium">
          <color rgb="FF95D600"/>
        </left>
        <right style="hair">
          <color rgb="FFBBBCBD"/>
        </right>
        <top style="hair">
          <color rgb="FFBBBCBD"/>
        </top>
        <bottom style="hair">
          <color rgb="FFBBBCBD"/>
        </bottom>
        <vertical/>
        <horizontal/>
      </border>
    </dxf>
    <dxf>
      <numFmt numFmtId="4" formatCode="#,##0.00"/>
      <alignment horizontal="center" vertical="center" textRotation="0" wrapText="0" indent="0" justifyLastLine="0" shrinkToFit="0" readingOrder="0"/>
      <border diagonalUp="0" diagonalDown="0">
        <left style="hair">
          <color rgb="FFBBBCBD"/>
        </left>
        <right style="medium">
          <color rgb="FF95D600"/>
        </right>
        <vertical style="medium">
          <color rgb="FF95D600"/>
        </vertical>
      </border>
    </dxf>
    <dxf>
      <numFmt numFmtId="2" formatCode="0.00"/>
      <fill>
        <patternFill patternType="solid">
          <fgColor indexed="64"/>
          <bgColor rgb="FFDDF2B8"/>
        </patternFill>
      </fill>
      <alignment horizontal="center" vertical="center" textRotation="0" wrapText="0" indent="0" justifyLastLine="0" shrinkToFit="0" readingOrder="0"/>
      <border outline="0">
        <left style="hair">
          <color rgb="FFBBBCBD"/>
        </left>
        <right style="hair">
          <color rgb="FFBBBCBD"/>
        </right>
      </border>
    </dxf>
    <dxf>
      <numFmt numFmtId="2" formatCode="0.00"/>
      <alignment horizontal="center" vertical="center" textRotation="0" wrapText="0" indent="0" justifyLastLine="0" shrinkToFit="0" readingOrder="0"/>
      <border diagonalUp="0" diagonalDown="0" outline="0">
        <left style="medium">
          <color rgb="FF95D600"/>
        </left>
        <right style="hair">
          <color rgb="FFBBBCBD"/>
        </right>
      </border>
    </dxf>
    <dxf>
      <numFmt numFmtId="2" formatCode="0.00"/>
      <fill>
        <patternFill patternType="solid">
          <fgColor indexed="64"/>
          <bgColor rgb="FFEDFFC4"/>
        </patternFill>
      </fill>
      <alignment horizontal="center" vertical="center" textRotation="0" wrapText="0" indent="0" justifyLastLine="0" shrinkToFit="0" readingOrder="0"/>
      <border diagonalUp="0" diagonalDown="0">
        <left style="hair">
          <color rgb="FFBBBCBD"/>
        </left>
        <right style="medium">
          <color rgb="FF95D600"/>
        </right>
        <top style="hair">
          <color rgb="FFBBBCBD"/>
        </top>
        <bottom style="hair">
          <color rgb="FFBBBCBD"/>
        </bottom>
        <vertical/>
        <horizontal/>
      </border>
    </dxf>
    <dxf>
      <numFmt numFmtId="2" formatCode="0.00"/>
      <fill>
        <patternFill patternType="solid">
          <fgColor indexed="64"/>
          <bgColor rgb="FFDDF2B8"/>
        </patternFill>
      </fill>
      <alignment horizontal="center" vertical="center" textRotation="0" wrapText="0" indent="0" justifyLastLine="0" shrinkToFit="0" readingOrder="0"/>
      <border outline="0">
        <left style="hair">
          <color rgb="FFBBBCBD"/>
        </left>
        <right style="hair">
          <color rgb="FFBBBCBD"/>
        </right>
      </border>
    </dxf>
    <dxf>
      <numFmt numFmtId="2" formatCode="0.00"/>
      <fill>
        <patternFill patternType="solid">
          <fgColor indexed="64"/>
          <bgColor rgb="FFEDFFC4"/>
        </patternFill>
      </fill>
      <alignment horizontal="center" vertical="center" textRotation="0" wrapText="0" indent="0" justifyLastLine="0" shrinkToFit="0" readingOrder="0"/>
      <border outline="0">
        <left style="hair">
          <color rgb="FFBBBCBD"/>
        </left>
        <right style="hair">
          <color rgb="FFBBBCBD"/>
        </right>
      </border>
    </dxf>
    <dxf>
      <numFmt numFmtId="2" formatCode="0.00"/>
      <fill>
        <patternFill patternType="solid">
          <fgColor indexed="64"/>
          <bgColor rgb="FFDDF2B8"/>
        </patternFill>
      </fill>
      <alignment horizontal="center" vertical="center" textRotation="0" wrapText="0" indent="0" justifyLastLine="0" shrinkToFit="0" readingOrder="0"/>
      <border diagonalUp="0" diagonalDown="0" outline="0">
        <left style="hair">
          <color rgb="FFBBBCBD"/>
        </left>
        <right style="hair">
          <color rgb="FFBBBCBD"/>
        </right>
        <top style="hair">
          <color rgb="FFBBBCBD"/>
        </top>
        <bottom/>
      </border>
    </dxf>
    <dxf>
      <numFmt numFmtId="2" formatCode="0.00"/>
      <alignment horizontal="center" vertical="center" textRotation="0" wrapText="0" indent="0" justifyLastLine="0" shrinkToFit="0" readingOrder="0"/>
      <border diagonalUp="0" diagonalDown="0" outline="0">
        <left style="hair">
          <color rgb="FFBBBCBD"/>
        </left>
        <right style="hair">
          <color rgb="FFBBBCBD"/>
        </right>
        <top style="hair">
          <color rgb="FFBBBCBD"/>
        </top>
        <bottom/>
      </border>
    </dxf>
    <dxf>
      <numFmt numFmtId="2" formatCode="0.00"/>
      <fill>
        <patternFill patternType="solid">
          <fgColor indexed="64"/>
          <bgColor rgb="FFDDF2B8"/>
        </patternFill>
      </fill>
      <alignment horizontal="center" vertical="center" textRotation="0" wrapText="0" indent="0" justifyLastLine="0" shrinkToFit="0" readingOrder="0"/>
      <border diagonalUp="0" diagonalDown="0" outline="0">
        <left style="hair">
          <color rgb="FFBBBCBD"/>
        </left>
        <right style="hair">
          <color rgb="FFBBBCBD"/>
        </right>
        <top style="hair">
          <color rgb="FFBBBCBD"/>
        </top>
        <bottom/>
      </border>
    </dxf>
    <dxf>
      <numFmt numFmtId="171" formatCode="0.000"/>
      <alignment horizontal="center" vertical="center" textRotation="0" wrapText="0" indent="0" justifyLastLine="0" shrinkToFit="0" readingOrder="0"/>
      <border outline="0">
        <left style="hair">
          <color rgb="FFBBBCBD"/>
        </left>
        <right style="hair">
          <color rgb="FFBBBCBD"/>
        </right>
      </border>
    </dxf>
    <dxf>
      <numFmt numFmtId="171" formatCode="0.000"/>
      <fill>
        <patternFill patternType="solid">
          <fgColor indexed="64"/>
          <bgColor rgb="FFDDF2B8"/>
        </patternFill>
      </fill>
      <alignment horizontal="center" vertical="center" textRotation="0" wrapText="0" indent="0" justifyLastLine="0" shrinkToFit="0" readingOrder="0"/>
      <border outline="0">
        <left style="hair">
          <color rgb="FFBBBCBD"/>
        </left>
        <right style="hair">
          <color rgb="FFBBBCBD"/>
        </right>
      </border>
    </dxf>
    <dxf>
      <numFmt numFmtId="3" formatCode="#,##0"/>
      <alignment horizontal="center" vertical="center" textRotation="0" wrapText="0" indent="0" justifyLastLine="0" shrinkToFit="0" readingOrder="0"/>
      <border outline="0">
        <left style="hair">
          <color rgb="FFBBBCBD"/>
        </left>
        <right style="hair">
          <color rgb="FFBBBCBD"/>
        </right>
      </border>
    </dxf>
    <dxf>
      <numFmt numFmtId="170" formatCode="&quot;$&quot;#,##0"/>
      <fill>
        <patternFill patternType="solid">
          <fgColor indexed="64"/>
          <bgColor rgb="FFDDF2B8"/>
        </patternFill>
      </fill>
      <alignment horizontal="center" vertical="center" textRotation="0" wrapText="0" indent="0" justifyLastLine="0" shrinkToFit="0" readingOrder="0"/>
      <border outline="0">
        <left style="hair">
          <color rgb="FFBBBCBD"/>
        </left>
        <right style="hair">
          <color rgb="FFBBBCBD"/>
        </right>
      </border>
    </dxf>
    <dxf>
      <numFmt numFmtId="170" formatCode="&quot;$&quot;#,##0"/>
      <alignment horizontal="center" vertical="center" textRotation="0" wrapText="0" indent="0" justifyLastLine="0" shrinkToFit="0" readingOrder="0"/>
      <border diagonalUp="0" diagonalDown="0">
        <left style="medium">
          <color rgb="FF95D600"/>
        </left>
        <right style="hair">
          <color rgb="FFBBBCBD"/>
        </right>
        <top style="hair">
          <color rgb="FFBBBCBD"/>
        </top>
        <bottom style="hair">
          <color rgb="FFBBBCBD"/>
        </bottom>
        <vertical/>
        <horizontal/>
      </border>
    </dxf>
    <dxf>
      <numFmt numFmtId="2" formatCode="0.00"/>
      <fill>
        <patternFill patternType="solid">
          <fgColor indexed="64"/>
          <bgColor rgb="FFEDFFC4"/>
        </patternFill>
      </fill>
      <alignment horizontal="center" vertical="center" textRotation="0" wrapText="0" indent="0" justifyLastLine="0" shrinkToFit="0" readingOrder="0"/>
      <border diagonalUp="0" diagonalDown="0" outline="0">
        <left style="hair">
          <color rgb="FFBBBCBD"/>
        </left>
        <right style="medium">
          <color rgb="FF95D600"/>
        </right>
      </border>
    </dxf>
    <dxf>
      <numFmt numFmtId="2" formatCode="0.00"/>
      <fill>
        <patternFill patternType="solid">
          <fgColor indexed="64"/>
          <bgColor rgb="FFDDF2B8"/>
        </patternFill>
      </fill>
      <alignment horizontal="center" vertical="center" textRotation="0" wrapText="0" indent="0" justifyLastLine="0" shrinkToFit="0" readingOrder="0"/>
      <border outline="0">
        <left style="hair">
          <color rgb="FFBBBCBD"/>
        </left>
        <right style="hair">
          <color rgb="FFBBBCBD"/>
        </right>
      </border>
    </dxf>
    <dxf>
      <numFmt numFmtId="2" formatCode="0.00"/>
      <fill>
        <patternFill patternType="solid">
          <fgColor indexed="64"/>
          <bgColor rgb="FFEDFFC4"/>
        </patternFill>
      </fill>
      <alignment horizontal="center" vertical="center" textRotation="0" wrapText="0" indent="0" justifyLastLine="0" shrinkToFit="0" readingOrder="0"/>
      <border outline="0">
        <left style="hair">
          <color rgb="FFBBBCBD"/>
        </left>
        <right style="hair">
          <color rgb="FFBBBCBD"/>
        </right>
      </border>
    </dxf>
    <dxf>
      <numFmt numFmtId="2" formatCode="0.00"/>
      <fill>
        <patternFill patternType="solid">
          <fgColor indexed="64"/>
          <bgColor rgb="FFDDF2B8"/>
        </patternFill>
      </fill>
      <alignment horizontal="center" vertical="center" textRotation="0" wrapText="0" indent="0" justifyLastLine="0" shrinkToFit="0" readingOrder="0"/>
      <border diagonalUp="0" diagonalDown="0" outline="0">
        <left style="hair">
          <color rgb="FFBBBCBD"/>
        </left>
        <right style="hair">
          <color rgb="FFBBBCBD"/>
        </right>
        <top style="hair">
          <color rgb="FFBBBCBD"/>
        </top>
        <bottom/>
      </border>
    </dxf>
    <dxf>
      <numFmt numFmtId="2" formatCode="0.00"/>
      <alignment horizontal="center" vertical="center" textRotation="0" wrapText="0" indent="0" justifyLastLine="0" shrinkToFit="0" readingOrder="0"/>
      <border diagonalUp="0" diagonalDown="0" outline="0">
        <left style="hair">
          <color rgb="FFBBBCBD"/>
        </left>
        <right style="hair">
          <color rgb="FFBBBCBD"/>
        </right>
        <top style="hair">
          <color rgb="FFBBBCBD"/>
        </top>
        <bottom/>
      </border>
    </dxf>
    <dxf>
      <numFmt numFmtId="2" formatCode="0.00"/>
      <fill>
        <patternFill patternType="solid">
          <fgColor indexed="64"/>
          <bgColor rgb="FFDDF2B8"/>
        </patternFill>
      </fill>
      <alignment horizontal="center" vertical="center" textRotation="0" wrapText="0" indent="0" justifyLastLine="0" shrinkToFit="0" readingOrder="0"/>
      <border diagonalUp="0" diagonalDown="0" outline="0">
        <left style="hair">
          <color rgb="FFBBBCBD"/>
        </left>
        <right style="hair">
          <color rgb="FFBBBCBD"/>
        </right>
        <top style="hair">
          <color rgb="FFBBBCBD"/>
        </top>
        <bottom/>
      </border>
    </dxf>
    <dxf>
      <numFmt numFmtId="171" formatCode="0.000"/>
      <alignment horizontal="center" vertical="center" textRotation="0" wrapText="0" indent="0" justifyLastLine="0" shrinkToFit="0" readingOrder="0"/>
      <border outline="0">
        <left style="hair">
          <color rgb="FFBBBCBD"/>
        </left>
        <right style="hair">
          <color rgb="FFBBBCBD"/>
        </right>
      </border>
    </dxf>
    <dxf>
      <numFmt numFmtId="171" formatCode="0.000"/>
      <fill>
        <patternFill patternType="solid">
          <fgColor indexed="64"/>
          <bgColor rgb="FFDDF2B8"/>
        </patternFill>
      </fill>
      <alignment horizontal="center" vertical="center" textRotation="0" wrapText="0" indent="0" justifyLastLine="0" shrinkToFit="0" readingOrder="0"/>
      <border outline="0">
        <left style="hair">
          <color rgb="FFBBBCBD"/>
        </left>
        <right style="hair">
          <color rgb="FFBBBCBD"/>
        </right>
      </border>
    </dxf>
    <dxf>
      <numFmt numFmtId="3" formatCode="#,##0"/>
      <alignment horizontal="center" vertical="center" textRotation="0" wrapText="0" indent="0" justifyLastLine="0" shrinkToFit="0" readingOrder="0"/>
      <border>
        <left style="hair">
          <color rgb="FFBBBCBD"/>
        </left>
        <right style="hair">
          <color rgb="FFBBBCBD"/>
        </right>
      </border>
    </dxf>
    <dxf>
      <numFmt numFmtId="170" formatCode="&quot;$&quot;#,##0"/>
      <fill>
        <patternFill patternType="solid">
          <fgColor indexed="64"/>
          <bgColor rgb="FFDDF2B8"/>
        </patternFill>
      </fill>
      <alignment horizontal="center" vertical="center" textRotation="0" wrapText="0" indent="0" justifyLastLine="0" shrinkToFit="0" readingOrder="0"/>
      <border>
        <left style="hair">
          <color rgb="FFBBBCBD"/>
        </left>
        <right style="hair">
          <color rgb="FFBBBCBD"/>
        </right>
      </border>
    </dxf>
    <dxf>
      <numFmt numFmtId="170" formatCode="&quot;$&quot;#,##0"/>
      <alignment horizontal="center" vertical="center" textRotation="0" wrapText="0" indent="0" justifyLastLine="0" shrinkToFit="0" readingOrder="0"/>
      <border diagonalUp="0" diagonalDown="0" outline="0">
        <left style="medium">
          <color rgb="FF95D600"/>
        </left>
        <right style="hair">
          <color rgb="FFBBBCBD"/>
        </right>
      </border>
    </dxf>
    <dxf>
      <numFmt numFmtId="172" formatCode="0.0"/>
      <alignment horizontal="center" vertical="bottom" textRotation="0" wrapText="1" indent="0" justifyLastLine="0" shrinkToFit="0" readingOrder="0"/>
      <border diagonalUp="0" diagonalDown="0" outline="0">
        <left/>
        <right style="medium">
          <color rgb="FF95D600"/>
        </right>
        <top style="hair">
          <color rgb="FFBBBCBD"/>
        </top>
        <bottom/>
      </border>
    </dxf>
    <dxf>
      <numFmt numFmtId="0" formatCode="General"/>
      <fill>
        <patternFill patternType="solid">
          <fgColor indexed="64"/>
          <bgColor rgb="FFEDFFC4"/>
        </patternFill>
      </fill>
      <alignment horizontal="center" vertical="bottom" textRotation="0" wrapText="1" indent="0" justifyLastLine="0" shrinkToFit="0" readingOrder="0"/>
      <border outline="0">
        <left style="hair">
          <color rgb="FFBBBCBD"/>
        </left>
        <right style="hair">
          <color rgb="FFBBBCBD"/>
        </right>
      </border>
    </dxf>
    <dxf>
      <numFmt numFmtId="0" formatCode="General"/>
      <fill>
        <patternFill patternType="solid">
          <fgColor indexed="64"/>
          <bgColor rgb="FFDDF2B8"/>
        </patternFill>
      </fill>
      <alignment horizontal="center" vertical="bottom" textRotation="0" wrapText="1" indent="0" justifyLastLine="0" shrinkToFit="0" readingOrder="0"/>
      <border outline="0">
        <left style="hair">
          <color rgb="FFBBBCBD"/>
        </left>
        <right style="hair">
          <color rgb="FFBBBCBD"/>
        </right>
      </border>
    </dxf>
    <dxf>
      <numFmt numFmtId="0" formatCode="General"/>
      <fill>
        <patternFill patternType="solid">
          <fgColor indexed="64"/>
          <bgColor rgb="FFEDFFC4"/>
        </patternFill>
      </fill>
      <alignment horizontal="center" vertical="bottom" textRotation="0" wrapText="1" indent="0" justifyLastLine="0" shrinkToFit="0" readingOrder="0"/>
      <border outline="0">
        <left style="hair">
          <color rgb="FFBBBCBD"/>
        </left>
        <right style="hair">
          <color rgb="FFBBBCBD"/>
        </right>
      </border>
    </dxf>
    <dxf>
      <numFmt numFmtId="0" formatCode="General"/>
      <fill>
        <patternFill patternType="solid">
          <fgColor indexed="64"/>
          <bgColor rgb="FFDDF2B8"/>
        </patternFill>
      </fill>
      <alignment horizontal="center" vertical="bottom" textRotation="0" wrapText="1" indent="0" justifyLastLine="0" shrinkToFit="0" readingOrder="0"/>
      <border outline="0">
        <left style="hair">
          <color rgb="FFBBBCBD"/>
        </left>
        <right style="hair">
          <color rgb="FFBBBCBD"/>
        </right>
      </border>
    </dxf>
    <dxf>
      <numFmt numFmtId="0" formatCode="General"/>
      <fill>
        <patternFill patternType="solid">
          <fgColor indexed="64"/>
          <bgColor rgb="FFEDFFC4"/>
        </patternFill>
      </fill>
      <alignment horizontal="center" vertical="bottom" textRotation="0" wrapText="0" indent="0" justifyLastLine="0" shrinkToFit="0" readingOrder="0"/>
      <border outline="0">
        <right style="hair">
          <color rgb="FFBBBCBD"/>
        </right>
      </border>
    </dxf>
    <dxf>
      <numFmt numFmtId="0" formatCode="General"/>
      <alignment horizontal="center" vertical="bottom" textRotation="0" wrapText="0" indent="0" justifyLastLine="0" shrinkToFit="0" readingOrder="0"/>
      <border outline="0">
        <right style="hair">
          <color rgb="FFBBBCBD"/>
        </right>
      </border>
    </dxf>
    <dxf>
      <alignment horizontal="center" vertical="bottom" textRotation="0" wrapText="0" indent="0" justifyLastLine="0" shrinkToFit="0" readingOrder="0"/>
      <border outline="0">
        <left style="hair">
          <color rgb="FFBBBCBD"/>
        </left>
      </border>
    </dxf>
    <dxf>
      <fill>
        <patternFill patternType="solid">
          <fgColor indexed="64"/>
          <bgColor rgb="FFDDF2B8"/>
        </patternFill>
      </fill>
      <alignment horizontal="center" vertical="bottom" textRotation="0" wrapText="0" indent="0" justifyLastLine="0" shrinkToFit="0" readingOrder="0"/>
    </dxf>
    <dxf>
      <alignment horizontal="center" vertical="bottom" textRotation="0" wrapText="0" indent="0" justifyLastLine="0" shrinkToFit="0" readingOrder="0"/>
      <border outline="0">
        <left style="hair">
          <color rgb="FFBBBCBD"/>
        </left>
        <right style="hair">
          <color rgb="FFBBBCBD"/>
        </right>
      </border>
    </dxf>
    <dxf>
      <numFmt numFmtId="0" formatCode="General"/>
      <fill>
        <patternFill patternType="solid">
          <fgColor indexed="64"/>
          <bgColor rgb="FFDDF2B8"/>
        </patternFill>
      </fil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border outline="0">
        <left style="hair">
          <color rgb="FFBBBCBD"/>
        </left>
        <right style="hair">
          <color rgb="FFBBBCBD"/>
        </right>
      </border>
    </dxf>
    <dxf>
      <fill>
        <patternFill patternType="solid">
          <fgColor indexed="64"/>
          <bgColor rgb="FFDDF2B8"/>
        </patternFill>
      </fil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border outline="0">
        <right style="hair">
          <color rgb="FFBBBCBD"/>
        </right>
      </border>
    </dxf>
    <dxf>
      <alignment horizontal="center" vertical="bottom" textRotation="0" wrapText="0" indent="0" justifyLastLine="0" shrinkToFit="0" readingOrder="0"/>
      <border outline="0">
        <left style="hair">
          <color rgb="FFBBBCBD"/>
        </left>
      </border>
    </dxf>
    <dxf>
      <fill>
        <patternFill patternType="solid">
          <fgColor indexed="64"/>
          <bgColor rgb="FFDDF2B8"/>
        </patternFill>
      </fil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border outline="0">
        <right style="hair">
          <color rgb="FFBBBCBD"/>
        </right>
      </border>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1" indent="0" justifyLastLine="0" shrinkToFit="0" readingOrder="0"/>
    </dxf>
    <dxf>
      <numFmt numFmtId="4" formatCode="#,##0.00"/>
      <fill>
        <patternFill patternType="solid">
          <fgColor indexed="64"/>
          <bgColor rgb="FFEDFFC4"/>
        </patternFill>
      </fill>
      <alignment horizontal="center" vertical="bottom" textRotation="0" wrapText="0" indent="0" justifyLastLine="0" shrinkToFit="0" readingOrder="0"/>
      <border diagonalUp="0" diagonalDown="0">
        <left/>
        <right style="medium">
          <color rgb="FF95D600"/>
        </right>
        <top/>
        <bottom/>
        <vertical/>
        <horizontal/>
      </border>
    </dxf>
    <dxf>
      <numFmt numFmtId="4" formatCode="#,##0.00"/>
      <fill>
        <patternFill patternType="solid">
          <fgColor indexed="64"/>
          <bgColor rgb="FFDDF2B8"/>
        </patternFill>
      </fill>
      <alignment horizontal="center" vertical="bottom" textRotation="0" wrapText="0" indent="0" justifyLastLine="0" shrinkToFit="0" readingOrder="0"/>
    </dxf>
    <dxf>
      <numFmt numFmtId="4" formatCode="#,##0.00"/>
      <fill>
        <patternFill patternType="solid">
          <fgColor indexed="64"/>
          <bgColor rgb="FFEDFFC4"/>
        </patternFill>
      </fill>
      <alignment horizontal="center" vertical="bottom" textRotation="0" wrapText="0" indent="0" justifyLastLine="0" shrinkToFit="0" readingOrder="0"/>
    </dxf>
    <dxf>
      <numFmt numFmtId="2" formatCode="0.00"/>
      <fill>
        <patternFill patternType="solid">
          <fgColor indexed="64"/>
          <bgColor rgb="FFDDF2B8"/>
        </patternFill>
      </fill>
      <alignment horizontal="center" vertical="bottom" textRotation="0" wrapText="0" indent="0" justifyLastLine="0" shrinkToFit="0" readingOrder="0"/>
    </dxf>
    <dxf>
      <numFmt numFmtId="2" formatCode="0.00"/>
      <fill>
        <patternFill patternType="solid">
          <fgColor indexed="64"/>
          <bgColor rgb="FFEDFFC4"/>
        </patternFill>
      </fill>
      <alignment horizontal="center" vertical="bottom" textRotation="0" wrapText="0" indent="0" justifyLastLine="0" shrinkToFit="0" readingOrder="0"/>
    </dxf>
    <dxf>
      <numFmt numFmtId="2" formatCode="0.00"/>
      <fill>
        <patternFill patternType="solid">
          <fgColor indexed="64"/>
          <bgColor rgb="FFDDF2B8"/>
        </patternFill>
      </fill>
      <alignment horizontal="center" vertical="bottom" textRotation="0" wrapText="0" indent="0" justifyLastLine="0" shrinkToFit="0" readingOrder="0"/>
    </dxf>
    <dxf>
      <numFmt numFmtId="2" formatCode="0.00"/>
      <fill>
        <patternFill patternType="solid">
          <fgColor indexed="64"/>
          <bgColor rgb="FFEDFFC4"/>
        </patternFill>
      </fill>
      <alignment horizontal="center" vertical="bottom" textRotation="0" wrapText="0" indent="0" justifyLastLine="0" shrinkToFit="0" readingOrder="0"/>
    </dxf>
    <dxf>
      <numFmt numFmtId="2" formatCode="0.00"/>
      <fill>
        <patternFill patternType="solid">
          <fgColor indexed="64"/>
          <bgColor rgb="FFDDF2B8"/>
        </patternFill>
      </fill>
      <alignment horizontal="center" vertical="bottom" textRotation="0" wrapText="0" indent="0" justifyLastLine="0" shrinkToFit="0" readingOrder="0"/>
    </dxf>
    <dxf>
      <numFmt numFmtId="2" formatCode="0.00"/>
      <fill>
        <patternFill patternType="solid">
          <fgColor indexed="64"/>
          <bgColor rgb="FFEDFFC4"/>
        </patternFill>
      </fill>
      <alignment horizontal="center" vertical="bottom" textRotation="0" wrapText="0" indent="0" justifyLastLine="0" shrinkToFit="0" readingOrder="0"/>
    </dxf>
    <dxf>
      <numFmt numFmtId="2" formatCode="0.00"/>
      <fill>
        <patternFill patternType="solid">
          <fgColor indexed="64"/>
          <bgColor rgb="FFDDF2B8"/>
        </patternFill>
      </fill>
      <alignment horizontal="center" vertical="bottom" textRotation="0" wrapText="0" indent="0" justifyLastLine="0" shrinkToFit="0" readingOrder="0"/>
      <border diagonalUp="0" diagonalDown="0">
        <left style="medium">
          <color rgb="FF95D600"/>
        </left>
        <right/>
        <top/>
        <bottom/>
        <vertical/>
        <horizontal/>
      </border>
    </dxf>
    <dxf>
      <numFmt numFmtId="4" formatCode="#,##0.00"/>
      <fill>
        <patternFill patternType="solid">
          <fgColor indexed="64"/>
          <bgColor rgb="FFEDFFC4"/>
        </patternFill>
      </fill>
      <alignment horizontal="center" vertical="bottom" textRotation="0" wrapText="0" indent="0" justifyLastLine="0" shrinkToFit="0" readingOrder="0"/>
      <border diagonalUp="0" diagonalDown="0">
        <left/>
        <right style="medium">
          <color rgb="FF95D600"/>
        </right>
        <top/>
        <bottom/>
        <vertical/>
        <horizontal/>
      </border>
    </dxf>
    <dxf>
      <numFmt numFmtId="4" formatCode="#,##0.00"/>
      <fill>
        <patternFill patternType="solid">
          <fgColor indexed="64"/>
          <bgColor rgb="FFDDF2B8"/>
        </patternFill>
      </fill>
      <alignment horizontal="center" vertical="bottom" textRotation="0" wrapText="0" indent="0" justifyLastLine="0" shrinkToFit="0" readingOrder="0"/>
    </dxf>
    <dxf>
      <numFmt numFmtId="4" formatCode="#,##0.00"/>
      <fill>
        <patternFill patternType="solid">
          <fgColor indexed="64"/>
          <bgColor rgb="FFEDFFC4"/>
        </patternFill>
      </fill>
      <alignment horizontal="center" vertical="bottom" textRotation="0" wrapText="0" indent="0" justifyLastLine="0" shrinkToFit="0" readingOrder="0"/>
    </dxf>
    <dxf>
      <numFmt numFmtId="2" formatCode="0.00"/>
      <fill>
        <patternFill patternType="solid">
          <fgColor indexed="64"/>
          <bgColor rgb="FFDDF2B8"/>
        </patternFill>
      </fill>
      <alignment horizontal="center" vertical="bottom" textRotation="0" wrapText="0" indent="0" justifyLastLine="0" shrinkToFit="0" readingOrder="0"/>
    </dxf>
    <dxf>
      <numFmt numFmtId="2" formatCode="0.00"/>
      <fill>
        <patternFill patternType="solid">
          <fgColor indexed="64"/>
          <bgColor rgb="FFEDFFC4"/>
        </patternFill>
      </fill>
      <alignment horizontal="center" vertical="bottom" textRotation="0" wrapText="0" indent="0" justifyLastLine="0" shrinkToFit="0" readingOrder="0"/>
    </dxf>
    <dxf>
      <numFmt numFmtId="2" formatCode="0.00"/>
      <fill>
        <patternFill patternType="solid">
          <fgColor indexed="64"/>
          <bgColor rgb="FFDDF2B8"/>
        </patternFill>
      </fill>
      <alignment horizontal="center" vertical="bottom" textRotation="0" wrapText="0" indent="0" justifyLastLine="0" shrinkToFit="0" readingOrder="0"/>
    </dxf>
    <dxf>
      <numFmt numFmtId="2" formatCode="0.00"/>
      <fill>
        <patternFill patternType="solid">
          <fgColor indexed="64"/>
          <bgColor rgb="FFEDFFC4"/>
        </patternFill>
      </fill>
      <alignment horizontal="center" vertical="bottom" textRotation="0" wrapText="0" indent="0" justifyLastLine="0" shrinkToFit="0" readingOrder="0"/>
    </dxf>
    <dxf>
      <numFmt numFmtId="2" formatCode="0.00"/>
      <fill>
        <patternFill patternType="solid">
          <fgColor indexed="64"/>
          <bgColor rgb="FFDDF2B8"/>
        </patternFill>
      </fill>
      <alignment horizontal="center" vertical="bottom" textRotation="0" wrapText="0" indent="0" justifyLastLine="0" shrinkToFit="0" readingOrder="0"/>
    </dxf>
    <dxf>
      <numFmt numFmtId="2" formatCode="0.00"/>
      <fill>
        <patternFill patternType="solid">
          <fgColor indexed="64"/>
          <bgColor rgb="FFEDFFC4"/>
        </patternFill>
      </fill>
      <alignment horizontal="center" vertical="bottom" textRotation="0" wrapText="0" indent="0" justifyLastLine="0" shrinkToFit="0" readingOrder="0"/>
    </dxf>
    <dxf>
      <numFmt numFmtId="2" formatCode="0.00"/>
      <fill>
        <patternFill patternType="solid">
          <fgColor indexed="64"/>
          <bgColor rgb="FFDDF2B8"/>
        </patternFill>
      </fill>
      <alignment horizontal="center" vertical="bottom" textRotation="0" wrapText="0" indent="0" justifyLastLine="0" shrinkToFit="0" readingOrder="0"/>
      <border diagonalUp="0" diagonalDown="0">
        <left style="medium">
          <color rgb="FF95D600"/>
        </left>
        <right/>
        <top/>
        <bottom/>
        <vertical/>
        <horizontal/>
      </border>
    </dxf>
    <dxf>
      <numFmt numFmtId="4" formatCode="#,##0.00"/>
      <fill>
        <patternFill patternType="solid">
          <fgColor indexed="64"/>
          <bgColor rgb="FFEDFFC4"/>
        </patternFill>
      </fill>
      <alignment horizontal="center" vertical="bottom" textRotation="0" wrapText="0" indent="0" justifyLastLine="0" shrinkToFit="0" readingOrder="0"/>
      <border diagonalUp="0" diagonalDown="0">
        <left/>
        <right style="medium">
          <color rgb="FF95D600"/>
        </right>
        <top/>
        <bottom/>
        <vertical/>
        <horizontal/>
      </border>
    </dxf>
    <dxf>
      <numFmt numFmtId="4" formatCode="#,##0.00"/>
      <fill>
        <patternFill patternType="solid">
          <fgColor indexed="64"/>
          <bgColor rgb="FFDDF2B8"/>
        </patternFill>
      </fill>
      <alignment horizontal="center" vertical="bottom" textRotation="0" wrapText="0" indent="0" justifyLastLine="0" shrinkToFit="0" readingOrder="0"/>
    </dxf>
    <dxf>
      <numFmt numFmtId="4" formatCode="#,##0.00"/>
      <fill>
        <patternFill patternType="solid">
          <fgColor indexed="64"/>
          <bgColor rgb="FFEDFFC4"/>
        </patternFill>
      </fill>
      <alignment horizontal="center" vertical="bottom" textRotation="0" wrapText="0" indent="0" justifyLastLine="0" shrinkToFit="0" readingOrder="0"/>
    </dxf>
    <dxf>
      <numFmt numFmtId="2" formatCode="0.00"/>
      <fill>
        <patternFill patternType="solid">
          <fgColor indexed="64"/>
          <bgColor rgb="FFDDF2B8"/>
        </patternFill>
      </fill>
      <alignment horizontal="center" vertical="bottom" textRotation="0" wrapText="0" indent="0" justifyLastLine="0" shrinkToFit="0" readingOrder="0"/>
    </dxf>
    <dxf>
      <numFmt numFmtId="2" formatCode="0.00"/>
      <fill>
        <patternFill patternType="solid">
          <fgColor indexed="64"/>
          <bgColor rgb="FFEDFFC4"/>
        </patternFill>
      </fill>
      <alignment horizontal="center" vertical="bottom" textRotation="0" wrapText="0" indent="0" justifyLastLine="0" shrinkToFit="0" readingOrder="0"/>
    </dxf>
    <dxf>
      <numFmt numFmtId="2" formatCode="0.00"/>
      <fill>
        <patternFill patternType="solid">
          <fgColor indexed="64"/>
          <bgColor rgb="FFDDF2B8"/>
        </patternFill>
      </fill>
      <alignment horizontal="center" vertical="bottom" textRotation="0" wrapText="0" indent="0" justifyLastLine="0" shrinkToFit="0" readingOrder="0"/>
    </dxf>
    <dxf>
      <numFmt numFmtId="2" formatCode="0.00"/>
      <fill>
        <patternFill patternType="solid">
          <fgColor indexed="64"/>
          <bgColor rgb="FFEDFFC4"/>
        </patternFill>
      </fill>
      <alignment horizontal="center" vertical="bottom" textRotation="0" wrapText="0" indent="0" justifyLastLine="0" shrinkToFit="0" readingOrder="0"/>
    </dxf>
    <dxf>
      <numFmt numFmtId="2" formatCode="0.00"/>
      <fill>
        <patternFill patternType="solid">
          <fgColor indexed="64"/>
          <bgColor rgb="FFDDF2B8"/>
        </patternFill>
      </fill>
      <alignment horizontal="center" vertical="bottom" textRotation="0" wrapText="0" indent="0" justifyLastLine="0" shrinkToFit="0" readingOrder="0"/>
    </dxf>
    <dxf>
      <numFmt numFmtId="2" formatCode="0.00"/>
      <fill>
        <patternFill patternType="solid">
          <fgColor indexed="64"/>
          <bgColor rgb="FFEDFFC4"/>
        </patternFill>
      </fill>
      <alignment horizontal="center" vertical="bottom" textRotation="0" wrapText="0" indent="0" justifyLastLine="0" shrinkToFit="0" readingOrder="0"/>
    </dxf>
    <dxf>
      <numFmt numFmtId="2" formatCode="0.00"/>
      <fill>
        <patternFill patternType="solid">
          <fgColor indexed="64"/>
          <bgColor rgb="FFDDF2B8"/>
        </patternFill>
      </fill>
      <alignment horizontal="center" vertical="bottom" textRotation="0" wrapText="0" indent="0" justifyLastLine="0" shrinkToFit="0" readingOrder="0"/>
      <border diagonalUp="0" diagonalDown="0">
        <left style="medium">
          <color rgb="FF95D600"/>
        </left>
        <right/>
        <top/>
        <bottom/>
        <vertical/>
        <horizontal/>
      </border>
    </dxf>
    <dxf>
      <numFmt numFmtId="2" formatCode="0.00"/>
      <alignment horizontal="center" vertical="top" textRotation="0" wrapText="0" indent="0" justifyLastLine="0" shrinkToFit="0" readingOrder="0"/>
      <border diagonalUp="0" diagonalDown="0">
        <left style="hair">
          <color rgb="FFBBBCBD"/>
        </left>
        <right style="medium">
          <color rgb="FF95D600"/>
        </right>
        <top style="hair">
          <color rgb="FFBBBCBD"/>
        </top>
        <bottom/>
        <vertical style="medium">
          <color rgb="FF95D600"/>
        </vertical>
        <horizontal/>
      </border>
    </dxf>
    <dxf>
      <numFmt numFmtId="172" formatCode="0.0"/>
      <alignment horizontal="center" vertical="top" textRotation="0" wrapText="0" indent="0" justifyLastLine="0" shrinkToFit="0" readingOrder="0"/>
    </dxf>
    <dxf>
      <numFmt numFmtId="172" formatCode="0.0"/>
      <alignment horizontal="center" vertical="top" textRotation="0" wrapText="0" indent="0" justifyLastLine="0" shrinkToFit="0" readingOrder="0"/>
    </dxf>
    <dxf>
      <numFmt numFmtId="172" formatCode="0.0"/>
      <alignment horizontal="center" vertical="top" textRotation="0" wrapText="0" indent="0" justifyLastLine="0" shrinkToFit="0" readingOrder="0"/>
    </dxf>
    <dxf>
      <numFmt numFmtId="172" formatCode="0.0"/>
      <alignment horizontal="center" vertical="top" textRotation="0" wrapText="0" indent="0" justifyLastLine="0" shrinkToFit="0" readingOrder="0"/>
    </dxf>
    <dxf>
      <numFmt numFmtId="172" formatCode="0.0"/>
      <alignment horizontal="center" vertical="top" textRotation="0" wrapText="0" indent="0" justifyLastLine="0" shrinkToFit="0" readingOrder="0"/>
    </dxf>
    <dxf>
      <numFmt numFmtId="171" formatCode="0.000"/>
      <alignment horizontal="center" vertical="top" textRotation="0" wrapText="0" indent="0" justifyLastLine="0" shrinkToFit="0" readingOrder="0"/>
    </dxf>
    <dxf>
      <numFmt numFmtId="171" formatCode="0.000"/>
      <alignment horizontal="center" vertical="top" textRotation="0" wrapText="0" indent="0" justifyLastLine="0" shrinkToFit="0" readingOrder="0"/>
    </dxf>
    <dxf>
      <numFmt numFmtId="1" formatCode="0"/>
      <alignment horizontal="center" vertical="top" textRotation="0" wrapText="0" indent="0" justifyLastLine="0" shrinkToFit="0" readingOrder="0"/>
      <border diagonalUp="0" diagonalDown="0">
        <left style="hair">
          <color rgb="FFBBBCBD"/>
        </left>
        <right style="hair">
          <color rgb="FFBBBCBD"/>
        </right>
        <top style="hair">
          <color rgb="FFBBBCBD"/>
        </top>
        <bottom/>
        <vertical/>
        <horizontal/>
      </border>
    </dxf>
    <dxf>
      <numFmt numFmtId="1" formatCode="0"/>
      <alignment horizontal="center" vertical="top" textRotation="0" wrapText="0" indent="0" justifyLastLine="0" shrinkToFit="0" readingOrder="0"/>
      <border diagonalUp="0" diagonalDown="0">
        <left style="hair">
          <color rgb="FFBBBCBD"/>
        </left>
        <right style="hair">
          <color rgb="FFBBBCBD"/>
        </right>
        <top style="hair">
          <color rgb="FFBBBCBD"/>
        </top>
        <bottom/>
        <vertical/>
        <horizontal/>
      </border>
    </dxf>
    <dxf>
      <numFmt numFmtId="1" formatCode="0"/>
      <alignment horizontal="center" vertical="top" textRotation="0" wrapText="0" indent="0" justifyLastLine="0" shrinkToFit="0" readingOrder="0"/>
    </dxf>
    <dxf>
      <numFmt numFmtId="170" formatCode="&quot;$&quot;#,##0"/>
      <fill>
        <patternFill patternType="none">
          <fgColor indexed="64"/>
          <bgColor indexed="65"/>
        </patternFill>
      </fill>
      <alignment horizontal="center" vertical="top" textRotation="0" wrapText="0" indent="0" justifyLastLine="0" shrinkToFit="0" readingOrder="0"/>
    </dxf>
    <dxf>
      <numFmt numFmtId="170" formatCode="&quot;$&quot;#,##0"/>
      <alignment horizontal="center" vertical="top" textRotation="0" wrapText="0" indent="0" justifyLastLine="0" shrinkToFit="0" readingOrder="0"/>
      <border diagonalUp="0" diagonalDown="0">
        <left/>
        <right style="hair">
          <color rgb="FFBBBCBD"/>
        </right>
        <top style="hair">
          <color rgb="FFBBBCBD"/>
        </top>
        <bottom style="hair">
          <color rgb="FFBBBCBD"/>
        </bottom>
        <vertical/>
        <horizontal/>
      </border>
    </dxf>
    <dxf>
      <numFmt numFmtId="2" formatCode="0.00"/>
      <alignment horizontal="center" vertical="top" textRotation="0" wrapText="0" indent="0" justifyLastLine="0" shrinkToFit="0" readingOrder="0"/>
      <border diagonalUp="0" diagonalDown="0">
        <left style="hair">
          <color rgb="FFBBBCBD"/>
        </left>
        <right style="hair">
          <color rgb="FFBBBCBD"/>
        </right>
        <top style="hair">
          <color rgb="FFBBBCBD"/>
        </top>
        <bottom/>
        <vertical/>
        <horizontal/>
      </border>
    </dxf>
    <dxf>
      <numFmt numFmtId="172" formatCode="0.0"/>
      <alignment horizontal="center" vertical="top" textRotation="0" wrapText="0" indent="0" justifyLastLine="0" shrinkToFit="0" readingOrder="0"/>
    </dxf>
    <dxf>
      <numFmt numFmtId="172" formatCode="0.0"/>
      <alignment horizontal="center" vertical="top" textRotation="0" wrapText="0" indent="0" justifyLastLine="0" shrinkToFit="0" readingOrder="0"/>
    </dxf>
    <dxf>
      <numFmt numFmtId="172" formatCode="0.0"/>
      <alignment horizontal="center" vertical="top" textRotation="0" wrapText="0" indent="0" justifyLastLine="0" shrinkToFit="0" readingOrder="0"/>
    </dxf>
    <dxf>
      <numFmt numFmtId="172" formatCode="0.0"/>
      <alignment horizontal="center" vertical="top" textRotation="0" wrapText="0" indent="0" justifyLastLine="0" shrinkToFit="0" readingOrder="0"/>
    </dxf>
    <dxf>
      <numFmt numFmtId="172" formatCode="0.0"/>
      <alignment horizontal="center" vertical="top" textRotation="0" wrapText="0" indent="0" justifyLastLine="0" shrinkToFit="0" readingOrder="0"/>
    </dxf>
    <dxf>
      <numFmt numFmtId="171" formatCode="0.000"/>
      <alignment horizontal="center" vertical="top" textRotation="0" wrapText="0" indent="0" justifyLastLine="0" shrinkToFit="0" readingOrder="0"/>
    </dxf>
    <dxf>
      <numFmt numFmtId="171" formatCode="0.000"/>
      <alignment horizontal="center" vertical="top" textRotation="0" wrapText="0" indent="0" justifyLastLine="0" shrinkToFit="0" readingOrder="0"/>
    </dxf>
    <dxf>
      <numFmt numFmtId="1" formatCode="0"/>
      <alignment horizontal="center" vertical="top" textRotation="0" wrapText="0" indent="0" justifyLastLine="0" shrinkToFit="0" readingOrder="0"/>
      <border diagonalUp="0" diagonalDown="0">
        <left style="hair">
          <color rgb="FFBBBCBD"/>
        </left>
        <right style="hair">
          <color rgb="FFBBBCBD"/>
        </right>
        <top style="hair">
          <color rgb="FFBBBCBD"/>
        </top>
        <bottom/>
        <vertical/>
        <horizontal/>
      </border>
    </dxf>
    <dxf>
      <numFmt numFmtId="1" formatCode="0"/>
      <alignment horizontal="center" vertical="top" textRotation="0" wrapText="0" indent="0" justifyLastLine="0" shrinkToFit="0" readingOrder="0"/>
      <border diagonalUp="0" diagonalDown="0">
        <left style="hair">
          <color rgb="FFBBBCBD"/>
        </left>
        <right style="hair">
          <color rgb="FFBBBCBD"/>
        </right>
        <top style="hair">
          <color rgb="FFBBBCBD"/>
        </top>
        <bottom/>
        <vertical/>
        <horizontal/>
      </border>
    </dxf>
    <dxf>
      <numFmt numFmtId="1" formatCode="0"/>
      <alignment horizontal="center" vertical="top" textRotation="0" wrapText="0" indent="0" justifyLastLine="0" shrinkToFit="0" readingOrder="0"/>
    </dxf>
    <dxf>
      <numFmt numFmtId="170" formatCode="&quot;$&quot;#,##0"/>
      <alignment horizontal="center" vertical="top" textRotation="0" wrapText="0" indent="0" justifyLastLine="0" shrinkToFit="0" readingOrder="0"/>
    </dxf>
    <dxf>
      <numFmt numFmtId="170" formatCode="&quot;$&quot;#,##0"/>
      <alignment horizontal="center" vertical="top" textRotation="0" wrapText="0" indent="0" justifyLastLine="0" shrinkToFit="0" readingOrder="0"/>
      <border diagonalUp="0" diagonalDown="0">
        <left/>
        <right style="hair">
          <color rgb="FFBBBCBD"/>
        </right>
        <top style="hair">
          <color rgb="FFBBBCBD"/>
        </top>
        <bottom style="hair">
          <color rgb="FFBBBCBD"/>
        </bottom>
        <vertical/>
        <horizontal/>
      </border>
    </dxf>
    <dxf>
      <numFmt numFmtId="172" formatCode="0.0"/>
      <fill>
        <patternFill patternType="solid">
          <fgColor indexed="64"/>
          <bgColor rgb="FFEDFFC4"/>
        </patternFill>
      </fill>
      <alignment horizontal="center" vertical="top" textRotation="0" wrapText="0" indent="0" justifyLastLine="0" shrinkToFit="0" readingOrder="0"/>
      <border diagonalUp="0" diagonalDown="0">
        <left style="hair">
          <color rgb="FFBBBCBD"/>
        </left>
        <right style="thin">
          <color indexed="64"/>
        </right>
        <top style="hair">
          <color rgb="FFBBBCBD"/>
        </top>
        <bottom/>
        <vertical/>
        <horizontal/>
      </border>
    </dxf>
    <dxf>
      <numFmt numFmtId="172" formatCode="0.0"/>
      <alignment horizontal="center" vertical="top" textRotation="0" wrapText="0" indent="0" justifyLastLine="0" shrinkToFit="0" readingOrder="0"/>
      <border diagonalUp="0" diagonalDown="0">
        <left style="hair">
          <color rgb="FFBBBCBD"/>
        </left>
        <right/>
        <top style="hair">
          <color rgb="FFBBBCBD"/>
        </top>
        <bottom/>
        <vertical/>
        <horizontal/>
      </border>
    </dxf>
    <dxf>
      <numFmt numFmtId="172" formatCode="0.0"/>
      <alignment horizontal="center" vertical="top" textRotation="0" wrapText="0" indent="0" justifyLastLine="0" shrinkToFit="0" readingOrder="0"/>
      <border diagonalUp="0" diagonalDown="0">
        <left style="hair">
          <color rgb="FFBBBCBD"/>
        </left>
        <right/>
        <top style="hair">
          <color rgb="FFBBBCBD"/>
        </top>
        <bottom/>
        <vertical/>
        <horizontal/>
      </border>
    </dxf>
    <dxf>
      <numFmt numFmtId="172" formatCode="0.0"/>
      <alignment horizontal="center" vertical="top" textRotation="0" wrapText="0" indent="0" justifyLastLine="0" shrinkToFit="0" readingOrder="0"/>
      <border diagonalUp="0" diagonalDown="0">
        <left style="hair">
          <color rgb="FFBBBCBD"/>
        </left>
        <right style="hair">
          <color rgb="FFBBBCBD"/>
        </right>
        <top style="hair">
          <color rgb="FFBBBCBD"/>
        </top>
        <bottom/>
        <vertical/>
        <horizontal/>
      </border>
    </dxf>
    <dxf>
      <numFmt numFmtId="172" formatCode="0.0"/>
      <fill>
        <patternFill patternType="solid">
          <fgColor indexed="64"/>
          <bgColor rgb="FFEDFFC4"/>
        </patternFill>
      </fill>
      <alignment horizontal="center" vertical="top" textRotation="0" wrapText="0" indent="0" justifyLastLine="0" shrinkToFit="0" readingOrder="0"/>
      <border diagonalUp="0" diagonalDown="0">
        <left style="hair">
          <color rgb="FFBBBCBD"/>
        </left>
        <right style="hair">
          <color rgb="FFBBBCBD"/>
        </right>
        <top style="hair">
          <color rgb="FFBBBCBD"/>
        </top>
        <bottom/>
        <vertical/>
        <horizontal/>
      </border>
    </dxf>
    <dxf>
      <numFmt numFmtId="0" formatCode="General"/>
      <alignment horizontal="center" vertical="top" textRotation="0" wrapText="0" indent="0" justifyLastLine="0" shrinkToFit="0" readingOrder="0"/>
      <border diagonalUp="0" diagonalDown="0">
        <left style="hair">
          <color rgb="FFBBBCBD"/>
        </left>
        <right style="hair">
          <color rgb="FFBBBCBD"/>
        </right>
        <top style="hair">
          <color rgb="FFBBBCBD"/>
        </top>
        <bottom style="hair">
          <color rgb="FFBBBCBD"/>
        </bottom>
        <vertical/>
        <horizontal/>
      </border>
    </dxf>
    <dxf>
      <numFmt numFmtId="171" formatCode="0.000"/>
      <fill>
        <patternFill patternType="none">
          <fgColor indexed="64"/>
          <bgColor indexed="65"/>
        </patternFill>
      </fill>
      <alignment horizontal="center" vertical="top" textRotation="0" wrapText="0" indent="0" justifyLastLine="0" shrinkToFit="0" readingOrder="0"/>
    </dxf>
    <dxf>
      <numFmt numFmtId="171" formatCode="0.000"/>
      <fill>
        <patternFill patternType="none">
          <fgColor indexed="64"/>
          <bgColor indexed="65"/>
        </patternFill>
      </fill>
      <alignment horizontal="center" vertical="top" textRotation="0" wrapText="0" indent="0" justifyLastLine="0" shrinkToFit="0" readingOrder="0"/>
    </dxf>
    <dxf>
      <numFmt numFmtId="3" formatCode="#,##0"/>
      <alignment horizontal="center" vertical="top" textRotation="0" wrapText="0" indent="0" justifyLastLine="0" shrinkToFit="0" readingOrder="0"/>
      <border diagonalUp="0" diagonalDown="0">
        <left style="hair">
          <color rgb="FFBBBCBD"/>
        </left>
        <right style="hair">
          <color rgb="FFBBBCBD"/>
        </right>
        <top style="hair">
          <color rgb="FFBBBCBD"/>
        </top>
        <bottom/>
        <vertical/>
        <horizontal/>
      </border>
    </dxf>
    <dxf>
      <numFmt numFmtId="3" formatCode="#,##0"/>
      <alignment horizontal="center" vertical="top" textRotation="0" wrapText="0" indent="0" justifyLastLine="0" shrinkToFit="0" readingOrder="0"/>
      <border diagonalUp="0" diagonalDown="0">
        <left style="hair">
          <color rgb="FFBBBCBD"/>
        </left>
        <right style="hair">
          <color rgb="FFBBBCBD"/>
        </right>
        <top style="hair">
          <color rgb="FFBBBCBD"/>
        </top>
        <bottom/>
        <vertical/>
        <horizontal/>
      </border>
    </dxf>
    <dxf>
      <numFmt numFmtId="3" formatCode="#,##0"/>
      <alignment horizontal="center" vertical="top" textRotation="0" wrapText="0" indent="0" justifyLastLine="0" shrinkToFit="0" readingOrder="0"/>
    </dxf>
    <dxf>
      <numFmt numFmtId="170" formatCode="&quot;$&quot;#,##0"/>
      <alignment horizontal="center" vertical="top" textRotation="0" wrapText="0" indent="0" justifyLastLine="0" shrinkToFit="0" readingOrder="0"/>
    </dxf>
    <dxf>
      <numFmt numFmtId="170" formatCode="&quot;$&quot;#,##0"/>
      <fill>
        <patternFill patternType="solid">
          <fgColor indexed="64"/>
          <bgColor rgb="FFEDFFC4"/>
        </patternFill>
      </fill>
      <alignment horizontal="center" vertical="top" textRotation="0" wrapText="0" indent="0" justifyLastLine="0" shrinkToFit="0" readingOrder="0"/>
      <border diagonalUp="0" diagonalDown="0">
        <left style="thin">
          <color indexed="64"/>
        </left>
        <right style="hair">
          <color rgb="FFBBBCBD"/>
        </right>
        <top style="hair">
          <color rgb="FFBBBCBD"/>
        </top>
        <bottom/>
        <vertical/>
        <horizontal/>
      </border>
    </dxf>
    <dxf>
      <numFmt numFmtId="4" formatCode="#,##0.00"/>
      <fill>
        <patternFill patternType="solid">
          <fgColor indexed="64"/>
          <bgColor rgb="FFEDFFC4"/>
        </patternFill>
      </fill>
      <border diagonalUp="0" diagonalDown="0">
        <left/>
        <right style="medium">
          <color rgb="FF95D600"/>
        </right>
        <top/>
        <bottom style="hair">
          <color rgb="FFBBBCBD"/>
        </bottom>
        <vertical/>
        <horizontal/>
      </border>
    </dxf>
    <dxf>
      <numFmt numFmtId="4" formatCode="#,##0.00"/>
      <fill>
        <patternFill patternType="solid">
          <fgColor indexed="64"/>
          <bgColor rgb="FFDDF2B8"/>
        </patternFill>
      </fill>
      <border diagonalUp="0" diagonalDown="0">
        <left/>
        <right/>
        <top/>
        <bottom style="hair">
          <color rgb="FFBBBCBD"/>
        </bottom>
        <vertical/>
        <horizontal/>
      </border>
    </dxf>
    <dxf>
      <numFmt numFmtId="4" formatCode="#,##0.00"/>
      <fill>
        <patternFill patternType="solid">
          <fgColor indexed="64"/>
          <bgColor rgb="FFEDFFC4"/>
        </patternFill>
      </fill>
      <border diagonalUp="0" diagonalDown="0">
        <left/>
        <right/>
        <top/>
        <bottom style="hair">
          <color rgb="FFBBBCBD"/>
        </bottom>
        <vertical/>
        <horizontal/>
      </border>
    </dxf>
    <dxf>
      <numFmt numFmtId="2" formatCode="0.00"/>
      <fill>
        <patternFill patternType="solid">
          <fgColor indexed="64"/>
          <bgColor rgb="FFDDF2B8"/>
        </patternFill>
      </fill>
      <border diagonalUp="0" diagonalDown="0">
        <left/>
        <right/>
        <top/>
        <bottom style="hair">
          <color rgb="FFBBBCBD"/>
        </bottom>
        <vertical/>
        <horizontal/>
      </border>
    </dxf>
    <dxf>
      <numFmt numFmtId="2" formatCode="0.00"/>
      <fill>
        <patternFill patternType="solid">
          <fgColor indexed="64"/>
          <bgColor rgb="FFEDFFC4"/>
        </patternFill>
      </fill>
      <border diagonalUp="0" diagonalDown="0">
        <left/>
        <right/>
        <top/>
        <bottom style="hair">
          <color rgb="FFBBBCBD"/>
        </bottom>
        <vertical/>
        <horizontal/>
      </border>
    </dxf>
    <dxf>
      <numFmt numFmtId="2" formatCode="0.00"/>
      <fill>
        <patternFill patternType="solid">
          <fgColor indexed="64"/>
          <bgColor rgb="FFDDF2B8"/>
        </patternFill>
      </fill>
      <border diagonalUp="0" diagonalDown="0">
        <left/>
        <right/>
        <top/>
        <bottom style="hair">
          <color rgb="FFBBBCBD"/>
        </bottom>
        <vertical/>
        <horizontal/>
      </border>
    </dxf>
    <dxf>
      <numFmt numFmtId="2" formatCode="0.00"/>
      <fill>
        <patternFill patternType="solid">
          <fgColor indexed="64"/>
          <bgColor rgb="FFEDFFC4"/>
        </patternFill>
      </fill>
      <border diagonalUp="0" diagonalDown="0">
        <left/>
        <right/>
        <top/>
        <bottom style="hair">
          <color rgb="FFBBBCBD"/>
        </bottom>
        <vertical/>
        <horizontal/>
      </border>
    </dxf>
    <dxf>
      <numFmt numFmtId="2" formatCode="0.00"/>
      <fill>
        <patternFill patternType="solid">
          <fgColor indexed="64"/>
          <bgColor rgb="FFDDF2B8"/>
        </patternFill>
      </fill>
      <border diagonalUp="0" diagonalDown="0">
        <left/>
        <right/>
        <top/>
        <bottom style="hair">
          <color rgb="FFBBBCBD"/>
        </bottom>
        <vertical/>
        <horizontal/>
      </border>
    </dxf>
    <dxf>
      <numFmt numFmtId="2" formatCode="0.00"/>
      <fill>
        <patternFill patternType="solid">
          <fgColor indexed="64"/>
          <bgColor rgb="FFEDFFC4"/>
        </patternFill>
      </fill>
      <border diagonalUp="0" diagonalDown="0">
        <left/>
        <right/>
        <top/>
        <bottom style="hair">
          <color rgb="FFBBBCBD"/>
        </bottom>
        <vertical/>
        <horizontal/>
      </border>
    </dxf>
    <dxf>
      <numFmt numFmtId="2" formatCode="0.00"/>
      <fill>
        <patternFill patternType="solid">
          <fgColor indexed="64"/>
          <bgColor rgb="FFDDF2B8"/>
        </patternFill>
      </fill>
      <border diagonalUp="0" diagonalDown="0">
        <left style="medium">
          <color rgb="FF95D600"/>
        </left>
        <right/>
        <top/>
        <bottom style="hair">
          <color rgb="FFBBBCBD"/>
        </bottom>
        <vertical/>
        <horizontal/>
      </border>
    </dxf>
    <dxf>
      <numFmt numFmtId="4" formatCode="#,##0.00"/>
      <fill>
        <patternFill patternType="solid">
          <fgColor indexed="64"/>
          <bgColor rgb="FFEDFFC4"/>
        </patternFill>
      </fill>
      <border diagonalUp="0" diagonalDown="0">
        <left/>
        <right style="medium">
          <color rgb="FF95D600"/>
        </right>
        <top/>
        <bottom style="hair">
          <color rgb="FFBBBCBD"/>
        </bottom>
        <vertical/>
        <horizontal/>
      </border>
    </dxf>
    <dxf>
      <numFmt numFmtId="4" formatCode="#,##0.00"/>
      <fill>
        <patternFill patternType="solid">
          <fgColor indexed="64"/>
          <bgColor rgb="FFDDF2B8"/>
        </patternFill>
      </fill>
      <border diagonalUp="0" diagonalDown="0">
        <left/>
        <right/>
        <top/>
        <bottom style="hair">
          <color rgb="FFBBBCBD"/>
        </bottom>
        <vertical/>
        <horizontal/>
      </border>
    </dxf>
    <dxf>
      <numFmt numFmtId="4" formatCode="#,##0.00"/>
      <fill>
        <patternFill patternType="solid">
          <fgColor indexed="64"/>
          <bgColor rgb="FFEDFFC4"/>
        </patternFill>
      </fill>
      <border diagonalUp="0" diagonalDown="0">
        <left/>
        <right/>
        <top/>
        <bottom style="hair">
          <color rgb="FFBBBCBD"/>
        </bottom>
        <vertical/>
        <horizontal/>
      </border>
    </dxf>
    <dxf>
      <numFmt numFmtId="2" formatCode="0.00"/>
      <fill>
        <patternFill patternType="solid">
          <fgColor indexed="64"/>
          <bgColor rgb="FFDDF2B8"/>
        </patternFill>
      </fill>
      <border diagonalUp="0" diagonalDown="0">
        <left/>
        <right/>
        <top/>
        <bottom style="hair">
          <color rgb="FFBBBCBD"/>
        </bottom>
        <vertical/>
        <horizontal/>
      </border>
    </dxf>
    <dxf>
      <numFmt numFmtId="2" formatCode="0.00"/>
      <fill>
        <patternFill patternType="solid">
          <fgColor indexed="64"/>
          <bgColor rgb="FFEDFFC4"/>
        </patternFill>
      </fill>
      <border diagonalUp="0" diagonalDown="0">
        <left/>
        <right/>
        <top/>
        <bottom style="hair">
          <color rgb="FFBBBCBD"/>
        </bottom>
        <vertical/>
        <horizontal/>
      </border>
    </dxf>
    <dxf>
      <numFmt numFmtId="2" formatCode="0.00"/>
      <fill>
        <patternFill patternType="solid">
          <fgColor indexed="64"/>
          <bgColor rgb="FFDDF2B8"/>
        </patternFill>
      </fill>
      <border diagonalUp="0" diagonalDown="0">
        <left/>
        <right/>
        <top/>
        <bottom style="hair">
          <color rgb="FFBBBCBD"/>
        </bottom>
        <vertical/>
        <horizontal/>
      </border>
    </dxf>
    <dxf>
      <numFmt numFmtId="2" formatCode="0.00"/>
      <fill>
        <patternFill patternType="solid">
          <fgColor indexed="64"/>
          <bgColor rgb="FFEDFFC4"/>
        </patternFill>
      </fill>
      <border diagonalUp="0" diagonalDown="0">
        <left/>
        <right/>
        <top/>
        <bottom style="hair">
          <color rgb="FFBBBCBD"/>
        </bottom>
        <vertical/>
        <horizontal/>
      </border>
    </dxf>
    <dxf>
      <numFmt numFmtId="2" formatCode="0.00"/>
      <fill>
        <patternFill patternType="solid">
          <fgColor indexed="64"/>
          <bgColor rgb="FFDDF2B8"/>
        </patternFill>
      </fill>
      <border diagonalUp="0" diagonalDown="0">
        <left/>
        <right/>
        <top/>
        <bottom style="hair">
          <color rgb="FFBBBCBD"/>
        </bottom>
        <vertical/>
        <horizontal/>
      </border>
    </dxf>
    <dxf>
      <numFmt numFmtId="2" formatCode="0.00"/>
      <fill>
        <patternFill patternType="solid">
          <fgColor indexed="64"/>
          <bgColor rgb="FFEDFFC4"/>
        </patternFill>
      </fill>
      <border diagonalUp="0" diagonalDown="0">
        <left/>
        <right/>
        <top/>
        <bottom style="hair">
          <color rgb="FFBBBCBD"/>
        </bottom>
        <vertical/>
        <horizontal/>
      </border>
    </dxf>
    <dxf>
      <numFmt numFmtId="2" formatCode="0.00"/>
      <fill>
        <patternFill patternType="solid">
          <fgColor indexed="64"/>
          <bgColor rgb="FFDDF2B8"/>
        </patternFill>
      </fill>
      <border diagonalUp="0" diagonalDown="0">
        <left style="medium">
          <color rgb="FF95D600"/>
        </left>
        <right/>
        <top/>
        <bottom style="hair">
          <color rgb="FFBBBCBD"/>
        </bottom>
        <vertical/>
        <horizontal/>
      </border>
    </dxf>
    <dxf>
      <numFmt numFmtId="4" formatCode="#,##0.00"/>
      <fill>
        <patternFill patternType="solid">
          <fgColor indexed="64"/>
          <bgColor rgb="FFEDFFC4"/>
        </patternFill>
      </fill>
      <alignment horizontal="center" vertical="bottom" textRotation="0" wrapText="0" indent="0" justifyLastLine="0" shrinkToFit="0" readingOrder="0"/>
      <border diagonalUp="0" diagonalDown="0">
        <left/>
        <right style="medium">
          <color rgb="FF95D600"/>
        </right>
        <top/>
        <bottom style="hair">
          <color rgb="FFBBBCBD"/>
        </bottom>
        <vertical/>
        <horizontal/>
      </border>
    </dxf>
    <dxf>
      <numFmt numFmtId="4" formatCode="#,##0.00"/>
      <fill>
        <patternFill patternType="solid">
          <fgColor indexed="64"/>
          <bgColor rgb="FFDDF2B8"/>
        </patternFill>
      </fill>
      <alignment horizontal="center" vertical="bottom" textRotation="0" wrapText="0" indent="0" justifyLastLine="0" shrinkToFit="0" readingOrder="0"/>
      <border diagonalUp="0" diagonalDown="0">
        <left/>
        <right/>
        <top/>
        <bottom style="hair">
          <color rgb="FFBBBCBD"/>
        </bottom>
        <vertical/>
        <horizontal/>
      </border>
    </dxf>
    <dxf>
      <numFmt numFmtId="4" formatCode="#,##0.00"/>
      <fill>
        <patternFill patternType="solid">
          <fgColor indexed="64"/>
          <bgColor rgb="FFEDFFC4"/>
        </patternFill>
      </fill>
      <alignment horizontal="center" vertical="bottom" textRotation="0" wrapText="0" indent="0" justifyLastLine="0" shrinkToFit="0" readingOrder="0"/>
      <border diagonalUp="0" diagonalDown="0">
        <left/>
        <right/>
        <top/>
        <bottom style="hair">
          <color rgb="FFBBBCBD"/>
        </bottom>
        <vertical/>
        <horizontal/>
      </border>
    </dxf>
    <dxf>
      <numFmt numFmtId="2" formatCode="0.00"/>
      <fill>
        <patternFill patternType="solid">
          <fgColor indexed="64"/>
          <bgColor rgb="FFDDF2B8"/>
        </patternFill>
      </fill>
      <alignment horizontal="center" vertical="bottom" textRotation="0" wrapText="0" indent="0" justifyLastLine="0" shrinkToFit="0" readingOrder="0"/>
      <border diagonalUp="0" diagonalDown="0">
        <left/>
        <right/>
        <top/>
        <bottom style="hair">
          <color rgb="FFBBBCBD"/>
        </bottom>
        <vertical/>
        <horizontal/>
      </border>
    </dxf>
    <dxf>
      <numFmt numFmtId="2" formatCode="0.00"/>
      <fill>
        <patternFill patternType="solid">
          <fgColor indexed="64"/>
          <bgColor rgb="FFEDFFC4"/>
        </patternFill>
      </fill>
      <alignment horizontal="center" vertical="bottom" textRotation="0" wrapText="0" indent="0" justifyLastLine="0" shrinkToFit="0" readingOrder="0"/>
      <border diagonalUp="0" diagonalDown="0">
        <left/>
        <right/>
        <top/>
        <bottom style="hair">
          <color rgb="FFBBBCBD"/>
        </bottom>
        <vertical/>
        <horizontal/>
      </border>
    </dxf>
    <dxf>
      <numFmt numFmtId="2" formatCode="0.00"/>
      <fill>
        <patternFill patternType="solid">
          <fgColor indexed="64"/>
          <bgColor rgb="FFDDF2B8"/>
        </patternFill>
      </fill>
      <alignment horizontal="center" vertical="bottom" textRotation="0" wrapText="0" indent="0" justifyLastLine="0" shrinkToFit="0" readingOrder="0"/>
      <border diagonalUp="0" diagonalDown="0">
        <left/>
        <right/>
        <top/>
        <bottom style="hair">
          <color rgb="FFBBBCBD"/>
        </bottom>
        <vertical/>
        <horizontal/>
      </border>
    </dxf>
    <dxf>
      <numFmt numFmtId="2" formatCode="0.00"/>
      <fill>
        <patternFill patternType="solid">
          <fgColor indexed="64"/>
          <bgColor rgb="FFEDFFC4"/>
        </patternFill>
      </fill>
      <alignment horizontal="center" vertical="bottom" textRotation="0" wrapText="0" indent="0" justifyLastLine="0" shrinkToFit="0" readingOrder="0"/>
      <border diagonalUp="0" diagonalDown="0">
        <left/>
        <right/>
        <top/>
        <bottom style="hair">
          <color rgb="FFBBBCBD"/>
        </bottom>
        <vertical/>
        <horizontal/>
      </border>
    </dxf>
    <dxf>
      <numFmt numFmtId="2" formatCode="0.00"/>
      <fill>
        <patternFill patternType="solid">
          <fgColor indexed="64"/>
          <bgColor rgb="FFDDF2B8"/>
        </patternFill>
      </fill>
      <alignment horizontal="center" vertical="bottom" textRotation="0" wrapText="0" indent="0" justifyLastLine="0" shrinkToFit="0" readingOrder="0"/>
      <border diagonalUp="0" diagonalDown="0">
        <left/>
        <right/>
        <top/>
        <bottom style="hair">
          <color rgb="FFBBBCBD"/>
        </bottom>
        <vertical/>
        <horizontal/>
      </border>
    </dxf>
    <dxf>
      <numFmt numFmtId="2" formatCode="0.00"/>
      <fill>
        <patternFill patternType="solid">
          <fgColor indexed="64"/>
          <bgColor rgb="FFEDFFC4"/>
        </patternFill>
      </fill>
      <alignment horizontal="center" vertical="bottom" textRotation="0" wrapText="0" indent="0" justifyLastLine="0" shrinkToFit="0" readingOrder="0"/>
      <border diagonalUp="0" diagonalDown="0">
        <left/>
        <right/>
        <top/>
        <bottom style="hair">
          <color rgb="FFBBBCBD"/>
        </bottom>
        <vertical/>
        <horizontal/>
      </border>
    </dxf>
    <dxf>
      <numFmt numFmtId="2" formatCode="0.00"/>
      <fill>
        <patternFill patternType="solid">
          <fgColor indexed="64"/>
          <bgColor rgb="FFDDF2B8"/>
        </patternFill>
      </fill>
      <alignment horizontal="center" vertical="bottom" textRotation="0" wrapText="0" indent="0" justifyLastLine="0" shrinkToFit="0" readingOrder="0"/>
      <border diagonalUp="0" diagonalDown="0">
        <left style="medium">
          <color rgb="FF95D600"/>
        </left>
        <right/>
        <top/>
        <bottom style="hair">
          <color rgb="FFBBBCBD"/>
        </bottom>
        <vertical/>
        <horizontal/>
      </border>
    </dxf>
    <dxf>
      <numFmt numFmtId="4" formatCode="#,##0.00"/>
      <fill>
        <patternFill patternType="solid">
          <fgColor indexed="64"/>
          <bgColor rgb="FFEDFFC4"/>
        </patternFill>
      </fill>
      <alignment horizontal="center" vertical="bottom" textRotation="0" wrapText="0" indent="0" justifyLastLine="0" shrinkToFit="0" readingOrder="0"/>
      <border diagonalUp="0" diagonalDown="0">
        <left/>
        <right style="medium">
          <color rgb="FF95D600"/>
        </right>
        <top/>
        <bottom style="hair">
          <color rgb="FFBBBCBD"/>
        </bottom>
        <vertical/>
        <horizontal/>
      </border>
    </dxf>
    <dxf>
      <numFmt numFmtId="4" formatCode="#,##0.00"/>
      <fill>
        <patternFill patternType="solid">
          <fgColor indexed="64"/>
          <bgColor rgb="FFDDF2B8"/>
        </patternFill>
      </fill>
      <alignment horizontal="center" vertical="bottom" textRotation="0" wrapText="0" indent="0" justifyLastLine="0" shrinkToFit="0" readingOrder="0"/>
      <border diagonalUp="0" diagonalDown="0">
        <left/>
        <right/>
        <top/>
        <bottom style="hair">
          <color rgb="FFBBBCBD"/>
        </bottom>
        <vertical/>
        <horizontal/>
      </border>
    </dxf>
    <dxf>
      <numFmt numFmtId="4" formatCode="#,##0.00"/>
      <fill>
        <patternFill patternType="solid">
          <fgColor indexed="64"/>
          <bgColor rgb="FFEDFFC4"/>
        </patternFill>
      </fill>
      <alignment horizontal="center" vertical="bottom" textRotation="0" wrapText="0" indent="0" justifyLastLine="0" shrinkToFit="0" readingOrder="0"/>
      <border diagonalUp="0" diagonalDown="0">
        <left/>
        <right/>
        <top/>
        <bottom style="hair">
          <color rgb="FFBBBCBD"/>
        </bottom>
        <vertical/>
        <horizontal/>
      </border>
    </dxf>
    <dxf>
      <numFmt numFmtId="2" formatCode="0.00"/>
      <fill>
        <patternFill patternType="solid">
          <fgColor indexed="64"/>
          <bgColor rgb="FFDDF2B8"/>
        </patternFill>
      </fill>
      <alignment horizontal="center" vertical="bottom" textRotation="0" wrapText="0" indent="0" justifyLastLine="0" shrinkToFit="0" readingOrder="0"/>
      <border diagonalUp="0" diagonalDown="0">
        <left/>
        <right/>
        <top/>
        <bottom style="hair">
          <color rgb="FFBBBCBD"/>
        </bottom>
        <vertical/>
        <horizontal/>
      </border>
    </dxf>
    <dxf>
      <numFmt numFmtId="2" formatCode="0.00"/>
      <fill>
        <patternFill patternType="solid">
          <fgColor indexed="64"/>
          <bgColor rgb="FFEDFFC4"/>
        </patternFill>
      </fill>
      <alignment horizontal="center" vertical="bottom" textRotation="0" wrapText="0" indent="0" justifyLastLine="0" shrinkToFit="0" readingOrder="0"/>
      <border diagonalUp="0" diagonalDown="0">
        <left/>
        <right/>
        <top/>
        <bottom style="hair">
          <color rgb="FFBBBCBD"/>
        </bottom>
        <vertical/>
        <horizontal/>
      </border>
    </dxf>
    <dxf>
      <numFmt numFmtId="2" formatCode="0.00"/>
      <fill>
        <patternFill patternType="solid">
          <fgColor indexed="64"/>
          <bgColor rgb="FFDDF2B8"/>
        </patternFill>
      </fill>
      <alignment horizontal="center" vertical="bottom" textRotation="0" wrapText="0" indent="0" justifyLastLine="0" shrinkToFit="0" readingOrder="0"/>
      <border diagonalUp="0" diagonalDown="0">
        <left/>
        <right/>
        <top/>
        <bottom style="hair">
          <color rgb="FFBBBCBD"/>
        </bottom>
        <vertical/>
        <horizontal/>
      </border>
    </dxf>
    <dxf>
      <numFmt numFmtId="2" formatCode="0.00"/>
      <fill>
        <patternFill patternType="solid">
          <fgColor indexed="64"/>
          <bgColor rgb="FFEDFFC4"/>
        </patternFill>
      </fill>
      <alignment horizontal="center" vertical="bottom" textRotation="0" wrapText="0" indent="0" justifyLastLine="0" shrinkToFit="0" readingOrder="0"/>
      <border diagonalUp="0" diagonalDown="0">
        <left/>
        <right/>
        <top/>
        <bottom style="hair">
          <color rgb="FFBBBCBD"/>
        </bottom>
        <vertical/>
        <horizontal/>
      </border>
    </dxf>
    <dxf>
      <numFmt numFmtId="2" formatCode="0.00"/>
      <fill>
        <patternFill patternType="solid">
          <fgColor indexed="64"/>
          <bgColor rgb="FFDDF2B8"/>
        </patternFill>
      </fill>
      <alignment horizontal="center" vertical="bottom" textRotation="0" wrapText="0" indent="0" justifyLastLine="0" shrinkToFit="0" readingOrder="0"/>
      <border diagonalUp="0" diagonalDown="0">
        <left/>
        <right/>
        <top/>
        <bottom style="hair">
          <color rgb="FFBBBCBD"/>
        </bottom>
        <vertical/>
        <horizontal/>
      </border>
    </dxf>
    <dxf>
      <numFmt numFmtId="2" formatCode="0.00"/>
      <fill>
        <patternFill patternType="solid">
          <fgColor indexed="64"/>
          <bgColor rgb="FFEDFFC4"/>
        </patternFill>
      </fill>
      <alignment horizontal="center" vertical="bottom" textRotation="0" wrapText="0" indent="0" justifyLastLine="0" shrinkToFit="0" readingOrder="0"/>
      <border diagonalUp="0" diagonalDown="0">
        <left/>
        <right/>
        <top/>
        <bottom style="hair">
          <color rgb="FFBBBCBD"/>
        </bottom>
        <vertical/>
        <horizontal/>
      </border>
    </dxf>
    <dxf>
      <numFmt numFmtId="2" formatCode="0.00"/>
      <fill>
        <patternFill patternType="solid">
          <fgColor indexed="64"/>
          <bgColor rgb="FFDDF2B8"/>
        </patternFill>
      </fill>
      <alignment horizontal="center" vertical="bottom" textRotation="0" wrapText="0" indent="0" justifyLastLine="0" shrinkToFit="0" readingOrder="0"/>
      <border diagonalUp="0" diagonalDown="0">
        <left style="medium">
          <color rgb="FF95D600"/>
        </left>
        <right/>
        <top/>
        <bottom style="hair">
          <color rgb="FFBBBCBD"/>
        </bottom>
        <vertical/>
        <horizontal/>
      </border>
    </dxf>
    <dxf>
      <numFmt numFmtId="4" formatCode="#,##0.00"/>
      <fill>
        <patternFill patternType="solid">
          <fgColor indexed="64"/>
          <bgColor rgb="FFEDFFC4"/>
        </patternFill>
      </fill>
      <alignment horizontal="center" vertical="bottom" textRotation="0" wrapText="0" indent="0" justifyLastLine="0" shrinkToFit="0" readingOrder="0"/>
      <border diagonalUp="0" diagonalDown="0" outline="0">
        <left/>
        <right/>
        <top/>
        <bottom style="hair">
          <color rgb="FFBBBCBD"/>
        </bottom>
      </border>
    </dxf>
    <dxf>
      <numFmt numFmtId="4" formatCode="#,##0.00"/>
      <alignment horizontal="center" vertical="bottom" textRotation="0" wrapText="0" indent="0" justifyLastLine="0" shrinkToFit="0" readingOrder="0"/>
    </dxf>
    <dxf>
      <numFmt numFmtId="4" formatCode="#,##0.00"/>
      <fill>
        <patternFill patternType="solid">
          <fgColor indexed="64"/>
          <bgColor rgb="FFEDFFC4"/>
        </patternFill>
      </fill>
      <alignment horizontal="center" vertical="bottom" textRotation="0" wrapText="0" indent="0" justifyLastLine="0" shrinkToFit="0" readingOrder="0"/>
      <border diagonalUp="0" diagonalDown="0" outline="0">
        <left/>
        <right/>
        <top/>
        <bottom style="hair">
          <color rgb="FFBBBCBD"/>
        </bottom>
      </border>
    </dxf>
    <dxf>
      <numFmt numFmtId="2" formatCode="0.00"/>
      <alignment horizontal="center" vertical="bottom" textRotation="0" wrapText="0" indent="0" justifyLastLine="0" shrinkToFit="0" readingOrder="0"/>
    </dxf>
    <dxf>
      <numFmt numFmtId="2" formatCode="0.00"/>
      <fill>
        <patternFill patternType="solid">
          <fgColor indexed="64"/>
          <bgColor rgb="FFEDFFC4"/>
        </patternFill>
      </fill>
      <alignment horizontal="center" vertical="bottom" textRotation="0" wrapText="0" indent="0" justifyLastLine="0" shrinkToFit="0" readingOrder="0"/>
      <border diagonalUp="0" diagonalDown="0" outline="0">
        <left/>
        <right/>
        <top/>
        <bottom style="hair">
          <color rgb="FFBBBCBD"/>
        </bottom>
      </border>
    </dxf>
    <dxf>
      <numFmt numFmtId="2" formatCode="0.00"/>
      <alignment horizontal="center" vertical="bottom" textRotation="0" wrapText="0" indent="0" justifyLastLine="0" shrinkToFit="0" readingOrder="0"/>
    </dxf>
    <dxf>
      <numFmt numFmtId="2" formatCode="0.00"/>
      <fill>
        <patternFill patternType="solid">
          <fgColor indexed="64"/>
          <bgColor rgb="FFEDFFC4"/>
        </patternFill>
      </fill>
      <alignment horizontal="center" vertical="bottom" textRotation="0" wrapText="0" indent="0" justifyLastLine="0" shrinkToFit="0" readingOrder="0"/>
      <border diagonalUp="0" diagonalDown="0" outline="0">
        <left/>
        <right/>
        <top/>
        <bottom style="hair">
          <color rgb="FFBBBCBD"/>
        </bottom>
      </border>
    </dxf>
    <dxf>
      <numFmt numFmtId="2" formatCode="0.00"/>
      <alignment horizontal="center" vertical="bottom" textRotation="0" wrapText="0" indent="0" justifyLastLine="0" shrinkToFit="0" readingOrder="0"/>
    </dxf>
    <dxf>
      <numFmt numFmtId="2" formatCode="0.00"/>
      <fill>
        <patternFill patternType="solid">
          <fgColor indexed="64"/>
          <bgColor rgb="FFEDFFC4"/>
        </patternFill>
      </fill>
      <alignment horizontal="center" vertical="bottom" textRotation="0" wrapText="0" indent="0" justifyLastLine="0" shrinkToFit="0" readingOrder="0"/>
      <border diagonalUp="0" diagonalDown="0" outline="0">
        <left/>
        <right/>
        <top/>
        <bottom style="hair">
          <color rgb="FFBBBCBD"/>
        </bottom>
      </border>
    </dxf>
    <dxf>
      <numFmt numFmtId="2" formatCode="0.00"/>
      <alignment horizontal="center" vertical="bottom" textRotation="0" wrapText="0" indent="0" justifyLastLine="0" shrinkToFit="0" readingOrder="0"/>
      <border diagonalUp="0" diagonalDown="0">
        <left style="medium">
          <color rgb="FF95D600"/>
        </left>
        <right style="hair">
          <color rgb="FFBBBCBD"/>
        </right>
        <top style="hair">
          <color rgb="FFBBBCBD"/>
        </top>
        <bottom style="hair">
          <color rgb="FFBBBCBD"/>
        </bottom>
        <vertical/>
        <horizontal style="hair">
          <color rgb="FFBBBCBD"/>
        </horizontal>
      </border>
    </dxf>
    <dxf>
      <numFmt numFmtId="4" formatCode="#,##0.00"/>
      <fill>
        <patternFill patternType="solid">
          <fgColor indexed="64"/>
          <bgColor rgb="FFEDFFC4"/>
        </patternFill>
      </fill>
      <alignment horizontal="center" vertical="bottom" textRotation="0" wrapText="0" indent="0" justifyLastLine="0" shrinkToFit="0" readingOrder="0"/>
      <border diagonalUp="0" diagonalDown="0" outline="0">
        <left/>
        <right/>
        <top/>
        <bottom style="hair">
          <color rgb="FFBBBCBD"/>
        </bottom>
      </border>
    </dxf>
    <dxf>
      <numFmt numFmtId="4" formatCode="#,##0.00"/>
      <alignment horizontal="center" vertical="bottom" textRotation="0" wrapText="0" indent="0" justifyLastLine="0" shrinkToFit="0" readingOrder="0"/>
    </dxf>
    <dxf>
      <numFmt numFmtId="4" formatCode="#,##0.00"/>
      <fill>
        <patternFill patternType="solid">
          <fgColor indexed="64"/>
          <bgColor rgb="FFEDFFC4"/>
        </patternFill>
      </fill>
      <alignment horizontal="center" vertical="bottom" textRotation="0" wrapText="0" indent="0" justifyLastLine="0" shrinkToFit="0" readingOrder="0"/>
      <border diagonalUp="0" diagonalDown="0" outline="0">
        <left/>
        <right/>
        <top/>
        <bottom style="hair">
          <color rgb="FFBBBCBD"/>
        </bottom>
      </border>
    </dxf>
    <dxf>
      <numFmt numFmtId="2" formatCode="0.00"/>
      <alignment horizontal="center" vertical="bottom" textRotation="0" wrapText="0" indent="0" justifyLastLine="0" shrinkToFit="0" readingOrder="0"/>
    </dxf>
    <dxf>
      <numFmt numFmtId="2" formatCode="0.00"/>
      <fill>
        <patternFill patternType="solid">
          <fgColor indexed="64"/>
          <bgColor rgb="FFEDFFC4"/>
        </patternFill>
      </fill>
      <alignment horizontal="center" vertical="bottom" textRotation="0" wrapText="0" indent="0" justifyLastLine="0" shrinkToFit="0" readingOrder="0"/>
      <border diagonalUp="0" diagonalDown="0" outline="0">
        <left/>
        <right/>
        <top/>
        <bottom style="hair">
          <color rgb="FFBBBCBD"/>
        </bottom>
      </border>
    </dxf>
    <dxf>
      <numFmt numFmtId="2" formatCode="0.00"/>
      <alignment horizontal="center" vertical="bottom" textRotation="0" wrapText="0" indent="0" justifyLastLine="0" shrinkToFit="0" readingOrder="0"/>
    </dxf>
    <dxf>
      <numFmt numFmtId="2" formatCode="0.00"/>
      <fill>
        <patternFill patternType="solid">
          <fgColor indexed="64"/>
          <bgColor rgb="FFEDFFC4"/>
        </patternFill>
      </fill>
      <alignment horizontal="center" vertical="bottom" textRotation="0" wrapText="0" indent="0" justifyLastLine="0" shrinkToFit="0" readingOrder="0"/>
      <border diagonalUp="0" diagonalDown="0" outline="0">
        <left/>
        <right/>
        <top/>
        <bottom style="hair">
          <color rgb="FFBBBCBD"/>
        </bottom>
      </border>
    </dxf>
    <dxf>
      <numFmt numFmtId="2" formatCode="0.00"/>
      <alignment horizontal="center" vertical="bottom" textRotation="0" wrapText="0" indent="0" justifyLastLine="0" shrinkToFit="0" readingOrder="0"/>
    </dxf>
    <dxf>
      <numFmt numFmtId="2" formatCode="0.00"/>
      <fill>
        <patternFill patternType="solid">
          <fgColor indexed="64"/>
          <bgColor rgb="FFEDFFC4"/>
        </patternFill>
      </fill>
      <alignment horizontal="center" vertical="bottom" textRotation="0" wrapText="0" indent="0" justifyLastLine="0" shrinkToFit="0" readingOrder="0"/>
      <border diagonalUp="0" diagonalDown="0" outline="0">
        <left/>
        <right/>
        <top/>
        <bottom style="hair">
          <color rgb="FFBBBCBD"/>
        </bottom>
      </border>
    </dxf>
    <dxf>
      <numFmt numFmtId="2" formatCode="0.00"/>
      <alignment horizontal="center" vertical="bottom" textRotation="0" wrapText="0" indent="0" justifyLastLine="0" shrinkToFit="0" readingOrder="0"/>
    </dxf>
    <dxf>
      <numFmt numFmtId="4" formatCode="#,##0.00"/>
      <fill>
        <patternFill patternType="solid">
          <fgColor indexed="64"/>
          <bgColor rgb="FFEDFFC4"/>
        </patternFill>
      </fill>
      <alignment horizontal="center" vertical="bottom" textRotation="0" wrapText="0" indent="0" justifyLastLine="0" shrinkToFit="0" readingOrder="0"/>
    </dxf>
    <dxf>
      <numFmt numFmtId="4" formatCode="#,##0.00"/>
      <fill>
        <patternFill patternType="solid">
          <fgColor indexed="64"/>
          <bgColor rgb="FFDDF2B8"/>
        </patternFill>
      </fill>
      <alignment horizontal="center" vertical="bottom" textRotation="0" wrapText="0" indent="0" justifyLastLine="0" shrinkToFit="0" readingOrder="0"/>
    </dxf>
    <dxf>
      <numFmt numFmtId="4" formatCode="#,##0.00"/>
      <fill>
        <patternFill patternType="solid">
          <fgColor indexed="64"/>
          <bgColor rgb="FFEDFFC4"/>
        </patternFill>
      </fill>
      <alignment horizontal="center" vertical="bottom" textRotation="0" wrapText="0" indent="0" justifyLastLine="0" shrinkToFit="0" readingOrder="0"/>
    </dxf>
    <dxf>
      <numFmt numFmtId="2" formatCode="0.00"/>
      <fill>
        <patternFill patternType="solid">
          <fgColor indexed="64"/>
          <bgColor rgb="FFDDF2B8"/>
        </patternFill>
      </fill>
      <alignment horizontal="center" vertical="bottom" textRotation="0" wrapText="0" indent="0" justifyLastLine="0" shrinkToFit="0" readingOrder="0"/>
    </dxf>
    <dxf>
      <numFmt numFmtId="2" formatCode="0.00"/>
      <fill>
        <patternFill patternType="solid">
          <fgColor indexed="64"/>
          <bgColor rgb="FFEDFFC4"/>
        </patternFill>
      </fill>
      <alignment horizontal="center" vertical="bottom" textRotation="0" wrapText="0" indent="0" justifyLastLine="0" shrinkToFit="0" readingOrder="0"/>
    </dxf>
    <dxf>
      <numFmt numFmtId="2" formatCode="0.00"/>
      <fill>
        <patternFill patternType="solid">
          <fgColor indexed="64"/>
          <bgColor rgb="FFDDF2B8"/>
        </patternFill>
      </fill>
      <alignment horizontal="center" vertical="bottom" textRotation="0" wrapText="0" indent="0" justifyLastLine="0" shrinkToFit="0" readingOrder="0"/>
    </dxf>
    <dxf>
      <numFmt numFmtId="2" formatCode="0.00"/>
      <fill>
        <patternFill patternType="solid">
          <fgColor indexed="64"/>
          <bgColor rgb="FFEDFFC4"/>
        </patternFill>
      </fill>
      <alignment horizontal="center" vertical="bottom" textRotation="0" wrapText="0" indent="0" justifyLastLine="0" shrinkToFit="0" readingOrder="0"/>
    </dxf>
    <dxf>
      <numFmt numFmtId="2" formatCode="0.00"/>
      <fill>
        <patternFill patternType="solid">
          <fgColor indexed="64"/>
          <bgColor rgb="FFDDF2B8"/>
        </patternFill>
      </fill>
      <alignment horizontal="center" vertical="bottom" textRotation="0" wrapText="0" indent="0" justifyLastLine="0" shrinkToFit="0" readingOrder="0"/>
    </dxf>
    <dxf>
      <numFmt numFmtId="2" formatCode="0.00"/>
      <fill>
        <patternFill patternType="solid">
          <fgColor indexed="64"/>
          <bgColor rgb="FFEDFFC4"/>
        </patternFill>
      </fill>
      <alignment horizontal="center" vertical="bottom" textRotation="0" wrapText="0" indent="0" justifyLastLine="0" shrinkToFit="0" readingOrder="0"/>
    </dxf>
    <dxf>
      <numFmt numFmtId="2" formatCode="0.00"/>
      <fill>
        <patternFill patternType="solid">
          <fgColor indexed="64"/>
          <bgColor rgb="FFDDF2B8"/>
        </patternFill>
      </fill>
      <alignment horizontal="center" vertical="bottom" textRotation="0" wrapText="0" indent="0" justifyLastLine="0" shrinkToFit="0" readingOrder="0"/>
      <border diagonalUp="0" diagonalDown="0" outline="0">
        <left style="medium">
          <color rgb="FF95D600"/>
        </left>
        <right/>
      </border>
    </dxf>
    <dxf>
      <numFmt numFmtId="4" formatCode="#,##0.00"/>
      <fill>
        <patternFill patternType="solid">
          <fgColor indexed="64"/>
          <bgColor rgb="FFEDFFC4"/>
        </patternFill>
      </fill>
      <alignment horizontal="center" vertical="bottom" textRotation="0" wrapText="0" indent="0" justifyLastLine="0" shrinkToFit="0" readingOrder="0"/>
      <border diagonalUp="0" diagonalDown="0" outline="0">
        <left/>
        <right style="medium">
          <color rgb="FF95D600"/>
        </right>
      </border>
    </dxf>
    <dxf>
      <numFmt numFmtId="4" formatCode="#,##0.00"/>
      <fill>
        <patternFill patternType="solid">
          <fgColor indexed="64"/>
          <bgColor rgb="FFDDF2B8"/>
        </patternFill>
      </fill>
      <alignment horizontal="center" vertical="bottom" textRotation="0" wrapText="0" indent="0" justifyLastLine="0" shrinkToFit="0" readingOrder="0"/>
    </dxf>
    <dxf>
      <numFmt numFmtId="4" formatCode="#,##0.00"/>
      <fill>
        <patternFill patternType="solid">
          <fgColor indexed="64"/>
          <bgColor rgb="FFEDFFC4"/>
        </patternFill>
      </fill>
      <alignment horizontal="center" vertical="bottom" textRotation="0" wrapText="0" indent="0" justifyLastLine="0" shrinkToFit="0" readingOrder="0"/>
    </dxf>
    <dxf>
      <numFmt numFmtId="2" formatCode="0.00"/>
      <fill>
        <patternFill patternType="solid">
          <fgColor indexed="64"/>
          <bgColor rgb="FFDDF2B8"/>
        </patternFill>
      </fill>
      <alignment horizontal="center" vertical="bottom" textRotation="0" wrapText="0" indent="0" justifyLastLine="0" shrinkToFit="0" readingOrder="0"/>
    </dxf>
    <dxf>
      <numFmt numFmtId="2" formatCode="0.00"/>
      <fill>
        <patternFill patternType="solid">
          <fgColor indexed="64"/>
          <bgColor rgb="FFEDFFC4"/>
        </patternFill>
      </fill>
      <alignment horizontal="center" vertical="bottom" textRotation="0" wrapText="0" indent="0" justifyLastLine="0" shrinkToFit="0" readingOrder="0"/>
    </dxf>
    <dxf>
      <numFmt numFmtId="2" formatCode="0.00"/>
      <fill>
        <patternFill patternType="solid">
          <fgColor indexed="64"/>
          <bgColor rgb="FFDDF2B8"/>
        </patternFill>
      </fill>
      <alignment horizontal="center" vertical="bottom" textRotation="0" wrapText="0" indent="0" justifyLastLine="0" shrinkToFit="0" readingOrder="0"/>
    </dxf>
    <dxf>
      <numFmt numFmtId="2" formatCode="0.00"/>
      <fill>
        <patternFill patternType="solid">
          <fgColor indexed="64"/>
          <bgColor rgb="FFEDFFC4"/>
        </patternFill>
      </fill>
      <alignment horizontal="center" vertical="bottom" textRotation="0" wrapText="0" indent="0" justifyLastLine="0" shrinkToFit="0" readingOrder="0"/>
    </dxf>
    <dxf>
      <numFmt numFmtId="2" formatCode="0.00"/>
      <fill>
        <patternFill patternType="solid">
          <fgColor indexed="64"/>
          <bgColor rgb="FFDDF2B8"/>
        </patternFill>
      </fill>
      <alignment horizontal="center" vertical="bottom" textRotation="0" wrapText="0" indent="0" justifyLastLine="0" shrinkToFit="0" readingOrder="0"/>
    </dxf>
    <dxf>
      <numFmt numFmtId="2" formatCode="0.00"/>
      <alignment horizontal="center" vertical="top" textRotation="0" wrapText="0" indent="0" justifyLastLine="0" shrinkToFit="0" readingOrder="0"/>
      <border diagonalUp="0" diagonalDown="0">
        <left/>
        <right/>
        <top/>
        <bottom style="hair">
          <color rgb="FFBBBCBD"/>
        </bottom>
        <vertical/>
        <horizontal/>
      </border>
    </dxf>
    <dxf>
      <numFmt numFmtId="2" formatCode="0.00"/>
      <alignment horizontal="center" vertical="top" textRotation="0" wrapText="0" indent="0" justifyLastLine="0" shrinkToFit="0" readingOrder="0"/>
      <border diagonalUp="0" diagonalDown="0" outline="0">
        <left style="medium">
          <color rgb="FF95D600"/>
        </left>
        <right/>
        <top style="hair">
          <color rgb="FFBBBCBD"/>
        </top>
        <bottom style="hair">
          <color rgb="FFBBBCBD"/>
        </bottom>
      </border>
    </dxf>
    <dxf>
      <numFmt numFmtId="172" formatCode="0.0"/>
      <alignment horizontal="center" vertical="top" textRotation="0" wrapText="0" indent="0" justifyLastLine="0" shrinkToFit="0" readingOrder="0"/>
      <border diagonalUp="0" diagonalDown="0" outline="0">
        <left/>
        <right style="medium">
          <color rgb="FF95D600"/>
        </right>
        <top style="hair">
          <color rgb="FFBBBCBD"/>
        </top>
        <bottom style="hair">
          <color rgb="FFBBBCBD"/>
        </bottom>
      </border>
    </dxf>
    <dxf>
      <numFmt numFmtId="172" formatCode="0.0"/>
      <fill>
        <patternFill patternType="solid">
          <fgColor indexed="64"/>
          <bgColor rgb="FFDDF2B8"/>
        </patternFill>
      </fill>
      <alignment horizontal="center" vertical="top" textRotation="0" wrapText="0" indent="0" justifyLastLine="0" shrinkToFit="0" readingOrder="0"/>
    </dxf>
    <dxf>
      <numFmt numFmtId="172" formatCode="0.0"/>
      <alignment horizontal="center" vertical="top" textRotation="0" wrapText="0" indent="0" justifyLastLine="0" shrinkToFit="0" readingOrder="0"/>
    </dxf>
    <dxf>
      <numFmt numFmtId="172" formatCode="0.0"/>
      <fill>
        <patternFill patternType="solid">
          <fgColor indexed="64"/>
          <bgColor rgb="FFDDF2B8"/>
        </patternFill>
      </fill>
      <alignment horizontal="center" vertical="top" textRotation="0" wrapText="0" indent="0" justifyLastLine="0" shrinkToFit="0" readingOrder="0"/>
    </dxf>
    <dxf>
      <numFmt numFmtId="172" formatCode="0.0"/>
      <alignment horizontal="center" vertical="top" textRotation="0" wrapText="0" indent="0" justifyLastLine="0" shrinkToFit="0" readingOrder="0"/>
    </dxf>
    <dxf>
      <numFmt numFmtId="172" formatCode="0.0"/>
      <fill>
        <patternFill patternType="solid">
          <fgColor indexed="64"/>
          <bgColor rgb="FFDDF2B8"/>
        </patternFill>
      </fill>
      <alignment horizontal="center" vertical="top" textRotation="0" wrapText="0" indent="0" justifyLastLine="0" shrinkToFit="0" readingOrder="0"/>
    </dxf>
    <dxf>
      <numFmt numFmtId="171" formatCode="0.000"/>
      <alignment horizontal="center" vertical="top" textRotation="0" wrapText="0" indent="0" justifyLastLine="0" shrinkToFit="0" readingOrder="0"/>
    </dxf>
    <dxf>
      <numFmt numFmtId="171" formatCode="0.000"/>
      <fill>
        <patternFill patternType="solid">
          <fgColor indexed="64"/>
          <bgColor rgb="FFDDF2B8"/>
        </patternFill>
      </fill>
      <alignment horizontal="center" vertical="top" textRotation="0" wrapText="0" indent="0" justifyLastLine="0" shrinkToFit="0" readingOrder="0"/>
    </dxf>
    <dxf>
      <numFmt numFmtId="1" formatCode="0"/>
      <alignment horizontal="center" vertical="top" textRotation="0" wrapText="0" indent="0" justifyLastLine="0" shrinkToFit="0" readingOrder="0"/>
      <border diagonalUp="0" diagonalDown="0">
        <left style="hair">
          <color rgb="FFBBBCBD"/>
        </left>
        <right/>
        <top style="hair">
          <color rgb="FFBBBCBD"/>
        </top>
        <bottom style="hair">
          <color rgb="FFBBBCBD"/>
        </bottom>
        <vertical/>
        <horizontal/>
      </border>
    </dxf>
    <dxf>
      <numFmt numFmtId="1" formatCode="0"/>
      <alignment horizontal="center" vertical="top" textRotation="0" wrapText="0" indent="0" justifyLastLine="0" shrinkToFit="0" readingOrder="0"/>
      <border diagonalUp="0" diagonalDown="0">
        <left style="hair">
          <color rgb="FFBBBCBD"/>
        </left>
        <right/>
        <top style="hair">
          <color rgb="FFBBBCBD"/>
        </top>
        <bottom style="hair">
          <color rgb="FFBBBCBD"/>
        </bottom>
        <vertical/>
        <horizontal/>
      </border>
    </dxf>
    <dxf>
      <numFmt numFmtId="1" formatCode="0"/>
      <alignment horizontal="center" vertical="top" textRotation="0" wrapText="0" indent="0" justifyLastLine="0" shrinkToFit="0" readingOrder="0"/>
      <border outline="0">
        <left style="hair">
          <color rgb="FFBBBCBD"/>
        </left>
      </border>
    </dxf>
    <dxf>
      <numFmt numFmtId="170" formatCode="&quot;$&quot;#,##0"/>
      <fill>
        <patternFill patternType="solid">
          <fgColor indexed="64"/>
          <bgColor rgb="FFDDF2B8"/>
        </patternFill>
      </fill>
      <alignment horizontal="center" vertical="top"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2" formatCode="0.00"/>
      <alignment horizontal="center" vertical="top" textRotation="0" wrapText="0" indent="0" justifyLastLine="0" shrinkToFit="0" readingOrder="0"/>
      <border diagonalUp="0" diagonalDown="0" outline="0">
        <left/>
        <right style="hair">
          <color rgb="FFBBBCBD"/>
        </right>
        <top style="hair">
          <color rgb="FFBBBCBD"/>
        </top>
        <bottom style="hair">
          <color rgb="FFBBBCBD"/>
        </bottom>
      </border>
    </dxf>
    <dxf>
      <numFmt numFmtId="2" formatCode="0.00"/>
      <alignment horizontal="center" vertical="top" textRotation="0" wrapText="0" indent="0" justifyLastLine="0" shrinkToFit="0" readingOrder="0"/>
      <border diagonalUp="0" diagonalDown="0">
        <left style="hair">
          <color rgb="FFBBBCBD"/>
        </left>
        <right/>
        <top style="hair">
          <color rgb="FFBBBCBD"/>
        </top>
        <bottom style="hair">
          <color rgb="FFBBBCBD"/>
        </bottom>
      </border>
    </dxf>
    <dxf>
      <numFmt numFmtId="172" formatCode="0.0"/>
      <alignment horizontal="center" vertical="top" textRotation="0" wrapText="0" indent="0" justifyLastLine="0" shrinkToFit="0" readingOrder="0"/>
      <border diagonalUp="0" diagonalDown="0">
        <left style="hair">
          <color rgb="FFBBBCBD"/>
        </left>
        <right style="hair">
          <color rgb="FFBBBCBD"/>
        </right>
        <top style="hair">
          <color rgb="FFBBBCBD"/>
        </top>
        <bottom style="hair">
          <color rgb="FFBBBCBD"/>
        </bottom>
        <vertical/>
        <horizontal/>
      </border>
    </dxf>
    <dxf>
      <numFmt numFmtId="172" formatCode="0.0"/>
      <alignment horizontal="center" vertical="top" textRotation="0" wrapText="0" indent="0" justifyLastLine="0" shrinkToFit="0" readingOrder="0"/>
      <border diagonalUp="0" diagonalDown="0">
        <left style="hair">
          <color rgb="FFBBBCBD"/>
        </left>
        <right style="hair">
          <color rgb="FFBBBCBD"/>
        </right>
        <top style="hair">
          <color rgb="FFBBBCBD"/>
        </top>
        <bottom style="hair">
          <color rgb="FFBBBCBD"/>
        </bottom>
        <vertical style="hair">
          <color rgb="FFBBBCBD"/>
        </vertical>
        <horizontal style="hair">
          <color rgb="FFBBBCBD"/>
        </horizontal>
      </border>
    </dxf>
    <dxf>
      <numFmt numFmtId="172" formatCode="0.0"/>
      <alignment horizontal="center" vertical="top" textRotation="0" wrapText="0" indent="0" justifyLastLine="0" shrinkToFit="0" readingOrder="0"/>
      <border diagonalUp="0" diagonalDown="0">
        <left style="hair">
          <color rgb="FFBBBCBD"/>
        </left>
        <right style="hair">
          <color rgb="FFBBBCBD"/>
        </right>
        <top style="hair">
          <color rgb="FFBBBCBD"/>
        </top>
        <bottom style="hair">
          <color rgb="FFBBBCBD"/>
        </bottom>
        <vertical style="hair">
          <color rgb="FFBBBCBD"/>
        </vertical>
        <horizontal style="hair">
          <color rgb="FFBBBCBD"/>
        </horizontal>
      </border>
    </dxf>
    <dxf>
      <numFmt numFmtId="1" formatCode="0"/>
      <alignment horizontal="center" vertical="top" textRotation="0" wrapText="0" indent="0" justifyLastLine="0" shrinkToFit="0" readingOrder="0"/>
      <border diagonalUp="0" diagonalDown="0">
        <left style="hair">
          <color rgb="FFBBBCBD"/>
        </left>
        <right style="hair">
          <color rgb="FFBBBCBD"/>
        </right>
        <top style="hair">
          <color rgb="FFBBBCBD"/>
        </top>
        <bottom style="hair">
          <color rgb="FFBBBCBD"/>
        </bottom>
        <vertical style="hair">
          <color rgb="FFBBBCBD"/>
        </vertical>
        <horizontal style="hair">
          <color rgb="FFBBBCBD"/>
        </horizontal>
      </border>
    </dxf>
    <dxf>
      <numFmt numFmtId="171" formatCode="0.000"/>
      <alignment horizontal="center" vertical="top"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171" formatCode="0.000"/>
      <fill>
        <patternFill patternType="solid">
          <fgColor indexed="64"/>
          <bgColor rgb="FFDDF2B8"/>
        </patternFill>
      </fill>
      <alignment horizontal="center" vertical="top"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3" formatCode="#,##0"/>
      <fill>
        <patternFill patternType="solid">
          <fgColor indexed="64"/>
          <bgColor rgb="FFEDFFC4"/>
        </patternFill>
      </fill>
      <alignment horizontal="center" vertical="top" textRotation="0" wrapText="0" indent="0" justifyLastLine="0" shrinkToFit="0" readingOrder="0"/>
      <border diagonalUp="0" diagonalDown="0">
        <left style="hair">
          <color rgb="FFBBBCBD"/>
        </left>
        <right style="hair">
          <color rgb="FFBBBCBD"/>
        </right>
        <top style="hair">
          <color rgb="FFBBBCBD"/>
        </top>
        <bottom style="hair">
          <color rgb="FFBBBCBD"/>
        </bottom>
        <vertical/>
        <horizontal/>
      </border>
    </dxf>
    <dxf>
      <numFmt numFmtId="3" formatCode="#,##0"/>
      <fill>
        <patternFill patternType="solid">
          <fgColor indexed="64"/>
          <bgColor rgb="FFEDFFC4"/>
        </patternFill>
      </fill>
      <alignment horizontal="center" vertical="top" textRotation="0" wrapText="0" indent="0" justifyLastLine="0" shrinkToFit="0" readingOrder="0"/>
      <border diagonalUp="0" diagonalDown="0">
        <left style="hair">
          <color rgb="FFBBBCBD"/>
        </left>
        <right style="hair">
          <color rgb="FFBBBCBD"/>
        </right>
        <top style="hair">
          <color rgb="FFBBBCBD"/>
        </top>
        <bottom style="hair">
          <color rgb="FFBBBCBD"/>
        </bottom>
        <vertical/>
        <horizontal/>
      </border>
    </dxf>
    <dxf>
      <numFmt numFmtId="3" formatCode="#,##0"/>
      <fill>
        <patternFill patternType="solid">
          <fgColor indexed="64"/>
          <bgColor rgb="FFEDFFC4"/>
        </patternFill>
      </fill>
      <alignment horizontal="center" vertical="top"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170" formatCode="&quot;$&quot;#,##0"/>
      <fill>
        <patternFill patternType="solid">
          <fgColor indexed="64"/>
          <bgColor rgb="FFDDF2B8"/>
        </patternFill>
      </fill>
      <alignment horizontal="center" vertical="top"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170" formatCode="&quot;$&quot;#,##0"/>
      <fill>
        <patternFill patternType="solid">
          <fgColor indexed="64"/>
          <bgColor rgb="FFEDFFC4"/>
        </patternFill>
      </fill>
      <alignment horizontal="center" vertical="top" textRotation="0" wrapText="0" indent="0" justifyLastLine="0" shrinkToFit="0" readingOrder="0"/>
      <border diagonalUp="0" diagonalDown="0" outline="0">
        <left style="medium">
          <color rgb="FF95D600"/>
        </left>
        <right style="hair">
          <color rgb="FFBBBCBD"/>
        </right>
        <top style="hair">
          <color rgb="FFBBBCBD"/>
        </top>
        <bottom style="hair">
          <color rgb="FFBBBCBD"/>
        </bottom>
      </border>
    </dxf>
    <dxf>
      <numFmt numFmtId="2" formatCode="0.00"/>
      <fill>
        <patternFill patternType="solid">
          <fgColor indexed="64"/>
          <bgColor rgb="FFDDF2B8"/>
        </patternFill>
      </fill>
      <alignment horizontal="center" vertical="top" textRotation="0" wrapText="0" indent="0" justifyLastLine="0" shrinkToFit="0" readingOrder="0"/>
      <border outline="0">
        <right style="medium">
          <color rgb="FF95D600"/>
        </right>
      </border>
    </dxf>
    <dxf>
      <numFmt numFmtId="2" formatCode="0.00"/>
      <fill>
        <patternFill patternType="solid">
          <fgColor indexed="64"/>
          <bgColor rgb="FFEDFFC4"/>
        </patternFill>
      </fill>
      <alignment horizontal="center" vertical="top"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172" formatCode="0.0"/>
      <fill>
        <patternFill patternType="solid">
          <fgColor indexed="64"/>
          <bgColor rgb="FFDDF2B8"/>
        </patternFill>
      </fill>
      <alignment horizontal="center" vertical="top"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172" formatCode="0.0"/>
      <fill>
        <patternFill patternType="solid">
          <fgColor indexed="64"/>
          <bgColor rgb="FFEDFFC4"/>
        </patternFill>
      </fill>
      <alignment horizontal="center" vertical="top" textRotation="0" wrapText="0" indent="0" justifyLastLine="0" shrinkToFit="0" readingOrder="0"/>
      <border outline="0">
        <left style="hair">
          <color rgb="FFBBBCBD"/>
        </left>
        <right style="hair">
          <color rgb="FFBBBCBD"/>
        </right>
      </border>
    </dxf>
    <dxf>
      <numFmt numFmtId="172" formatCode="0.0"/>
      <fill>
        <patternFill patternType="solid">
          <fgColor indexed="64"/>
          <bgColor rgb="FFDDF2B8"/>
        </patternFill>
      </fill>
      <alignment horizontal="center" vertical="top" textRotation="0" wrapText="0" indent="0" justifyLastLine="0" shrinkToFit="0" readingOrder="0"/>
      <border outline="0">
        <left style="hair">
          <color rgb="FFBBBCBD"/>
        </left>
        <right style="hair">
          <color rgb="FFBBBCBD"/>
        </right>
      </border>
    </dxf>
    <dxf>
      <numFmt numFmtId="1" formatCode="0"/>
      <fill>
        <patternFill patternType="solid">
          <fgColor indexed="64"/>
          <bgColor rgb="FFEDFFC4"/>
        </patternFill>
      </fill>
      <alignment horizontal="center" vertical="top" textRotation="0" wrapText="0" indent="0" justifyLastLine="0" shrinkToFit="0" readingOrder="0"/>
      <border outline="0">
        <left style="hair">
          <color rgb="FFBBBCBD"/>
        </left>
        <right style="hair">
          <color rgb="FFBBBCBD"/>
        </right>
      </border>
    </dxf>
    <dxf>
      <numFmt numFmtId="171" formatCode="0.000"/>
      <fill>
        <patternFill patternType="solid">
          <fgColor indexed="64"/>
          <bgColor rgb="FFDDF2B8"/>
        </patternFill>
      </fill>
      <alignment horizontal="center" vertical="top"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171" formatCode="0.000"/>
      <alignment horizontal="center" vertical="top" textRotation="0" wrapText="0" indent="0" justifyLastLine="0" shrinkToFit="0" readingOrder="0"/>
      <border outline="0">
        <right style="hair">
          <color rgb="FFBBBCBD"/>
        </right>
      </border>
    </dxf>
    <dxf>
      <numFmt numFmtId="3" formatCode="#,##0"/>
      <alignment horizontal="center" vertical="top" textRotation="0" wrapText="0" indent="0" justifyLastLine="0" shrinkToFit="0" readingOrder="0"/>
      <border diagonalUp="0" diagonalDown="0">
        <left style="hair">
          <color rgb="FFBBBCBD"/>
        </left>
        <right style="hair">
          <color rgb="FFBBBCBD"/>
        </right>
        <top style="hair">
          <color rgb="FFBBBCBD"/>
        </top>
        <bottom style="hair">
          <color rgb="FFBBBCBD"/>
        </bottom>
        <vertical/>
        <horizontal/>
      </border>
    </dxf>
    <dxf>
      <numFmt numFmtId="3" formatCode="#,##0"/>
      <alignment horizontal="center" vertical="top" textRotation="0" wrapText="0" indent="0" justifyLastLine="0" shrinkToFit="0" readingOrder="0"/>
      <border diagonalUp="0" diagonalDown="0">
        <left style="hair">
          <color rgb="FFBBBCBD"/>
        </left>
        <right style="hair">
          <color rgb="FFBBBCBD"/>
        </right>
        <top style="hair">
          <color rgb="FFBBBCBD"/>
        </top>
        <bottom style="hair">
          <color rgb="FFBBBCBD"/>
        </bottom>
        <vertical/>
        <horizontal/>
      </border>
    </dxf>
    <dxf>
      <numFmt numFmtId="3" formatCode="#,##0"/>
      <alignment horizontal="center" vertical="top" textRotation="0" wrapText="0" indent="0" justifyLastLine="0" shrinkToFit="0" readingOrder="0"/>
    </dxf>
    <dxf>
      <numFmt numFmtId="170" formatCode="&quot;$&quot;#,##0"/>
      <alignment horizontal="center" vertical="top" textRotation="0" wrapText="0" indent="0" justifyLastLine="0" shrinkToFit="0" readingOrder="0"/>
    </dxf>
    <dxf>
      <numFmt numFmtId="170" formatCode="&quot;$&quot;#,##0"/>
      <alignment horizontal="center" vertical="top" textRotation="0" wrapText="0" indent="0" justifyLastLine="0" shrinkToFit="0" readingOrder="0"/>
      <border diagonalUp="0" diagonalDown="0">
        <left style="medium">
          <color rgb="FF95D600"/>
        </left>
      </border>
    </dxf>
    <dxf>
      <numFmt numFmtId="2" formatCode="0.00"/>
      <alignment horizontal="center" vertical="top" textRotation="0" wrapText="0" indent="0" justifyLastLine="0" shrinkToFit="0" readingOrder="0"/>
      <border diagonalUp="0" diagonalDown="0">
        <left/>
        <right style="thin">
          <color auto="1"/>
        </right>
        <top style="hair">
          <color rgb="FFBBBCBD"/>
        </top>
        <bottom style="hair">
          <color rgb="FFBBBCBD"/>
        </bottom>
      </border>
    </dxf>
    <dxf>
      <numFmt numFmtId="2" formatCode="0.00"/>
      <alignment horizontal="center" vertical="top" textRotation="0" wrapText="0" indent="0" justifyLastLine="0" shrinkToFit="0" readingOrder="0"/>
      <border diagonalUp="0" diagonalDown="0" outline="0">
        <left style="hair">
          <color rgb="FFBBBCBD"/>
        </left>
        <right/>
        <top style="hair">
          <color rgb="FFBBBCBD"/>
        </top>
        <bottom style="hair">
          <color rgb="FFBBBCBD"/>
        </bottom>
      </border>
    </dxf>
    <dxf>
      <numFmt numFmtId="172" formatCode="0.0"/>
      <alignment horizontal="center" vertical="top" textRotation="0" wrapText="0" indent="0" justifyLastLine="0" shrinkToFit="0" readingOrder="0"/>
      <border diagonalUp="0" diagonalDown="0">
        <left style="hair">
          <color rgb="FFBBBCBD"/>
        </left>
        <right style="hair">
          <color rgb="FFBBBCBD"/>
        </right>
        <top style="hair">
          <color rgb="FFBBBCBD"/>
        </top>
        <bottom style="hair">
          <color rgb="FFBBBCBD"/>
        </bottom>
        <vertical/>
        <horizontal/>
      </border>
    </dxf>
    <dxf>
      <numFmt numFmtId="172" formatCode="0.0"/>
      <alignment horizontal="center" vertical="top" textRotation="0" wrapText="0" indent="0" justifyLastLine="0" shrinkToFit="0" readingOrder="0"/>
      <border diagonalUp="0" diagonalDown="0">
        <left style="hair">
          <color rgb="FFBBBCBD"/>
        </left>
        <right style="hair">
          <color rgb="FFBBBCBD"/>
        </right>
        <top style="hair">
          <color rgb="FFBBBCBD"/>
        </top>
        <bottom style="hair">
          <color rgb="FFBBBCBD"/>
        </bottom>
        <vertical style="hair">
          <color rgb="FFBBBCBD"/>
        </vertical>
        <horizontal style="hair">
          <color rgb="FFBBBCBD"/>
        </horizontal>
      </border>
    </dxf>
    <dxf>
      <numFmt numFmtId="172" formatCode="0.0"/>
      <alignment horizontal="center" vertical="top" textRotation="0" wrapText="0" indent="0" justifyLastLine="0" shrinkToFit="0" readingOrder="0"/>
      <border diagonalUp="0" diagonalDown="0">
        <left style="hair">
          <color rgb="FFBBBCBD"/>
        </left>
        <right style="hair">
          <color rgb="FFBBBCBD"/>
        </right>
        <top style="hair">
          <color rgb="FFBBBCBD"/>
        </top>
        <bottom style="hair">
          <color rgb="FFBBBCBD"/>
        </bottom>
        <vertical style="hair">
          <color rgb="FFBBBCBD"/>
        </vertical>
        <horizontal style="hair">
          <color rgb="FFBBBCBD"/>
        </horizontal>
      </border>
    </dxf>
    <dxf>
      <numFmt numFmtId="1" formatCode="0"/>
      <alignment horizontal="center" vertical="top" textRotation="0" wrapText="0" indent="0" justifyLastLine="0" shrinkToFit="0" readingOrder="0"/>
      <border diagonalUp="0" diagonalDown="0">
        <left style="hair">
          <color rgb="FFBBBCBD"/>
        </left>
        <right style="hair">
          <color rgb="FFBBBCBD"/>
        </right>
        <top style="hair">
          <color rgb="FFBBBCBD"/>
        </top>
        <bottom style="hair">
          <color rgb="FFBBBCBD"/>
        </bottom>
        <vertical style="hair">
          <color rgb="FFBBBCBD"/>
        </vertical>
        <horizontal style="hair">
          <color rgb="FFBBBCBD"/>
        </horizontal>
      </border>
    </dxf>
    <dxf>
      <numFmt numFmtId="171" formatCode="0.000"/>
      <alignment horizontal="center" vertical="top"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171" formatCode="0.000"/>
      <fill>
        <patternFill patternType="solid">
          <fgColor indexed="64"/>
          <bgColor rgb="FFDDF2B8"/>
        </patternFill>
      </fill>
      <alignment horizontal="center" vertical="top"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3" formatCode="#,##0"/>
      <fill>
        <patternFill patternType="solid">
          <fgColor indexed="64"/>
          <bgColor rgb="FFEDFFC4"/>
        </patternFill>
      </fill>
      <alignment horizontal="center" vertical="top" textRotation="0" wrapText="0" indent="0" justifyLastLine="0" shrinkToFit="0" readingOrder="0"/>
      <border diagonalUp="0" diagonalDown="0">
        <left style="hair">
          <color rgb="FFBBBCBD"/>
        </left>
        <right style="hair">
          <color rgb="FFBBBCBD"/>
        </right>
        <top style="hair">
          <color rgb="FFBBBCBD"/>
        </top>
        <bottom style="hair">
          <color rgb="FFBBBCBD"/>
        </bottom>
        <vertical/>
        <horizontal/>
      </border>
    </dxf>
    <dxf>
      <numFmt numFmtId="3" formatCode="#,##0"/>
      <fill>
        <patternFill patternType="solid">
          <fgColor indexed="64"/>
          <bgColor rgb="FFEDFFC4"/>
        </patternFill>
      </fill>
      <alignment horizontal="center" vertical="top" textRotation="0" wrapText="0" indent="0" justifyLastLine="0" shrinkToFit="0" readingOrder="0"/>
      <border diagonalUp="0" diagonalDown="0">
        <left style="hair">
          <color rgb="FFBBBCBD"/>
        </left>
        <right style="hair">
          <color rgb="FFBBBCBD"/>
        </right>
        <top style="hair">
          <color rgb="FFBBBCBD"/>
        </top>
        <bottom style="hair">
          <color rgb="FFBBBCBD"/>
        </bottom>
        <vertical/>
        <horizontal/>
      </border>
    </dxf>
    <dxf>
      <numFmt numFmtId="3" formatCode="#,##0"/>
      <fill>
        <patternFill patternType="solid">
          <fgColor indexed="64"/>
          <bgColor rgb="FFEDFFC4"/>
        </patternFill>
      </fill>
      <alignment horizontal="center" vertical="top"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170" formatCode="&quot;$&quot;#,##0"/>
      <fill>
        <patternFill patternType="solid">
          <fgColor indexed="64"/>
          <bgColor rgb="FFDDF2B8"/>
        </patternFill>
      </fill>
      <alignment horizontal="center" vertical="top"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170" formatCode="&quot;$&quot;#,##0"/>
      <fill>
        <patternFill patternType="solid">
          <fgColor indexed="64"/>
          <bgColor rgb="FFEDFFC4"/>
        </patternFill>
      </fill>
      <alignment horizontal="center" vertical="top" textRotation="0" wrapText="0" indent="0" justifyLastLine="0" shrinkToFit="0" readingOrder="0"/>
      <border diagonalUp="0" diagonalDown="0" outline="0">
        <left style="medium">
          <color rgb="FF95D600"/>
        </left>
        <right style="hair">
          <color rgb="FFBBBCBD"/>
        </right>
        <top style="hair">
          <color rgb="FFBBBCBD"/>
        </top>
        <bottom style="hair">
          <color rgb="FFBBBCBD"/>
        </bottom>
      </border>
    </dxf>
    <dxf>
      <numFmt numFmtId="2" formatCode="0.00"/>
      <fill>
        <patternFill patternType="solid">
          <fgColor indexed="64"/>
          <bgColor rgb="FFDDF2B8"/>
        </patternFill>
      </fill>
      <alignment horizontal="center" vertical="top" textRotation="0" wrapText="0" indent="0" justifyLastLine="0" shrinkToFit="0" readingOrder="0"/>
      <border outline="0">
        <right style="medium">
          <color rgb="FF95D600"/>
        </right>
      </border>
    </dxf>
    <dxf>
      <numFmt numFmtId="2" formatCode="0.00"/>
      <fill>
        <patternFill patternType="solid">
          <fgColor indexed="64"/>
          <bgColor rgb="FFEDFFC4"/>
        </patternFill>
      </fill>
      <alignment horizontal="center" vertical="top"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172" formatCode="0.0"/>
      <fill>
        <patternFill patternType="solid">
          <fgColor indexed="64"/>
          <bgColor rgb="FFDDF2B8"/>
        </patternFill>
      </fill>
      <alignment horizontal="center" vertical="top"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172" formatCode="0.0"/>
      <fill>
        <patternFill patternType="solid">
          <fgColor indexed="64"/>
          <bgColor rgb="FFEDFFC4"/>
        </patternFill>
      </fill>
      <alignment horizontal="center" vertical="top" textRotation="0" wrapText="0" indent="0" justifyLastLine="0" shrinkToFit="0" readingOrder="0"/>
      <border outline="0">
        <left style="hair">
          <color rgb="FFBBBCBD"/>
        </left>
        <right style="hair">
          <color rgb="FFBBBCBD"/>
        </right>
      </border>
    </dxf>
    <dxf>
      <numFmt numFmtId="172" formatCode="0.0"/>
      <fill>
        <patternFill patternType="solid">
          <fgColor indexed="64"/>
          <bgColor rgb="FFDDF2B8"/>
        </patternFill>
      </fill>
      <alignment horizontal="center" vertical="top" textRotation="0" wrapText="0" indent="0" justifyLastLine="0" shrinkToFit="0" readingOrder="0"/>
      <border outline="0">
        <left style="hair">
          <color rgb="FFBBBCBD"/>
        </left>
        <right style="hair">
          <color rgb="FFBBBCBD"/>
        </right>
      </border>
    </dxf>
    <dxf>
      <numFmt numFmtId="1" formatCode="0"/>
      <fill>
        <patternFill patternType="solid">
          <fgColor indexed="64"/>
          <bgColor rgb="FFEDFFC4"/>
        </patternFill>
      </fill>
      <alignment horizontal="center" vertical="top" textRotation="0" wrapText="0" indent="0" justifyLastLine="0" shrinkToFit="0" readingOrder="0"/>
      <border outline="0">
        <left style="hair">
          <color rgb="FFBBBCBD"/>
        </left>
        <right style="hair">
          <color rgb="FFBBBCBD"/>
        </right>
      </border>
    </dxf>
    <dxf>
      <numFmt numFmtId="171" formatCode="0.000"/>
      <fill>
        <patternFill patternType="solid">
          <fgColor indexed="64"/>
          <bgColor rgb="FFDDF2B8"/>
        </patternFill>
      </fill>
      <alignment horizontal="center" vertical="top"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171" formatCode="0.000"/>
      <alignment horizontal="center" vertical="top" textRotation="0" wrapText="0" indent="0" justifyLastLine="0" shrinkToFit="0" readingOrder="0"/>
      <border outline="0">
        <right style="hair">
          <color rgb="FFBBBCBD"/>
        </right>
      </border>
    </dxf>
    <dxf>
      <numFmt numFmtId="3" formatCode="#,##0"/>
      <alignment horizontal="center" vertical="top" textRotation="0" wrapText="0" indent="0" justifyLastLine="0" shrinkToFit="0" readingOrder="0"/>
      <border diagonalUp="0" diagonalDown="0">
        <left style="hair">
          <color rgb="FFBBBCBD"/>
        </left>
        <right style="hair">
          <color rgb="FFBBBCBD"/>
        </right>
        <top style="hair">
          <color rgb="FFBBBCBD"/>
        </top>
        <bottom style="hair">
          <color rgb="FFBBBCBD"/>
        </bottom>
        <vertical/>
        <horizontal/>
      </border>
    </dxf>
    <dxf>
      <numFmt numFmtId="3" formatCode="#,##0"/>
      <alignment horizontal="center" vertical="top" textRotation="0" wrapText="0" indent="0" justifyLastLine="0" shrinkToFit="0" readingOrder="0"/>
      <border diagonalUp="0" diagonalDown="0">
        <left style="hair">
          <color rgb="FFBBBCBD"/>
        </left>
        <right style="hair">
          <color rgb="FFBBBCBD"/>
        </right>
        <top style="hair">
          <color rgb="FFBBBCBD"/>
        </top>
        <bottom style="hair">
          <color rgb="FFBBBCBD"/>
        </bottom>
        <vertical/>
        <horizontal/>
      </border>
    </dxf>
    <dxf>
      <numFmt numFmtId="3" formatCode="#,##0"/>
      <alignment horizontal="center" vertical="top" textRotation="0" wrapText="0" indent="0" justifyLastLine="0" shrinkToFit="0" readingOrder="0"/>
    </dxf>
    <dxf>
      <numFmt numFmtId="170" formatCode="&quot;$&quot;#,##0"/>
      <alignment horizontal="center" vertical="top" textRotation="0" wrapText="0" indent="0" justifyLastLine="0" shrinkToFit="0" readingOrder="0"/>
    </dxf>
    <dxf>
      <numFmt numFmtId="170" formatCode="&quot;$&quot;#,##0"/>
      <alignment horizontal="center" vertical="top" textRotation="0" wrapText="0" indent="0" justifyLastLine="0" shrinkToFit="0" readingOrder="0"/>
      <border diagonalUp="0" diagonalDown="0">
        <left style="medium">
          <color rgb="FF95D600"/>
        </left>
      </border>
    </dxf>
    <dxf>
      <numFmt numFmtId="2" formatCode="0.00"/>
      <alignment horizontal="center" vertical="top" textRotation="0" wrapText="0" indent="0" justifyLastLine="0" shrinkToFit="0" readingOrder="0"/>
      <border diagonalUp="0" diagonalDown="0">
        <left style="hair">
          <color rgb="FFBBBCBD"/>
        </left>
        <right style="thin">
          <color auto="1"/>
        </right>
        <top style="hair">
          <color rgb="FFBBBCBD"/>
        </top>
        <bottom style="hair">
          <color rgb="FFBBBCBD"/>
        </bottom>
        <vertical style="hair">
          <color rgb="FFBBBCBD"/>
        </vertical>
        <horizontal style="hair">
          <color rgb="FFBBBCBD"/>
        </horizontal>
      </border>
    </dxf>
    <dxf>
      <numFmt numFmtId="172" formatCode="0.0"/>
      <alignment horizontal="center" vertical="top" textRotation="0" wrapText="0" indent="0" justifyLastLine="0" shrinkToFit="0" readingOrder="0"/>
      <border diagonalUp="0" diagonalDown="0" outline="0">
        <left/>
        <right/>
        <top style="hair">
          <color rgb="FFBBBCBD"/>
        </top>
        <bottom/>
      </border>
    </dxf>
    <dxf>
      <numFmt numFmtId="172" formatCode="0.0"/>
      <fill>
        <patternFill patternType="solid">
          <fgColor indexed="64"/>
          <bgColor rgb="FFEDFFC4"/>
        </patternFill>
      </fill>
      <alignment horizontal="center" vertical="top" textRotation="0" wrapText="0" indent="0" justifyLastLine="0" shrinkToFit="0" readingOrder="0"/>
      <border diagonalUp="0" diagonalDown="0" outline="0">
        <left style="hair">
          <color rgb="FFBBBCBD"/>
        </left>
        <right/>
        <top style="hair">
          <color rgb="FFBBBCBD"/>
        </top>
        <bottom/>
      </border>
    </dxf>
    <dxf>
      <numFmt numFmtId="172" formatCode="0.0"/>
      <alignment horizontal="center" vertical="top"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172" formatCode="0.0"/>
      <alignment horizontal="center" vertical="top" textRotation="0" wrapText="0" indent="0" justifyLastLine="0" shrinkToFit="0" readingOrder="0"/>
      <border diagonalUp="0" diagonalDown="0">
        <left style="hair">
          <color rgb="FFBBBCBD"/>
        </left>
        <right style="hair">
          <color rgb="FFBBBCBD"/>
        </right>
        <top style="hair">
          <color rgb="FFBBBCBD"/>
        </top>
        <bottom style="hair">
          <color rgb="FFBBBCBD"/>
        </bottom>
        <vertical style="hair">
          <color rgb="FFBBBCBD"/>
        </vertical>
        <horizontal style="hair">
          <color rgb="FFBBBCBD"/>
        </horizontal>
      </border>
    </dxf>
    <dxf>
      <numFmt numFmtId="1" formatCode="0"/>
      <alignment horizontal="center" vertical="top" textRotation="0" wrapText="0" indent="0" justifyLastLine="0" shrinkToFit="0" readingOrder="0"/>
      <border diagonalUp="0" diagonalDown="0">
        <left style="hair">
          <color rgb="FFBBBCBD"/>
        </left>
        <right style="hair">
          <color rgb="FFBBBCBD"/>
        </right>
        <top style="hair">
          <color rgb="FFBBBCBD"/>
        </top>
        <bottom style="hair">
          <color rgb="FFBBBCBD"/>
        </bottom>
        <vertical style="hair">
          <color rgb="FFBBBCBD"/>
        </vertical>
        <horizontal style="hair">
          <color rgb="FFBBBCBD"/>
        </horizontal>
      </border>
    </dxf>
    <dxf>
      <numFmt numFmtId="171" formatCode="0.000"/>
      <alignment horizontal="center" vertical="top" textRotation="0" wrapText="0" indent="0" justifyLastLine="0" shrinkToFit="0" readingOrder="0"/>
      <border diagonalUp="0" diagonalDown="0">
        <left style="hair">
          <color rgb="FFBBBCBD"/>
        </left>
        <right style="hair">
          <color rgb="FFBBBCBD"/>
        </right>
        <top style="hair">
          <color rgb="FFBBBCBD"/>
        </top>
        <bottom/>
        <vertical/>
        <horizontal/>
      </border>
    </dxf>
    <dxf>
      <numFmt numFmtId="171" formatCode="0.000"/>
      <alignment horizontal="center" vertical="top"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3" formatCode="#,##0"/>
      <fill>
        <patternFill patternType="solid">
          <fgColor indexed="64"/>
          <bgColor rgb="FFEDFFC4"/>
        </patternFill>
      </fill>
      <alignment horizontal="center" vertical="top" textRotation="0" wrapText="0" indent="0" justifyLastLine="0" shrinkToFit="0" readingOrder="0"/>
      <border diagonalUp="0" diagonalDown="0">
        <left style="hair">
          <color rgb="FFBBBCBD"/>
        </left>
        <right style="hair">
          <color rgb="FFBBBCBD"/>
        </right>
        <top style="hair">
          <color rgb="FFBBBCBD"/>
        </top>
        <bottom/>
        <vertical/>
        <horizontal/>
      </border>
    </dxf>
    <dxf>
      <numFmt numFmtId="3" formatCode="#,##0"/>
      <fill>
        <patternFill patternType="solid">
          <fgColor indexed="64"/>
          <bgColor rgb="FFEDFFC4"/>
        </patternFill>
      </fill>
      <alignment horizontal="center" vertical="top" textRotation="0" wrapText="0" indent="0" justifyLastLine="0" shrinkToFit="0" readingOrder="0"/>
      <border diagonalUp="0" diagonalDown="0">
        <left style="hair">
          <color rgb="FFBBBCBD"/>
        </left>
        <right style="hair">
          <color rgb="FFBBBCBD"/>
        </right>
        <top style="hair">
          <color rgb="FFBBBCBD"/>
        </top>
        <bottom/>
        <vertical/>
        <horizontal/>
      </border>
    </dxf>
    <dxf>
      <numFmt numFmtId="3" formatCode="#,##0"/>
      <fill>
        <patternFill patternType="solid">
          <fgColor indexed="64"/>
          <bgColor rgb="FFEDFFC4"/>
        </patternFill>
      </fill>
      <alignment horizontal="center" vertical="top"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170" formatCode="&quot;$&quot;#,##0"/>
      <alignment horizontal="center" vertical="top"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170" formatCode="&quot;$&quot;#,##0"/>
      <fill>
        <patternFill patternType="solid">
          <fgColor indexed="64"/>
          <bgColor rgb="FFEDFFC4"/>
        </patternFill>
      </fill>
      <alignment horizontal="center" vertical="top" textRotation="0" wrapText="0" indent="0" justifyLastLine="0" shrinkToFit="0" readingOrder="0"/>
      <border diagonalUp="0" diagonalDown="0" outline="0">
        <left style="thin">
          <color auto="1"/>
        </left>
        <right style="hair">
          <color rgb="FFBBBCBD"/>
        </right>
        <top style="hair">
          <color rgb="FFBBBCBD"/>
        </top>
        <bottom style="hair">
          <color rgb="FFBBBCBD"/>
        </bottom>
      </border>
    </dxf>
    <dxf>
      <numFmt numFmtId="2" formatCode="0.00"/>
      <alignment horizontal="center" vertical="top" textRotation="0" wrapText="0" indent="0" justifyLastLine="0" shrinkToFit="0" readingOrder="0"/>
      <border outline="0">
        <left style="hair">
          <color rgb="FFBBBCBD"/>
        </left>
        <right style="thin">
          <color indexed="64"/>
        </right>
      </border>
    </dxf>
    <dxf>
      <numFmt numFmtId="172" formatCode="0.0"/>
      <fill>
        <patternFill patternType="solid">
          <fgColor indexed="64"/>
          <bgColor rgb="FFEDFFC4"/>
        </patternFill>
      </fill>
      <alignment horizontal="center" vertical="top" textRotation="0" wrapText="0" indent="0" justifyLastLine="0" shrinkToFit="0" readingOrder="0"/>
    </dxf>
    <dxf>
      <numFmt numFmtId="172" formatCode="0.0"/>
      <alignment horizontal="center" vertical="top" textRotation="0" wrapText="0" indent="0" justifyLastLine="0" shrinkToFit="0" readingOrder="0"/>
      <border outline="0">
        <left style="hair">
          <color rgb="FFBBBCBD"/>
        </left>
        <right style="hair">
          <color rgb="FFBBBCBD"/>
        </right>
      </border>
    </dxf>
    <dxf>
      <numFmt numFmtId="172" formatCode="0.0"/>
      <fill>
        <patternFill patternType="solid">
          <fgColor indexed="64"/>
          <bgColor rgb="FFEDFFC4"/>
        </patternFill>
      </fill>
      <alignment horizontal="center" vertical="top" textRotation="0" wrapText="0" indent="0" justifyLastLine="0" shrinkToFit="0" readingOrder="0"/>
      <border outline="0">
        <left style="hair">
          <color rgb="FFBBBCBD"/>
        </left>
        <right style="hair">
          <color rgb="FFBBBCBD"/>
        </right>
      </border>
    </dxf>
    <dxf>
      <numFmt numFmtId="172" formatCode="0.0"/>
      <fill>
        <patternFill patternType="solid">
          <fgColor indexed="64"/>
          <bgColor rgb="FFDDF2B8"/>
        </patternFill>
      </fill>
      <alignment horizontal="center" vertical="top" textRotation="0" wrapText="0" indent="0" justifyLastLine="0" shrinkToFit="0" readingOrder="0"/>
      <border outline="0">
        <left style="hair">
          <color rgb="FFBBBCBD"/>
        </left>
        <right style="hair">
          <color rgb="FFBBBCBD"/>
        </right>
      </border>
    </dxf>
    <dxf>
      <numFmt numFmtId="172" formatCode="0.0"/>
      <fill>
        <patternFill patternType="solid">
          <fgColor indexed="64"/>
          <bgColor rgb="FFEDFFC4"/>
        </patternFill>
      </fill>
      <alignment horizontal="center" vertical="top" textRotation="0" wrapText="0" indent="0" justifyLastLine="0" shrinkToFit="0" readingOrder="0"/>
      <border outline="0">
        <left style="hair">
          <color rgb="FFBBBCBD"/>
        </left>
        <right style="hair">
          <color rgb="FFBBBCBD"/>
        </right>
      </border>
    </dxf>
    <dxf>
      <numFmt numFmtId="171" formatCode="0.000"/>
      <fill>
        <patternFill patternType="solid">
          <fgColor indexed="64"/>
          <bgColor rgb="FFDDF2B8"/>
        </patternFill>
      </fill>
      <alignment horizontal="center" vertical="top" textRotation="0" wrapText="0" indent="0" justifyLastLine="0" shrinkToFit="0" readingOrder="0"/>
      <border outline="0">
        <right style="hair">
          <color rgb="FFBBBCBD"/>
        </right>
      </border>
    </dxf>
    <dxf>
      <numFmt numFmtId="171" formatCode="0.000"/>
      <alignment horizontal="center" vertical="top" textRotation="0" wrapText="0" indent="0" justifyLastLine="0" shrinkToFit="0" readingOrder="0"/>
      <border outline="0">
        <left style="hair">
          <color rgb="FFBBBCBD"/>
        </left>
        <right style="hair">
          <color rgb="FFBBBCBD"/>
        </right>
      </border>
    </dxf>
    <dxf>
      <numFmt numFmtId="1" formatCode="0"/>
      <alignment horizontal="center" vertical="top" textRotation="0" wrapText="0" indent="0" justifyLastLine="0" shrinkToFit="0" readingOrder="0"/>
      <border diagonalUp="0" diagonalDown="0">
        <left style="hair">
          <color rgb="FFBBBCBD"/>
        </left>
        <right style="hair">
          <color rgb="FFBBBCBD"/>
        </right>
        <top style="hair">
          <color rgb="FFBBBCBD"/>
        </top>
        <bottom/>
        <vertical/>
        <horizontal/>
      </border>
    </dxf>
    <dxf>
      <numFmt numFmtId="1" formatCode="0"/>
      <alignment horizontal="center" vertical="top" textRotation="0" wrapText="0" indent="0" justifyLastLine="0" shrinkToFit="0" readingOrder="0"/>
      <border diagonalUp="0" diagonalDown="0">
        <left style="hair">
          <color rgb="FFBBBCBD"/>
        </left>
        <right style="hair">
          <color rgb="FFBBBCBD"/>
        </right>
        <top style="hair">
          <color rgb="FFBBBCBD"/>
        </top>
        <bottom/>
        <vertical/>
        <horizontal/>
      </border>
    </dxf>
    <dxf>
      <numFmt numFmtId="1" formatCode="0"/>
      <alignment horizontal="center" vertical="top" textRotation="0" wrapText="0" indent="0" justifyLastLine="0" shrinkToFit="0" readingOrder="0"/>
      <border outline="0">
        <left style="hair">
          <color rgb="FFBBBCBD"/>
        </left>
        <right style="hair">
          <color rgb="FFBBBCBD"/>
        </right>
      </border>
    </dxf>
    <dxf>
      <numFmt numFmtId="170" formatCode="&quot;$&quot;#,##0"/>
      <alignment horizontal="center" vertical="top" textRotation="0" wrapText="0" indent="0" justifyLastLine="0" shrinkToFit="0" readingOrder="0"/>
      <border outline="0">
        <left style="hair">
          <color rgb="FFBBBCBD"/>
        </left>
        <right style="hair">
          <color rgb="FFBBBCBD"/>
        </right>
      </border>
    </dxf>
    <dxf>
      <numFmt numFmtId="170" formatCode="&quot;$&quot;#,##0"/>
      <alignment horizontal="center" vertical="top" textRotation="0" wrapText="0" indent="0" justifyLastLine="0" shrinkToFit="0" readingOrder="0"/>
      <border outline="0">
        <left style="hair">
          <color rgb="FFBBBCBD"/>
        </left>
        <right style="hair">
          <color rgb="FFBBBCBD"/>
        </right>
      </border>
    </dxf>
    <dxf>
      <numFmt numFmtId="2" formatCode="0.00"/>
      <alignment horizontal="center" vertical="top" textRotation="0" wrapText="0" indent="0" justifyLastLine="0" shrinkToFit="0" readingOrder="0"/>
      <border diagonalUp="0" diagonalDown="0">
        <left style="hair">
          <color rgb="FFBBBCBD"/>
        </left>
        <right style="thin">
          <color auto="1"/>
        </right>
        <top style="hair">
          <color rgb="FFBBBCBD"/>
        </top>
        <bottom style="hair">
          <color rgb="FFBBBCBD"/>
        </bottom>
        <vertical style="hair">
          <color rgb="FFBBBCBD"/>
        </vertical>
        <horizontal style="hair">
          <color rgb="FFBBBCBD"/>
        </horizontal>
      </border>
    </dxf>
    <dxf>
      <numFmt numFmtId="172" formatCode="0.0"/>
      <alignment horizontal="center" vertical="top" textRotation="0" wrapText="0" indent="0" justifyLastLine="0" shrinkToFit="0" readingOrder="0"/>
      <border diagonalUp="0" diagonalDown="0" outline="0">
        <left/>
        <right/>
        <top style="hair">
          <color rgb="FFBBBCBD"/>
        </top>
        <bottom/>
      </border>
    </dxf>
    <dxf>
      <numFmt numFmtId="172" formatCode="0.0"/>
      <fill>
        <patternFill patternType="solid">
          <fgColor indexed="64"/>
          <bgColor rgb="FFEDFFC4"/>
        </patternFill>
      </fill>
      <alignment horizontal="center" vertical="top" textRotation="0" wrapText="0" indent="0" justifyLastLine="0" shrinkToFit="0" readingOrder="0"/>
      <border diagonalUp="0" diagonalDown="0" outline="0">
        <left style="hair">
          <color rgb="FFBBBCBD"/>
        </left>
        <right/>
        <top style="hair">
          <color rgb="FFBBBCBD"/>
        </top>
        <bottom/>
      </border>
    </dxf>
    <dxf>
      <numFmt numFmtId="172" formatCode="0.0"/>
      <alignment horizontal="center" vertical="top"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172" formatCode="0.0"/>
      <alignment horizontal="center" vertical="top" textRotation="0" wrapText="0" indent="0" justifyLastLine="0" shrinkToFit="0" readingOrder="0"/>
      <border diagonalUp="0" diagonalDown="0">
        <left style="hair">
          <color rgb="FFBBBCBD"/>
        </left>
        <right style="hair">
          <color rgb="FFBBBCBD"/>
        </right>
        <top style="hair">
          <color rgb="FFBBBCBD"/>
        </top>
        <bottom style="hair">
          <color rgb="FFBBBCBD"/>
        </bottom>
        <vertical style="hair">
          <color rgb="FFBBBCBD"/>
        </vertical>
        <horizontal style="hair">
          <color rgb="FFBBBCBD"/>
        </horizontal>
      </border>
    </dxf>
    <dxf>
      <numFmt numFmtId="172" formatCode="0.0"/>
      <alignment horizontal="center" vertical="top" textRotation="0" wrapText="0" indent="0" justifyLastLine="0" shrinkToFit="0" readingOrder="0"/>
      <border diagonalUp="0" diagonalDown="0">
        <left style="hair">
          <color rgb="FFBBBCBD"/>
        </left>
        <right style="hair">
          <color rgb="FFBBBCBD"/>
        </right>
        <top style="hair">
          <color rgb="FFBBBCBD"/>
        </top>
        <bottom style="hair">
          <color rgb="FFBBBCBD"/>
        </bottom>
        <vertical style="hair">
          <color rgb="FFBBBCBD"/>
        </vertical>
        <horizontal style="hair">
          <color rgb="FFBBBCBD"/>
        </horizontal>
      </border>
    </dxf>
    <dxf>
      <numFmt numFmtId="171" formatCode="0.000"/>
      <alignment horizontal="center" vertical="top" textRotation="0" wrapText="0" indent="0" justifyLastLine="0" shrinkToFit="0" readingOrder="0"/>
      <border diagonalUp="0" diagonalDown="0" outline="0">
        <left style="hair">
          <color rgb="FFBBBCBD"/>
        </left>
        <right style="hair">
          <color rgb="FFBBBCBD"/>
        </right>
        <top style="hair">
          <color rgb="FFBBBCBD"/>
        </top>
        <bottom/>
      </border>
    </dxf>
    <dxf>
      <numFmt numFmtId="171" formatCode="0.000"/>
      <fill>
        <patternFill patternType="solid">
          <fgColor indexed="64"/>
          <bgColor rgb="FFDDF2B8"/>
        </patternFill>
      </fill>
      <alignment horizontal="center" vertical="top"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1" formatCode="0"/>
      <fill>
        <patternFill patternType="solid">
          <fgColor indexed="64"/>
          <bgColor rgb="FFEDFFC4"/>
        </patternFill>
      </fill>
      <alignment horizontal="center" vertical="top" textRotation="0" wrapText="0" indent="0" justifyLastLine="0" shrinkToFit="0" readingOrder="0"/>
      <border diagonalUp="0" diagonalDown="0">
        <left style="hair">
          <color rgb="FFBBBCBD"/>
        </left>
        <right style="hair">
          <color rgb="FFBBBCBD"/>
        </right>
        <top style="hair">
          <color rgb="FFBBBCBD"/>
        </top>
        <bottom/>
        <vertical/>
        <horizontal/>
      </border>
    </dxf>
    <dxf>
      <numFmt numFmtId="1" formatCode="0"/>
      <fill>
        <patternFill patternType="solid">
          <fgColor indexed="64"/>
          <bgColor rgb="FFEDFFC4"/>
        </patternFill>
      </fill>
      <alignment horizontal="center" vertical="top" textRotation="0" wrapText="0" indent="0" justifyLastLine="0" shrinkToFit="0" readingOrder="0"/>
      <border diagonalUp="0" diagonalDown="0">
        <left style="hair">
          <color rgb="FFBBBCBD"/>
        </left>
        <right style="hair">
          <color rgb="FFBBBCBD"/>
        </right>
        <top style="hair">
          <color rgb="FFBBBCBD"/>
        </top>
        <bottom/>
        <vertical/>
        <horizontal/>
      </border>
    </dxf>
    <dxf>
      <numFmt numFmtId="1" formatCode="0"/>
      <fill>
        <patternFill patternType="solid">
          <fgColor indexed="64"/>
          <bgColor rgb="FFEDFFC4"/>
        </patternFill>
      </fill>
      <alignment horizontal="center" vertical="top"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170" formatCode="&quot;$&quot;#,##0"/>
      <fill>
        <patternFill patternType="solid">
          <fgColor indexed="64"/>
          <bgColor rgb="FFDDF2B8"/>
        </patternFill>
      </fill>
      <alignment horizontal="center" vertical="top"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170" formatCode="&quot;$&quot;#,##0"/>
      <fill>
        <patternFill patternType="solid">
          <fgColor indexed="64"/>
          <bgColor rgb="FFEDFFC4"/>
        </patternFill>
      </fill>
      <alignment horizontal="center" vertical="top" textRotation="0" wrapText="0" indent="0" justifyLastLine="0" shrinkToFit="0" readingOrder="0"/>
      <border diagonalUp="0" diagonalDown="0" outline="0">
        <left style="thin">
          <color auto="1"/>
        </left>
        <right style="hair">
          <color rgb="FFBBBCBD"/>
        </right>
        <top style="hair">
          <color rgb="FFBBBCBD"/>
        </top>
        <bottom style="hair">
          <color rgb="FFBBBCBD"/>
        </bottom>
      </border>
    </dxf>
    <dxf>
      <numFmt numFmtId="2" formatCode="0.00"/>
      <fill>
        <patternFill patternType="solid">
          <fgColor indexed="64"/>
          <bgColor rgb="FFDDF2B8"/>
        </patternFill>
      </fill>
      <alignment horizontal="center" vertical="top" textRotation="0" wrapText="0" indent="0" justifyLastLine="0" shrinkToFit="0" readingOrder="0"/>
      <border outline="0">
        <left style="hair">
          <color rgb="FFBBBCBD"/>
        </left>
        <right style="thin">
          <color indexed="64"/>
        </right>
      </border>
    </dxf>
    <dxf>
      <numFmt numFmtId="172" formatCode="0.0"/>
      <fill>
        <patternFill patternType="solid">
          <fgColor indexed="64"/>
          <bgColor rgb="FFEDFFC4"/>
        </patternFill>
      </fill>
      <alignment horizontal="center" vertical="top" textRotation="0" wrapText="0" indent="0" justifyLastLine="0" shrinkToFit="0" readingOrder="0"/>
      <border outline="0">
        <right style="hair">
          <color rgb="FFBBBCBD"/>
        </right>
      </border>
    </dxf>
    <dxf>
      <numFmt numFmtId="172" formatCode="0.0"/>
      <alignment horizontal="center" vertical="top" textRotation="0" wrapText="0" indent="0" justifyLastLine="0" shrinkToFit="0" readingOrder="0"/>
      <border outline="0">
        <left style="hair">
          <color rgb="FFBBBCBD"/>
        </left>
        <right style="hair">
          <color rgb="FFBBBCBD"/>
        </right>
      </border>
    </dxf>
    <dxf>
      <numFmt numFmtId="172" formatCode="0.0"/>
      <fill>
        <patternFill patternType="solid">
          <fgColor indexed="64"/>
          <bgColor rgb="FFEDFFC4"/>
        </patternFill>
      </fill>
      <alignment horizontal="center" vertical="top" textRotation="0" wrapText="0" indent="0" justifyLastLine="0" shrinkToFit="0" readingOrder="0"/>
      <border outline="0">
        <left style="hair">
          <color rgb="FFBBBCBD"/>
        </left>
        <right style="hair">
          <color rgb="FFBBBCBD"/>
        </right>
      </border>
    </dxf>
    <dxf>
      <numFmt numFmtId="172" formatCode="0.0"/>
      <fill>
        <patternFill patternType="solid">
          <fgColor indexed="64"/>
          <bgColor rgb="FFDDF2B8"/>
        </patternFill>
      </fill>
      <alignment horizontal="center" vertical="top" textRotation="0" wrapText="0" indent="0" justifyLastLine="0" shrinkToFit="0" readingOrder="0"/>
      <border outline="0">
        <left style="hair">
          <color rgb="FFBBBCBD"/>
        </left>
        <right style="hair">
          <color rgb="FFBBBCBD"/>
        </right>
      </border>
    </dxf>
    <dxf>
      <numFmt numFmtId="172" formatCode="0.0"/>
      <fill>
        <patternFill patternType="solid">
          <fgColor indexed="64"/>
          <bgColor rgb="FFEDFFC4"/>
        </patternFill>
      </fill>
      <alignment horizontal="center" vertical="top" textRotation="0" wrapText="0" indent="0" justifyLastLine="0" shrinkToFit="0" readingOrder="0"/>
      <border outline="0">
        <left style="hair">
          <color rgb="FFBBBCBD"/>
        </left>
        <right style="hair">
          <color rgb="FFBBBCBD"/>
        </right>
      </border>
    </dxf>
    <dxf>
      <numFmt numFmtId="171" formatCode="0.000"/>
      <fill>
        <patternFill patternType="solid">
          <fgColor indexed="64"/>
          <bgColor rgb="FFDDF2B8"/>
        </patternFill>
      </fill>
      <alignment horizontal="center" vertical="top" textRotation="0" wrapText="0" indent="0" justifyLastLine="0" shrinkToFit="0" readingOrder="0"/>
      <border outline="0">
        <right style="hair">
          <color rgb="FFBBBCBD"/>
        </right>
      </border>
    </dxf>
    <dxf>
      <numFmt numFmtId="171" formatCode="0.000"/>
      <alignment horizontal="center" vertical="top" textRotation="0" wrapText="0" indent="0" justifyLastLine="0" shrinkToFit="0" readingOrder="0"/>
      <border outline="0">
        <right style="hair">
          <color rgb="FFBBBCBD"/>
        </right>
      </border>
    </dxf>
    <dxf>
      <numFmt numFmtId="3" formatCode="#,##0"/>
      <alignment horizontal="center" vertical="top" textRotation="0" wrapText="0" indent="0" justifyLastLine="0" shrinkToFit="0" readingOrder="0"/>
      <border diagonalUp="0" diagonalDown="0">
        <left style="hair">
          <color rgb="FFBBBCBD"/>
        </left>
        <right style="hair">
          <color rgb="FFBBBCBD"/>
        </right>
        <top style="hair">
          <color rgb="FFBBBCBD"/>
        </top>
        <bottom/>
        <vertical/>
        <horizontal/>
      </border>
    </dxf>
    <dxf>
      <numFmt numFmtId="3" formatCode="#,##0"/>
      <alignment horizontal="center" vertical="top" textRotation="0" wrapText="0" indent="0" justifyLastLine="0" shrinkToFit="0" readingOrder="0"/>
      <border diagonalUp="0" diagonalDown="0">
        <left style="hair">
          <color rgb="FFBBBCBD"/>
        </left>
        <right style="hair">
          <color rgb="FFBBBCBD"/>
        </right>
        <top style="hair">
          <color rgb="FFBBBCBD"/>
        </top>
        <bottom/>
        <vertical/>
        <horizontal/>
      </border>
    </dxf>
    <dxf>
      <numFmt numFmtId="3" formatCode="#,##0"/>
      <alignment horizontal="center" vertical="top" textRotation="0" wrapText="0" indent="0" justifyLastLine="0" shrinkToFit="0" readingOrder="0"/>
    </dxf>
    <dxf>
      <numFmt numFmtId="170" formatCode="&quot;$&quot;#,##0"/>
      <alignment horizontal="center" vertical="top" textRotation="0" wrapText="0" indent="0" justifyLastLine="0" shrinkToFit="0" readingOrder="0"/>
      <border outline="0">
        <left style="hair">
          <color rgb="FFBBBCBD"/>
        </left>
      </border>
    </dxf>
    <dxf>
      <numFmt numFmtId="170" formatCode="&quot;$&quot;#,##0"/>
      <fill>
        <patternFill patternType="solid">
          <fgColor indexed="64"/>
          <bgColor rgb="FFDDF2B8"/>
        </patternFill>
      </fill>
      <alignment horizontal="center" vertical="top" textRotation="0" wrapText="0" indent="0" justifyLastLine="0" shrinkToFit="0" readingOrder="0"/>
    </dxf>
    <dxf>
      <numFmt numFmtId="170" formatCode="&quot;$&quot;#,##0"/>
      <alignment horizontal="center" vertical="top" textRotation="0" wrapText="0" indent="0" justifyLastLine="0" shrinkToFit="0" readingOrder="0"/>
      <border outline="0">
        <left style="hair">
          <color rgb="FFBBBCBD"/>
        </left>
        <right style="hair">
          <color rgb="FFBBBCBD"/>
        </right>
      </border>
    </dxf>
    <dxf>
      <numFmt numFmtId="170" formatCode="&quot;$&quot;#,##0"/>
      <fill>
        <patternFill patternType="solid">
          <fgColor indexed="64"/>
          <bgColor rgb="FFDDF2B8"/>
        </patternFill>
      </fill>
      <alignment horizontal="center" vertical="top" textRotation="0" wrapText="0" indent="0" justifyLastLine="0" shrinkToFit="0" readingOrder="0"/>
      <border outline="0">
        <left style="hair">
          <color rgb="FFBBBCBD"/>
        </left>
      </border>
    </dxf>
    <dxf>
      <numFmt numFmtId="170" formatCode="&quot;$&quot;#,##0"/>
      <fill>
        <patternFill patternType="solid">
          <fgColor indexed="64"/>
          <bgColor rgb="FFEDFFC4"/>
        </patternFill>
      </fill>
      <alignment horizontal="center" vertical="top" textRotation="0" wrapText="0" indent="0" justifyLastLine="0" shrinkToFit="0" readingOrder="0"/>
      <border outline="0">
        <left style="thin">
          <color indexed="64"/>
        </left>
        <right style="hair">
          <color rgb="FFBBBCBD"/>
        </right>
      </border>
    </dxf>
    <dxf>
      <numFmt numFmtId="172" formatCode="0.0"/>
      <fill>
        <patternFill patternType="solid">
          <fgColor indexed="64"/>
          <bgColor rgb="FFDDF2B8"/>
        </patternFill>
      </fill>
      <alignment horizontal="center" vertical="top" textRotation="0" wrapText="0" indent="0" justifyLastLine="0" shrinkToFit="0" readingOrder="0"/>
      <border diagonalUp="0" diagonalDown="0" outline="0">
        <left/>
        <right style="thin">
          <color indexed="64"/>
        </right>
        <top style="hair">
          <color rgb="FFBBBCBD"/>
        </top>
        <bottom style="hair">
          <color rgb="FFBBBCBD"/>
        </bottom>
      </border>
    </dxf>
    <dxf>
      <numFmt numFmtId="172" formatCode="0.0"/>
      <fill>
        <patternFill patternType="solid">
          <fgColor indexed="64"/>
          <bgColor rgb="FFEDFFC4"/>
        </patternFill>
      </fill>
      <alignment horizontal="center" vertical="top" textRotation="0" wrapText="0" indent="0" justifyLastLine="0" shrinkToFit="0" readingOrder="0"/>
      <border diagonalUp="0" diagonalDown="0" outline="0">
        <left style="hair">
          <color rgb="FFBBBCBD"/>
        </left>
        <right style="hair">
          <color rgb="FFBBBCBD"/>
        </right>
        <top style="hair">
          <color rgb="FFBBBCBD"/>
        </top>
        <bottom/>
      </border>
    </dxf>
    <dxf>
      <numFmt numFmtId="172" formatCode="0.0"/>
      <alignment horizontal="center" vertical="top" textRotation="0" wrapText="0" indent="0" justifyLastLine="0" shrinkToFit="0" readingOrder="0"/>
      <border diagonalUp="0" diagonalDown="0" outline="0">
        <left style="hair">
          <color rgb="FFBBBCBD"/>
        </left>
        <right style="hair">
          <color rgb="FFBBBCBD"/>
        </right>
        <top style="hair">
          <color rgb="FFBBBCBD"/>
        </top>
        <bottom/>
      </border>
    </dxf>
    <dxf>
      <numFmt numFmtId="172" formatCode="0.0"/>
      <fill>
        <patternFill patternType="solid">
          <fgColor indexed="64"/>
          <bgColor rgb="FFEDFFC4"/>
        </patternFill>
      </fill>
      <alignment horizontal="center" vertical="top"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172" formatCode="0.0"/>
      <fill>
        <patternFill patternType="solid">
          <fgColor indexed="64"/>
          <bgColor rgb="FFDDF2B8"/>
        </patternFill>
      </fill>
      <alignment horizontal="center" vertical="top"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0" formatCode="General"/>
      <fill>
        <patternFill patternType="solid">
          <fgColor indexed="64"/>
          <bgColor rgb="FFEDFFC4"/>
        </patternFill>
      </fill>
      <alignment horizontal="center" vertical="top"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171" formatCode="0.000"/>
      <fill>
        <patternFill patternType="solid">
          <fgColor indexed="64"/>
          <bgColor rgb="FFDDF2B8"/>
        </patternFill>
      </fill>
      <alignment horizontal="center" vertical="top" textRotation="0" wrapText="0" indent="0" justifyLastLine="0" shrinkToFit="0" readingOrder="0"/>
      <border diagonalUp="0" diagonalDown="0" outline="0">
        <left style="hair">
          <color rgb="FFBBBCBD"/>
        </left>
        <right style="hair">
          <color rgb="FFBBBCBD"/>
        </right>
        <top style="hair">
          <color rgb="FFBBBCBD"/>
        </top>
        <bottom/>
      </border>
    </dxf>
    <dxf>
      <numFmt numFmtId="171" formatCode="0.000"/>
      <fill>
        <patternFill patternType="solid">
          <fgColor indexed="64"/>
          <bgColor rgb="FFEDFFC4"/>
        </patternFill>
      </fill>
      <alignment horizontal="center" vertical="top" textRotation="0" wrapText="0" indent="0" justifyLastLine="0" shrinkToFit="0" readingOrder="0"/>
      <border diagonalUp="0" diagonalDown="0" outline="0">
        <left style="hair">
          <color rgb="FFBBBCBD"/>
        </left>
        <right style="hair">
          <color rgb="FFBBBCBD"/>
        </right>
        <top style="hair">
          <color rgb="FFBBBCBD"/>
        </top>
        <bottom style="hair">
          <color rgb="FFBBBCBD"/>
        </bottom>
      </border>
    </dxf>
    <dxf>
      <numFmt numFmtId="3" formatCode="#,##0"/>
      <alignment horizontal="center" vertical="top" textRotation="0" wrapText="0" indent="0" justifyLastLine="0" shrinkToFit="0" readingOrder="0"/>
      <border diagonalUp="0" diagonalDown="0">
        <left style="hair">
          <color rgb="FFBBBCBD"/>
        </left>
        <right style="hair">
          <color rgb="FFBBBCBD"/>
        </right>
        <top style="hair">
          <color rgb="FFBBBCBD"/>
        </top>
        <bottom/>
        <vertical/>
        <horizontal/>
      </border>
    </dxf>
    <dxf>
      <numFmt numFmtId="3" formatCode="#,##0"/>
      <alignment horizontal="center" vertical="top" textRotation="0" wrapText="0" indent="0" justifyLastLine="0" shrinkToFit="0" readingOrder="0"/>
      <border diagonalUp="0" diagonalDown="0">
        <left style="hair">
          <color rgb="FFBBBCBD"/>
        </left>
        <right style="hair">
          <color rgb="FFBBBCBD"/>
        </right>
        <top style="hair">
          <color rgb="FFBBBCBD"/>
        </top>
        <bottom/>
        <vertical/>
        <horizontal/>
      </border>
    </dxf>
    <dxf>
      <numFmt numFmtId="3" formatCode="#,##0"/>
      <alignment horizontal="center" vertical="top" textRotation="0" wrapText="0" indent="0" justifyLastLine="0" shrinkToFit="0" readingOrder="0"/>
      <border diagonalUp="0" diagonalDown="0">
        <left style="hair">
          <color rgb="FFBBBCBD"/>
        </left>
        <right style="hair">
          <color rgb="FFBBBCBD"/>
        </right>
        <top style="hair">
          <color rgb="FFBBBCBD"/>
        </top>
        <bottom style="hair">
          <color rgb="FFBBBCBD"/>
        </bottom>
        <vertical style="hair">
          <color rgb="FFBBBCBD"/>
        </vertical>
        <horizontal style="hair">
          <color rgb="FFBBBCBD"/>
        </horizontal>
      </border>
    </dxf>
    <dxf>
      <numFmt numFmtId="170" formatCode="&quot;$&quot;#,##0"/>
      <fill>
        <patternFill patternType="solid">
          <fgColor indexed="64"/>
          <bgColor rgb="FFEDFFC4"/>
        </patternFill>
      </fill>
      <alignment horizontal="center" vertical="top" textRotation="0" wrapText="0" indent="0" justifyLastLine="0" shrinkToFit="0" readingOrder="0"/>
      <border diagonalUp="0" diagonalDown="0">
        <left style="thin">
          <color indexed="64"/>
        </left>
        <right style="hair">
          <color rgb="FFBBBCBD"/>
        </right>
        <top style="hair">
          <color rgb="FFBBBCBD"/>
        </top>
        <bottom style="hair">
          <color rgb="FFBBBCBD"/>
        </bottom>
        <vertical style="hair">
          <color rgb="FFBBBCBD"/>
        </vertical>
        <horizontal style="hair">
          <color rgb="FFBBBCBD"/>
        </horizontal>
      </border>
    </dxf>
    <dxf>
      <numFmt numFmtId="0" formatCode="General"/>
      <alignment horizontal="general" vertical="top" textRotation="0" wrapText="0" indent="0" justifyLastLine="0" shrinkToFit="0" readingOrder="0"/>
      <border outline="0">
        <right style="hair">
          <color rgb="FFBBBCBD"/>
        </right>
      </border>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alignment horizontal="center" vertical="bottom" textRotation="0" wrapText="0" indent="0" justifyLastLine="0" shrinkToFit="0" readingOrder="0"/>
      <border outline="0">
        <left style="hair">
          <color rgb="FFBBBCBD"/>
        </left>
      </border>
    </dxf>
    <dxf>
      <alignment horizontal="center" vertical="top" textRotation="0" wrapText="0" indent="0" justifyLastLine="0" shrinkToFit="0" readingOrder="0"/>
    </dxf>
    <dxf>
      <numFmt numFmtId="0" formatCode="General"/>
      <alignment horizontal="general" vertical="top" textRotation="0" wrapText="0" indent="0" justifyLastLine="0" shrinkToFit="0" readingOrder="0"/>
      <border outline="0">
        <right style="hair">
          <color rgb="FFBBBCBD"/>
        </right>
      </border>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numFmt numFmtId="0" formatCode="General"/>
      <alignment horizontal="general" vertical="top" textRotation="0" wrapText="0" indent="0" justifyLastLine="0" shrinkToFit="0" readingOrder="0"/>
    </dxf>
    <dxf>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font>
        <b val="0"/>
        <i val="0"/>
        <strike val="0"/>
        <condense val="0"/>
        <extend val="0"/>
        <outline val="0"/>
        <shadow val="0"/>
        <u val="none"/>
        <vertAlign val="baseline"/>
        <sz val="8"/>
        <color auto="1"/>
        <name val="Arial"/>
        <scheme val="none"/>
      </font>
    </dxf>
    <dxf>
      <border outline="0">
        <bottom style="medium">
          <color rgb="FF95D600"/>
        </bottom>
      </border>
    </dxf>
    <dxf>
      <alignment horizontal="center" vertical="center" textRotation="0" wrapText="1" indent="0" justifyLastLine="0" shrinkToFit="0" readingOrder="0"/>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numFmt numFmtId="172" formatCode="0.0"/>
      <alignment horizontal="center" vertical="top" textRotation="0" wrapText="0" indent="0" justifyLastLine="0" shrinkToFit="0" readingOrder="0"/>
      <border diagonalUp="0" diagonalDown="0">
        <left style="hair">
          <color rgb="FFBBBCBD"/>
        </left>
        <right style="thin">
          <color indexed="64"/>
        </right>
        <vertical/>
      </border>
    </dxf>
    <dxf>
      <numFmt numFmtId="172" formatCode="0.0"/>
      <alignment horizontal="center" vertical="top" textRotation="0" wrapText="0" indent="0" justifyLastLine="0" shrinkToFit="0" readingOrder="0"/>
      <border outline="0">
        <left style="hair">
          <color rgb="FFBBBCBD"/>
        </left>
        <right style="hair">
          <color rgb="FFBBBCBD"/>
        </right>
      </border>
    </dxf>
    <dxf>
      <numFmt numFmtId="1" formatCode="0"/>
      <alignment horizontal="center" vertical="top" textRotation="0" wrapText="0" indent="0" justifyLastLine="0" shrinkToFit="0" readingOrder="0"/>
      <border outline="0">
        <left style="hair">
          <color rgb="FFBBBCBD"/>
        </left>
        <right style="hair">
          <color rgb="FFBBBCBD"/>
        </right>
      </border>
    </dxf>
    <dxf>
      <numFmt numFmtId="171" formatCode="0.000"/>
      <alignment horizontal="center" vertical="top" textRotation="0" wrapText="0" indent="0" justifyLastLine="0" shrinkToFit="0" readingOrder="0"/>
      <border diagonalUp="0" diagonalDown="0">
        <left style="hair">
          <color rgb="FFBBBCBD"/>
        </left>
        <right style="hair">
          <color rgb="FFBBBCBD"/>
        </right>
        <top style="hair">
          <color rgb="FFBBBCBD"/>
        </top>
        <bottom/>
        <vertical/>
        <horizontal/>
      </border>
    </dxf>
    <dxf>
      <numFmt numFmtId="171" formatCode="0.000"/>
      <alignment horizontal="center" vertical="top" textRotation="0" wrapText="0" indent="0" justifyLastLine="0" shrinkToFit="0" readingOrder="0"/>
      <border outline="0">
        <left style="hair">
          <color rgb="FFBBBCBD"/>
        </left>
        <right style="hair">
          <color rgb="FFBBBCBD"/>
        </right>
      </border>
    </dxf>
    <dxf>
      <numFmt numFmtId="3" formatCode="#,##0"/>
      <alignment horizontal="center" vertical="top" textRotation="0" wrapText="0" indent="0" justifyLastLine="0" shrinkToFit="0" readingOrder="0"/>
    </dxf>
    <dxf>
      <numFmt numFmtId="3" formatCode="#,##0"/>
      <alignment horizontal="center" vertical="top" textRotation="0" wrapText="0" indent="0" justifyLastLine="0" shrinkToFit="0" readingOrder="0"/>
    </dxf>
    <dxf>
      <numFmt numFmtId="3" formatCode="#,##0"/>
      <alignment horizontal="center" vertical="top" textRotation="0" wrapText="0" indent="0" justifyLastLine="0" shrinkToFit="0" readingOrder="0"/>
      <border>
        <left style="hair">
          <color rgb="FFBBBCBD"/>
        </left>
        <right style="hair">
          <color rgb="FFBBBCBD"/>
        </right>
      </border>
    </dxf>
    <dxf>
      <numFmt numFmtId="170" formatCode="&quot;$&quot;#,##0"/>
      <alignment horizontal="center" vertical="top" textRotation="0" wrapText="0" indent="0" justifyLastLine="0" shrinkToFit="0" readingOrder="0"/>
    </dxf>
    <dxf>
      <numFmt numFmtId="170" formatCode="&quot;$&quot;#,##0"/>
      <alignment horizontal="center" vertical="top" textRotation="0" wrapText="0" indent="0" justifyLastLine="0" shrinkToFit="0" readingOrder="0"/>
      <border>
        <left style="hair">
          <color rgb="FFBBBCBD"/>
        </left>
        <right style="hair">
          <color rgb="FFBBBCBD"/>
        </right>
      </border>
    </dxf>
    <dxf>
      <numFmt numFmtId="170" formatCode="&quot;$&quot;#,##0"/>
      <alignment horizontal="center" vertical="top" textRotation="0" wrapText="0" indent="0" justifyLastLine="0" shrinkToFit="0" readingOrder="0"/>
      <border diagonalUp="0" diagonalDown="0">
        <left/>
        <right style="hair">
          <color rgb="FFBBBCBD"/>
        </right>
        <top style="hair">
          <color rgb="FFBBBCBD"/>
        </top>
        <bottom style="hair">
          <color rgb="FFBBBCBD"/>
        </bottom>
        <vertical/>
        <horizontal/>
      </border>
    </dxf>
    <dxf>
      <numFmt numFmtId="170" formatCode="&quot;$&quot;#,##0"/>
      <alignment horizontal="center" vertical="top" textRotation="0" wrapText="0" indent="0" justifyLastLine="0" shrinkToFit="0" readingOrder="0"/>
      <border diagonalUp="0" diagonalDown="0">
        <left/>
        <right style="hair">
          <color rgb="FFBBBCBD"/>
        </right>
        <top style="hair">
          <color rgb="FFBBBCBD"/>
        </top>
        <bottom style="hair">
          <color rgb="FFBBBCBD"/>
        </bottom>
        <vertical/>
        <horizontal/>
      </border>
    </dxf>
    <dxf>
      <numFmt numFmtId="170" formatCode="&quot;$&quot;#,##0"/>
      <alignment horizontal="center" vertical="top" textRotation="0" wrapText="0" indent="0" justifyLastLine="0" shrinkToFit="0" readingOrder="0"/>
      <border diagonalUp="0" diagonalDown="0">
        <left style="thin">
          <color indexed="64"/>
        </left>
        <right style="hair">
          <color rgb="FFBBBCBD"/>
        </right>
        <vertical/>
      </border>
    </dxf>
    <dxf>
      <numFmt numFmtId="172" formatCode="0.0"/>
      <alignment horizontal="center" vertical="top" textRotation="0" wrapText="0" indent="0" justifyLastLine="0" shrinkToFit="0" readingOrder="0"/>
      <border outline="0">
        <left style="hair">
          <color rgb="FFBBBCBD"/>
        </left>
        <right style="hair">
          <color rgb="FFBBBCBD"/>
        </right>
      </border>
    </dxf>
    <dxf>
      <numFmt numFmtId="172" formatCode="0.0"/>
      <alignment horizontal="center" vertical="top" textRotation="0" wrapText="0" indent="0" justifyLastLine="0" shrinkToFit="0" readingOrder="0"/>
      <border outline="0">
        <right style="hair">
          <color rgb="FFBBBCBD"/>
        </right>
      </border>
    </dxf>
    <dxf>
      <numFmt numFmtId="0" formatCode="General"/>
      <alignment horizontal="center" vertical="top" textRotation="0" wrapText="0" indent="0" justifyLastLine="0" shrinkToFit="0" readingOrder="0"/>
      <border outline="0">
        <left style="hair">
          <color rgb="FFBBBCBD"/>
        </left>
        <right style="hair">
          <color rgb="FFBBBCBD"/>
        </right>
      </border>
    </dxf>
    <dxf>
      <numFmt numFmtId="171" formatCode="0.000"/>
      <alignment horizontal="center" vertical="top" textRotation="0" wrapText="0" indent="0" justifyLastLine="0" shrinkToFit="0" readingOrder="0"/>
      <border diagonalUp="0" diagonalDown="0">
        <left style="hair">
          <color rgb="FFBBBCBD"/>
        </left>
        <right style="hair">
          <color rgb="FFBBBCBD"/>
        </right>
        <top style="hair">
          <color rgb="FFBBBCBD"/>
        </top>
        <bottom/>
        <vertical/>
        <horizontal/>
      </border>
    </dxf>
    <dxf>
      <numFmt numFmtId="171" formatCode="0.000"/>
      <alignment horizontal="center" vertical="top" textRotation="0" wrapText="0" indent="0" justifyLastLine="0" shrinkToFit="0" readingOrder="0"/>
      <border outline="0">
        <left style="hair">
          <color rgb="FFBBBCBD"/>
        </left>
      </border>
    </dxf>
    <dxf>
      <numFmt numFmtId="3" formatCode="#,##0"/>
      <alignment horizontal="center" vertical="top" textRotation="0" wrapText="0" indent="0" justifyLastLine="0" shrinkToFit="0" readingOrder="0"/>
    </dxf>
    <dxf>
      <numFmt numFmtId="3" formatCode="#,##0"/>
      <alignment horizontal="center" vertical="top" textRotation="0" wrapText="0" indent="0" justifyLastLine="0" shrinkToFit="0" readingOrder="0"/>
    </dxf>
    <dxf>
      <numFmt numFmtId="3" formatCode="#,##0"/>
      <alignment horizontal="center" vertical="top" textRotation="0" wrapText="0" indent="0" justifyLastLine="0" shrinkToFit="0" readingOrder="0"/>
      <border>
        <left style="hair">
          <color rgb="FFBBBCBD"/>
        </left>
        <right style="hair">
          <color rgb="FFBBBCBD"/>
        </right>
      </border>
    </dxf>
    <dxf>
      <numFmt numFmtId="170" formatCode="&quot;$&quot;#,##0"/>
      <alignment horizontal="center" vertical="top" textRotation="0" wrapText="0" indent="0" justifyLastLine="0" shrinkToFit="0" readingOrder="0"/>
      <border diagonalUp="0" diagonalDown="0">
        <left style="thin">
          <color indexed="64"/>
        </left>
        <right style="hair">
          <color rgb="FFBBBCBD"/>
        </right>
        <vertical/>
      </border>
    </dxf>
    <dxf>
      <numFmt numFmtId="0" formatCode="General"/>
      <alignment horizontal="general" vertical="top" textRotation="0" wrapText="0" indent="0" justifyLastLine="0" shrinkToFit="0" readingOrder="0"/>
      <border outline="0">
        <left style="hair">
          <color rgb="FFB9BBBD"/>
        </left>
        <right style="hair">
          <color rgb="FFBBBCBD"/>
        </right>
      </border>
    </dxf>
    <dxf>
      <numFmt numFmtId="172" formatCode="0.0"/>
      <fill>
        <patternFill patternType="solid">
          <fgColor indexed="64"/>
          <bgColor rgb="FFEDFFC4"/>
        </patternFill>
      </fill>
      <alignment horizontal="center" vertical="top" textRotation="0" wrapText="0" indent="0" justifyLastLine="0" shrinkToFit="0" readingOrder="0"/>
      <border outline="0">
        <left style="hair">
          <color rgb="FFB9BBBD"/>
        </left>
      </border>
    </dxf>
    <dxf>
      <numFmt numFmtId="172" formatCode="0.0"/>
      <fill>
        <patternFill patternType="solid">
          <fgColor indexed="64"/>
          <bgColor rgb="FFEDFFC4"/>
        </patternFill>
      </fill>
      <alignment horizontal="center" vertical="top" textRotation="0" wrapText="0" indent="0" justifyLastLine="0" shrinkToFit="0" readingOrder="0"/>
      <border outline="0">
        <left style="hair">
          <color rgb="FFB9BBBD"/>
        </left>
        <right style="hair">
          <color rgb="FFB9BBBD"/>
        </right>
      </border>
    </dxf>
    <dxf>
      <numFmt numFmtId="172" formatCode="0.0"/>
      <fill>
        <patternFill patternType="solid">
          <fgColor indexed="64"/>
          <bgColor rgb="FFEDFFC4"/>
        </patternFill>
      </fill>
      <alignment horizontal="center" vertical="top" textRotation="0" wrapText="0" indent="0" justifyLastLine="0" shrinkToFit="0" readingOrder="0"/>
      <border outline="0">
        <right style="hair">
          <color rgb="FFB9BBBD"/>
        </right>
      </border>
    </dxf>
    <dxf>
      <numFmt numFmtId="0" formatCode="General"/>
      <alignment horizontal="general" vertical="top" textRotation="0" wrapText="0" indent="0" justifyLastLine="0" shrinkToFit="0" readingOrder="0"/>
      <border outline="0">
        <right style="hair">
          <color rgb="FFB9BBBD"/>
        </right>
      </border>
    </dxf>
    <dxf>
      <numFmt numFmtId="0" formatCode="General"/>
      <alignment horizontal="general" vertical="top" textRotation="0" wrapText="0" indent="0" justifyLastLine="0" shrinkToFit="0" readingOrder="0"/>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border outline="0">
        <bottom style="medium">
          <color rgb="FF95D600"/>
        </bottom>
      </border>
    </dxf>
    <dxf>
      <alignment horizontal="center" vertical="center"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border diagonalUp="0" diagonalDown="0">
        <left style="thin">
          <color indexed="64"/>
        </left>
      </border>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border diagonalUp="0" diagonalDown="0">
        <left style="thin">
          <color indexed="64"/>
        </left>
        <vertical/>
      </border>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border diagonalUp="0" diagonalDown="0">
        <left style="thin">
          <color indexed="64"/>
        </left>
        <vertical/>
      </border>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border diagonalUp="0" diagonalDown="0">
        <left style="thin">
          <color indexed="64"/>
        </left>
        <vertical/>
      </border>
    </dxf>
    <dxf>
      <numFmt numFmtId="0" formatCode="General"/>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alignment horizontal="center" vertical="top" textRotation="0" wrapText="0" indent="0" justifyLastLine="0" shrinkToFit="0" readingOrder="0"/>
    </dxf>
    <dxf>
      <font>
        <b val="0"/>
        <i val="0"/>
        <strike val="0"/>
        <condense val="0"/>
        <extend val="0"/>
        <outline val="0"/>
        <shadow val="0"/>
        <u val="none"/>
        <vertAlign val="baseline"/>
        <sz val="8"/>
        <color auto="1"/>
        <name val="Arial"/>
        <scheme val="none"/>
      </font>
      <alignment horizontal="center" vertical="top" textRotation="0" wrapText="0" indent="0" justifyLastLine="0" shrinkToFit="0" readingOrder="0"/>
    </dxf>
    <dxf>
      <font>
        <b val="0"/>
        <i val="0"/>
        <strike val="0"/>
        <condense val="0"/>
        <extend val="0"/>
        <outline val="0"/>
        <shadow val="0"/>
        <u val="none"/>
        <vertAlign val="baseline"/>
        <sz val="8"/>
        <color auto="1"/>
        <name val="Arial"/>
        <scheme val="none"/>
      </font>
      <numFmt numFmtId="0" formatCode="General"/>
      <alignment horizontal="center" vertical="top" textRotation="0" wrapText="0" indent="0" justifyLastLine="0" shrinkToFit="0" readingOrder="0"/>
    </dxf>
    <dxf>
      <font>
        <b val="0"/>
        <i val="0"/>
        <strike val="0"/>
        <condense val="0"/>
        <extend val="0"/>
        <outline val="0"/>
        <shadow val="0"/>
        <u val="none"/>
        <vertAlign val="baseline"/>
        <sz val="8"/>
        <color auto="1"/>
        <name val="Arial"/>
        <scheme val="none"/>
      </font>
      <alignment horizontal="center" textRotation="0" indent="0" justifyLastLine="0" shrinkToFit="0" readingOrder="0"/>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border outline="0">
        <bottom style="medium">
          <color rgb="FF95D600"/>
        </bottom>
      </border>
    </dxf>
    <dxf>
      <alignment horizontal="center" vertical="center" textRotation="0" wrapText="1" indent="0" justifyLastLine="0" shrinkToFit="0" readingOrder="0"/>
    </dxf>
    <dxf>
      <font>
        <b/>
        <i val="0"/>
        <color rgb="FFFFFFFF"/>
      </font>
      <fill>
        <patternFill>
          <bgColor rgb="FF95D600"/>
        </patternFill>
      </fill>
    </dxf>
    <dxf>
      <border>
        <top style="thin">
          <color rgb="FF95D600"/>
        </top>
        <bottom style="thin">
          <color rgb="FF95D600"/>
        </bottom>
        <horizontal style="thin">
          <color rgb="FF95D600"/>
        </horizontal>
      </border>
    </dxf>
    <dxf>
      <fill>
        <patternFill patternType="solid">
          <bgColor rgb="FFEFF9DB"/>
        </patternFill>
      </fill>
    </dxf>
    <dxf>
      <font>
        <b/>
        <i val="0"/>
        <color rgb="FFFFFFFF"/>
      </font>
      <fill>
        <patternFill>
          <bgColor rgb="FF95D600"/>
        </patternFill>
      </fill>
    </dxf>
    <dxf>
      <border>
        <top style="thin">
          <color rgb="FF95D600"/>
        </top>
        <bottom style="thin">
          <color rgb="FF95D600"/>
        </bottom>
        <horizontal style="thin">
          <color rgb="FF95D600"/>
        </horizontal>
      </border>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fill>
        <patternFill>
          <bgColor rgb="FFF2F2F2"/>
        </patternFill>
      </fill>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s>
  <tableStyles count="4" defaultTableStyle="TableStyleMedium2" defaultPivotStyle="PivotStyleLight16">
    <tableStyle name="Navigant_01" pivot="0" count="3">
      <tableStyleElement type="wholeTable" dxfId="589"/>
      <tableStyleElement type="headerRow" dxfId="588"/>
      <tableStyleElement type="secondRowStripe" dxfId="587"/>
    </tableStyle>
    <tableStyle name="Navigant_02" pivot="0" count="2">
      <tableStyleElement type="wholeTable" dxfId="586"/>
      <tableStyleElement type="headerRow" dxfId="585"/>
    </tableStyle>
    <tableStyle name="Navigant_03" pivot="0" count="3">
      <tableStyleElement type="wholeTable" dxfId="584"/>
      <tableStyleElement type="headerRow" dxfId="583"/>
      <tableStyleElement type="secondRowStripe" dxfId="582"/>
    </tableStyle>
    <tableStyle name="Navigant_04" pivot="0" count="2">
      <tableStyleElement type="wholeTable" dxfId="581"/>
      <tableStyleElement type="headerRow" dxfId="580"/>
    </tableStyle>
  </tableStyles>
  <colors>
    <mruColors>
      <color rgb="FFDDF2B8"/>
      <color rgb="FFEDFFC4"/>
      <color rgb="FF648C1A"/>
      <color rgb="FFFFF1D1"/>
      <color rgb="FFB0E159"/>
      <color rgb="FFF5FBE9"/>
      <color rgb="FF555759"/>
      <color rgb="FFB9BBBD"/>
      <color rgb="FFFFD474"/>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microsoft.com/office/2007/relationships/slicerCache" Target="slicerCaches/slicerCache4.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microsoft.com/office/2007/relationships/slicerCache" Target="slicerCaches/slicerCache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microsoft.com/office/2007/relationships/slicerCache" Target="slicerCaches/slicerCache2.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microsoft.com/office/2007/relationships/slicerCache" Target="slicerCaches/slicerCache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07/relationships/slicerCache" Target="slicerCaches/slicerCache1.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microsoft.com/office/2007/relationships/slicerCache" Target="slicerCaches/slicerCache5.xml"/><Relationship Id="rId8" Type="http://schemas.openxmlformats.org/officeDocument/2006/relationships/worksheet" Target="worksheets/sheet8.xml"/><Relationship Id="rId51"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Partial Displacement Annual Energy Cost Savings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ER Low Tier</c:v>
          </c:tx>
          <c:spPr>
            <a:solidFill>
              <a:schemeClr val="accent1"/>
            </a:solidFill>
            <a:ln>
              <a:noFill/>
            </a:ln>
            <a:effectLst/>
          </c:spPr>
          <c:invertIfNegative val="0"/>
          <c:cat>
            <c:strRef>
              <c:f>'Partial Displacement'!$H$89:$H$95</c:f>
              <c:strCache>
                <c:ptCount val="7"/>
                <c:pt idx="0">
                  <c:v>Baseline A/C Blend+Oil Furnace to Central HP+Oil Furnace</c:v>
                </c:pt>
                <c:pt idx="1">
                  <c:v>Baseline A/C Blend+Propane Furnace to Central HP+Propane Furnace</c:v>
                </c:pt>
                <c:pt idx="2">
                  <c:v>Room AC/No AC Blend+Oil Boiler to DMSHP+Oil Boiler</c:v>
                </c:pt>
                <c:pt idx="3">
                  <c:v>Room AC/No AC Blend+Propane Boiler to DMSHP+Propane Boiler</c:v>
                </c:pt>
                <c:pt idx="4">
                  <c:v>Room AC/No AC Blend+Electric Baseboard to Electric Baseboard+DMSHP</c:v>
                </c:pt>
                <c:pt idx="5">
                  <c:v>Central A/C+Oil Boiler to Central HP+Oil Boiler</c:v>
                </c:pt>
                <c:pt idx="6">
                  <c:v>Central A/C+Propane Boiler to Central HP+Propane Boiler</c:v>
                </c:pt>
              </c:strCache>
            </c:strRef>
          </c:cat>
          <c:val>
            <c:numRef>
              <c:f>'Partial Displacement'!$S$89:$S$95</c:f>
              <c:numCache>
                <c:formatCode>"$"#,##0</c:formatCode>
                <c:ptCount val="7"/>
                <c:pt idx="0">
                  <c:v>325.84558727644117</c:v>
                </c:pt>
                <c:pt idx="1">
                  <c:v>1307.586799119762</c:v>
                </c:pt>
                <c:pt idx="2">
                  <c:v>432.41246883180429</c:v>
                </c:pt>
                <c:pt idx="3">
                  <c:v>1637.3624429672359</c:v>
                </c:pt>
                <c:pt idx="4">
                  <c:v>2216.2153960985102</c:v>
                </c:pt>
                <c:pt idx="5">
                  <c:v>373.30028162156032</c:v>
                </c:pt>
                <c:pt idx="6">
                  <c:v>1540.1379380833569</c:v>
                </c:pt>
              </c:numCache>
            </c:numRef>
          </c:val>
          <c:extLst>
            <c:ext xmlns:c16="http://schemas.microsoft.com/office/drawing/2014/chart" uri="{C3380CC4-5D6E-409C-BE32-E72D297353CC}">
              <c16:uniqueId val="{00000000-D931-444F-ADA1-5AAC98DE269E}"/>
            </c:ext>
          </c:extLst>
        </c:ser>
        <c:ser>
          <c:idx val="1"/>
          <c:order val="1"/>
          <c:tx>
            <c:v>ER High Tier</c:v>
          </c:tx>
          <c:spPr>
            <a:solidFill>
              <a:schemeClr val="accent2"/>
            </a:solidFill>
            <a:ln>
              <a:noFill/>
            </a:ln>
            <a:effectLst/>
          </c:spPr>
          <c:invertIfNegative val="0"/>
          <c:val>
            <c:numRef>
              <c:f>'Partial Displacement'!$AD$89:$AD$95</c:f>
              <c:numCache>
                <c:formatCode>"$"#,##0</c:formatCode>
                <c:ptCount val="7"/>
                <c:pt idx="0">
                  <c:v>451.12060608284651</c:v>
                </c:pt>
                <c:pt idx="1">
                  <c:v>1479.6393117666262</c:v>
                </c:pt>
                <c:pt idx="2">
                  <c:v>619.74781106464479</c:v>
                </c:pt>
                <c:pt idx="3">
                  <c:v>1894.6420379974406</c:v>
                </c:pt>
                <c:pt idx="4">
                  <c:v>2473.4949911287154</c:v>
                </c:pt>
                <c:pt idx="5">
                  <c:v>511.59781543420104</c:v>
                </c:pt>
                <c:pt idx="6">
                  <c:v>1730.8891820942895</c:v>
                </c:pt>
              </c:numCache>
            </c:numRef>
          </c:val>
          <c:extLst>
            <c:ext xmlns:c16="http://schemas.microsoft.com/office/drawing/2014/chart" uri="{C3380CC4-5D6E-409C-BE32-E72D297353CC}">
              <c16:uniqueId val="{00000001-D931-444F-ADA1-5AAC98DE269E}"/>
            </c:ext>
          </c:extLst>
        </c:ser>
        <c:dLbls>
          <c:showLegendKey val="0"/>
          <c:showVal val="0"/>
          <c:showCatName val="0"/>
          <c:showSerName val="0"/>
          <c:showPercent val="0"/>
          <c:showBubbleSize val="0"/>
        </c:dLbls>
        <c:gapWidth val="150"/>
        <c:axId val="277705856"/>
        <c:axId val="277707392"/>
      </c:barChart>
      <c:catAx>
        <c:axId val="27770585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7707392"/>
        <c:crossesAt val="0"/>
        <c:auto val="1"/>
        <c:lblAlgn val="ctr"/>
        <c:lblOffset val="100"/>
        <c:noMultiLvlLbl val="0"/>
      </c:catAx>
      <c:valAx>
        <c:axId val="277707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Annual Energy Cost Savings</a:t>
                </a:r>
                <a:r>
                  <a:rPr lang="en-US" baseline="0"/>
                  <a:t> (USD/yr)</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770585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Partial Displacement Winter Peak Demand Savings</a:t>
            </a:r>
          </a:p>
          <a:p>
            <a:pPr>
              <a:defRPr/>
            </a:pPr>
            <a:r>
              <a:rPr lang="en-US" sz="1100"/>
              <a:t>(Negative Savings</a:t>
            </a:r>
            <a:r>
              <a:rPr lang="en-US" sz="1100" baseline="0"/>
              <a:t> Indicate an Increase in Peak Demand)</a:t>
            </a:r>
            <a:endParaRPr lang="en-US" sz="11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ER Low Tier</c:v>
          </c:tx>
          <c:spPr>
            <a:solidFill>
              <a:schemeClr val="accent1"/>
            </a:solidFill>
            <a:ln>
              <a:noFill/>
            </a:ln>
            <a:effectLst/>
          </c:spPr>
          <c:invertIfNegative val="0"/>
          <c:cat>
            <c:strRef>
              <c:f>'Partial Displacement'!$H$89:$H$95</c:f>
              <c:strCache>
                <c:ptCount val="7"/>
                <c:pt idx="0">
                  <c:v>Baseline A/C Blend+Oil Furnace to Central HP+Oil Furnace</c:v>
                </c:pt>
                <c:pt idx="1">
                  <c:v>Baseline A/C Blend+Propane Furnace to Central HP+Propane Furnace</c:v>
                </c:pt>
                <c:pt idx="2">
                  <c:v>Room AC/No AC Blend+Oil Boiler to DMSHP+Oil Boiler</c:v>
                </c:pt>
                <c:pt idx="3">
                  <c:v>Room AC/No AC Blend+Propane Boiler to DMSHP+Propane Boiler</c:v>
                </c:pt>
                <c:pt idx="4">
                  <c:v>Room AC/No AC Blend+Electric Baseboard to Electric Baseboard+DMSHP</c:v>
                </c:pt>
                <c:pt idx="5">
                  <c:v>Central A/C+Oil Boiler to Central HP+Oil Boiler</c:v>
                </c:pt>
                <c:pt idx="6">
                  <c:v>Central A/C+Propane Boiler to Central HP+Propane Boiler</c:v>
                </c:pt>
              </c:strCache>
            </c:strRef>
          </c:cat>
          <c:val>
            <c:numRef>
              <c:f>'Partial Displacement'!$V$89:$V$95</c:f>
              <c:numCache>
                <c:formatCode>0.000</c:formatCode>
                <c:ptCount val="7"/>
                <c:pt idx="0">
                  <c:v>-1.0366603124471265</c:v>
                </c:pt>
                <c:pt idx="1">
                  <c:v>-1.0366603124471265</c:v>
                </c:pt>
                <c:pt idx="2">
                  <c:v>-0.98471716203259829</c:v>
                </c:pt>
                <c:pt idx="3">
                  <c:v>-0.98977948226270374</c:v>
                </c:pt>
                <c:pt idx="4">
                  <c:v>0</c:v>
                </c:pt>
                <c:pt idx="5">
                  <c:v>-1.0588348090914219</c:v>
                </c:pt>
                <c:pt idx="6">
                  <c:v>-1.0638971293215274</c:v>
                </c:pt>
              </c:numCache>
            </c:numRef>
          </c:val>
          <c:extLst>
            <c:ext xmlns:c16="http://schemas.microsoft.com/office/drawing/2014/chart" uri="{C3380CC4-5D6E-409C-BE32-E72D297353CC}">
              <c16:uniqueId val="{00000000-57DC-4F03-8530-ECA9591CF3C9}"/>
            </c:ext>
          </c:extLst>
        </c:ser>
        <c:ser>
          <c:idx val="1"/>
          <c:order val="1"/>
          <c:tx>
            <c:v>ER High Tier</c:v>
          </c:tx>
          <c:spPr>
            <a:solidFill>
              <a:schemeClr val="accent2"/>
            </a:solidFill>
            <a:ln>
              <a:noFill/>
            </a:ln>
            <a:effectLst/>
          </c:spPr>
          <c:invertIfNegative val="0"/>
          <c:val>
            <c:numRef>
              <c:f>'Partial Displacement'!$AG$89:$AG$95</c:f>
              <c:numCache>
                <c:formatCode>0.000</c:formatCode>
                <c:ptCount val="7"/>
                <c:pt idx="0">
                  <c:v>-1.6300426653883033</c:v>
                </c:pt>
                <c:pt idx="1">
                  <c:v>-1.6300426653883033</c:v>
                </c:pt>
                <c:pt idx="2">
                  <c:v>-1.0897171620325983</c:v>
                </c:pt>
                <c:pt idx="3">
                  <c:v>-1.0947794822627037</c:v>
                </c:pt>
                <c:pt idx="4">
                  <c:v>0</c:v>
                </c:pt>
                <c:pt idx="5">
                  <c:v>-1.6522171620325987</c:v>
                </c:pt>
                <c:pt idx="6">
                  <c:v>-1.6572794822627042</c:v>
                </c:pt>
              </c:numCache>
            </c:numRef>
          </c:val>
          <c:extLst>
            <c:ext xmlns:c16="http://schemas.microsoft.com/office/drawing/2014/chart" uri="{C3380CC4-5D6E-409C-BE32-E72D297353CC}">
              <c16:uniqueId val="{00000001-57DC-4F03-8530-ECA9591CF3C9}"/>
            </c:ext>
          </c:extLst>
        </c:ser>
        <c:dLbls>
          <c:showLegendKey val="0"/>
          <c:showVal val="0"/>
          <c:showCatName val="0"/>
          <c:showSerName val="0"/>
          <c:showPercent val="0"/>
          <c:showBubbleSize val="0"/>
        </c:dLbls>
        <c:gapWidth val="150"/>
        <c:axId val="277734912"/>
        <c:axId val="277736448"/>
      </c:barChart>
      <c:catAx>
        <c:axId val="27773491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7736448"/>
        <c:crossesAt val="0"/>
        <c:auto val="1"/>
        <c:lblAlgn val="ctr"/>
        <c:lblOffset val="100"/>
        <c:noMultiLvlLbl val="0"/>
      </c:catAx>
      <c:valAx>
        <c:axId val="2777364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Peak Demand Savings (kW)</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77349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Partial Displacement Annual Carbon Emissions Reduction, Source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ER Low Tier</c:v>
          </c:tx>
          <c:spPr>
            <a:solidFill>
              <a:schemeClr val="accent1"/>
            </a:solidFill>
            <a:ln>
              <a:noFill/>
            </a:ln>
            <a:effectLst/>
          </c:spPr>
          <c:invertIfNegative val="0"/>
          <c:cat>
            <c:strRef>
              <c:f>'Partial Displacement'!$H$89:$H$95</c:f>
              <c:strCache>
                <c:ptCount val="7"/>
                <c:pt idx="0">
                  <c:v>Baseline A/C Blend+Oil Furnace to Central HP+Oil Furnace</c:v>
                </c:pt>
                <c:pt idx="1">
                  <c:v>Baseline A/C Blend+Propane Furnace to Central HP+Propane Furnace</c:v>
                </c:pt>
                <c:pt idx="2">
                  <c:v>Room AC/No AC Blend+Oil Boiler to DMSHP+Oil Boiler</c:v>
                </c:pt>
                <c:pt idx="3">
                  <c:v>Room AC/No AC Blend+Propane Boiler to DMSHP+Propane Boiler</c:v>
                </c:pt>
                <c:pt idx="4">
                  <c:v>Room AC/No AC Blend+Electric Baseboard to Electric Baseboard+DMSHP</c:v>
                </c:pt>
                <c:pt idx="5">
                  <c:v>Central A/C+Oil Boiler to Central HP+Oil Boiler</c:v>
                </c:pt>
                <c:pt idx="6">
                  <c:v>Central A/C+Propane Boiler to Central HP+Propane Boiler</c:v>
                </c:pt>
              </c:strCache>
            </c:strRef>
          </c:cat>
          <c:val>
            <c:numRef>
              <c:f>'Partial Displacement'!$AC$89:$AC$95</c:f>
              <c:numCache>
                <c:formatCode>0.00</c:formatCode>
                <c:ptCount val="7"/>
                <c:pt idx="0">
                  <c:v>2.5693354724241493</c:v>
                </c:pt>
                <c:pt idx="1">
                  <c:v>2.7008823792368131</c:v>
                </c:pt>
                <c:pt idx="2">
                  <c:v>3.1166788630008995</c:v>
                </c:pt>
                <c:pt idx="3">
                  <c:v>3.3554782462741191</c:v>
                </c:pt>
                <c:pt idx="4">
                  <c:v>3.9569192582717383</c:v>
                </c:pt>
                <c:pt idx="5">
                  <c:v>3.0111376090313877</c:v>
                </c:pt>
                <c:pt idx="6">
                  <c:v>3.1818897420031842</c:v>
                </c:pt>
              </c:numCache>
            </c:numRef>
          </c:val>
          <c:extLst>
            <c:ext xmlns:c16="http://schemas.microsoft.com/office/drawing/2014/chart" uri="{C3380CC4-5D6E-409C-BE32-E72D297353CC}">
              <c16:uniqueId val="{00000000-BA05-45B9-871C-8E7636A2B48E}"/>
            </c:ext>
          </c:extLst>
        </c:ser>
        <c:ser>
          <c:idx val="1"/>
          <c:order val="1"/>
          <c:tx>
            <c:v>ER High Tier</c:v>
          </c:tx>
          <c:spPr>
            <a:solidFill>
              <a:schemeClr val="accent2"/>
            </a:solidFill>
            <a:ln>
              <a:noFill/>
            </a:ln>
            <a:effectLst/>
          </c:spPr>
          <c:invertIfNegative val="0"/>
          <c:val>
            <c:numRef>
              <c:f>'Partial Displacement'!$AN$89:$AN$95</c:f>
              <c:numCache>
                <c:formatCode>0.00</c:formatCode>
                <c:ptCount val="7"/>
                <c:pt idx="0">
                  <c:v>2.7930064817349178</c:v>
                </c:pt>
                <c:pt idx="1">
                  <c:v>3.008071789582448</c:v>
                </c:pt>
                <c:pt idx="2">
                  <c:v>3.4511548461300698</c:v>
                </c:pt>
                <c:pt idx="3">
                  <c:v>3.8148354848022645</c:v>
                </c:pt>
                <c:pt idx="4">
                  <c:v>4.4162764967998838</c:v>
                </c:pt>
                <c:pt idx="5">
                  <c:v>3.2580595354281119</c:v>
                </c:pt>
                <c:pt idx="6">
                  <c:v>3.522464612250408</c:v>
                </c:pt>
              </c:numCache>
            </c:numRef>
          </c:val>
          <c:extLst>
            <c:ext xmlns:c16="http://schemas.microsoft.com/office/drawing/2014/chart" uri="{C3380CC4-5D6E-409C-BE32-E72D297353CC}">
              <c16:uniqueId val="{00000001-BA05-45B9-871C-8E7636A2B48E}"/>
            </c:ext>
          </c:extLst>
        </c:ser>
        <c:dLbls>
          <c:showLegendKey val="0"/>
          <c:showVal val="0"/>
          <c:showCatName val="0"/>
          <c:showSerName val="0"/>
          <c:showPercent val="0"/>
          <c:showBubbleSize val="0"/>
        </c:dLbls>
        <c:gapWidth val="150"/>
        <c:axId val="277861504"/>
        <c:axId val="277863040"/>
      </c:barChart>
      <c:catAx>
        <c:axId val="27786150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7863040"/>
        <c:crossesAt val="0"/>
        <c:auto val="1"/>
        <c:lblAlgn val="ctr"/>
        <c:lblOffset val="100"/>
        <c:noMultiLvlLbl val="0"/>
      </c:catAx>
      <c:valAx>
        <c:axId val="277863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Carbon Emissions Savings (tons CO2/year)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7861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Replace On Failure</a:t>
            </a:r>
            <a:r>
              <a:rPr lang="en-US" baseline="0"/>
              <a:t> </a:t>
            </a:r>
            <a:r>
              <a:rPr lang="en-US"/>
              <a:t>Annual Energy Cost Savings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ROF Low Tier</c:v>
          </c:tx>
          <c:spPr>
            <a:solidFill>
              <a:schemeClr val="accent1"/>
            </a:solidFill>
            <a:ln>
              <a:noFill/>
            </a:ln>
            <a:effectLst/>
          </c:spPr>
          <c:invertIfNegative val="0"/>
          <c:cat>
            <c:strRef>
              <c:f>'Replace on Failure'!$H$85:$H$113</c:f>
              <c:strCache>
                <c:ptCount val="29"/>
                <c:pt idx="0">
                  <c:v>Baseline A/C Blend+Oil Furnace to Central HP+Oil Furnace</c:v>
                </c:pt>
                <c:pt idx="1">
                  <c:v>Baseline A/C Blend+Propane Furnace to Central HP+Propane Furnace</c:v>
                </c:pt>
                <c:pt idx="2">
                  <c:v>Baseline A/C Blend+Oil Furnace to Central HP</c:v>
                </c:pt>
                <c:pt idx="3">
                  <c:v>Baseline A/C Blend+Propane Furnace to Central HP</c:v>
                </c:pt>
                <c:pt idx="4">
                  <c:v>Room AC/No AC Blend+Oil Boiler to DMSHP+Oil Boiler</c:v>
                </c:pt>
                <c:pt idx="5">
                  <c:v>Room AC/No AC Blend+Propane Boiler to DMSHP+Propane Boiler</c:v>
                </c:pt>
                <c:pt idx="6">
                  <c:v>Room AC/No AC Blend+Electric Baseboard to Electric Baseboard+DMSHP</c:v>
                </c:pt>
                <c:pt idx="7">
                  <c:v>Tankless Coil WH to HPWH</c:v>
                </c:pt>
                <c:pt idx="8">
                  <c:v>Oil Boiler to Gas Boiler</c:v>
                </c:pt>
                <c:pt idx="9">
                  <c:v>Propane Boiler to Gas Boiler</c:v>
                </c:pt>
                <c:pt idx="10">
                  <c:v>Oil Boiler+Indirect WH to Gas Boiler+Indirect WH</c:v>
                </c:pt>
                <c:pt idx="11">
                  <c:v>Propane Boiler+Indirect WH to Gas Boiler+Indirect WH</c:v>
                </c:pt>
                <c:pt idx="12">
                  <c:v>Oil Furnace to Gas Furnace</c:v>
                </c:pt>
                <c:pt idx="13">
                  <c:v>Propane Furnace to Gas Furnace</c:v>
                </c:pt>
                <c:pt idx="14">
                  <c:v>Oil Boiler+Tankless Coil WH to Gas Combination Boiler</c:v>
                </c:pt>
                <c:pt idx="15">
                  <c:v>Propane Combination Boiler to Gas Combination Boiler</c:v>
                </c:pt>
                <c:pt idx="16">
                  <c:v>Oil Boiler+Storage WH to Gas Combination Boiler</c:v>
                </c:pt>
                <c:pt idx="17">
                  <c:v>Propane Boiler+Storage WH to Gas Combination Boiler</c:v>
                </c:pt>
                <c:pt idx="18">
                  <c:v>Oil Storage WH to Gas Storage WH</c:v>
                </c:pt>
                <c:pt idx="19">
                  <c:v>Propane Storage WH to Gas Storage WH</c:v>
                </c:pt>
                <c:pt idx="20">
                  <c:v>Oil Storage WH to Gas On-Demand WH</c:v>
                </c:pt>
                <c:pt idx="21">
                  <c:v>Propane Storage WH to Gas On-Demand WH</c:v>
                </c:pt>
                <c:pt idx="22">
                  <c:v>Tankless Coil WH to Gas On-Demand WH</c:v>
                </c:pt>
                <c:pt idx="23">
                  <c:v>Propane On-Demand WH to Gas On-Demand WH</c:v>
                </c:pt>
                <c:pt idx="24">
                  <c:v>Central A/C+Oil Boiler to Central HP+Oil Boiler</c:v>
                </c:pt>
                <c:pt idx="25">
                  <c:v>Central A/C+Propane Boiler to Central HP+Propane Boiler</c:v>
                </c:pt>
                <c:pt idx="26">
                  <c:v>Room AC/No AC Blend+Oil Boiler to DMSHP</c:v>
                </c:pt>
                <c:pt idx="27">
                  <c:v>Room AC/No AC Blend+Propane Boiler to DMSHP</c:v>
                </c:pt>
                <c:pt idx="28">
                  <c:v>Oil Boiler+Indirect WH to Gas Combination Boiler</c:v>
                </c:pt>
              </c:strCache>
            </c:strRef>
          </c:cat>
          <c:val>
            <c:numRef>
              <c:f>'Replace on Failure'!$S$85:$S$113</c:f>
              <c:numCache>
                <c:formatCode>"$"#,##0</c:formatCode>
                <c:ptCount val="29"/>
                <c:pt idx="0">
                  <c:v>171.05934862757567</c:v>
                </c:pt>
                <c:pt idx="1">
                  <c:v>1025.1540398040283</c:v>
                </c:pt>
                <c:pt idx="2">
                  <c:v>279.72043578479452</c:v>
                </c:pt>
                <c:pt idx="3">
                  <c:v>1321.1351339663179</c:v>
                </c:pt>
                <c:pt idx="4">
                  <c:v>128.85149475724938</c:v>
                </c:pt>
                <c:pt idx="5">
                  <c:v>1380.5707464394077</c:v>
                </c:pt>
                <c:pt idx="6">
                  <c:v>2446.0624360985098</c:v>
                </c:pt>
                <c:pt idx="7">
                  <c:v>31.530543014482703</c:v>
                </c:pt>
                <c:pt idx="8">
                  <c:v>612.47050138581608</c:v>
                </c:pt>
                <c:pt idx="9">
                  <c:v>2031.8012568700647</c:v>
                </c:pt>
                <c:pt idx="10">
                  <c:v>696.31904102612225</c:v>
                </c:pt>
                <c:pt idx="11">
                  <c:v>2210.1815410150675</c:v>
                </c:pt>
                <c:pt idx="12">
                  <c:v>715.82796481658374</c:v>
                </c:pt>
                <c:pt idx="13">
                  <c:v>1757.2426629981069</c:v>
                </c:pt>
                <c:pt idx="14">
                  <c:v>779.15347092075899</c:v>
                </c:pt>
                <c:pt idx="15">
                  <c:v>1590.5397293670173</c:v>
                </c:pt>
                <c:pt idx="16">
                  <c:v>911.03361360766712</c:v>
                </c:pt>
                <c:pt idx="17">
                  <c:v>2528.5534440132269</c:v>
                </c:pt>
                <c:pt idx="18">
                  <c:v>116.3147296530438</c:v>
                </c:pt>
                <c:pt idx="19">
                  <c:v>327.40374647705517</c:v>
                </c:pt>
                <c:pt idx="20">
                  <c:v>240.17608758407829</c:v>
                </c:pt>
                <c:pt idx="21">
                  <c:v>429.57303544257252</c:v>
                </c:pt>
                <c:pt idx="22">
                  <c:v>108.29594489716993</c:v>
                </c:pt>
                <c:pt idx="23">
                  <c:v>298.34266889953165</c:v>
                </c:pt>
                <c:pt idx="24">
                  <c:v>67.528763547005383</c:v>
                </c:pt>
                <c:pt idx="25">
                  <c:v>1281.1356975555282</c:v>
                </c:pt>
                <c:pt idx="26">
                  <c:v>380.01045275290767</c:v>
                </c:pt>
                <c:pt idx="27">
                  <c:v>1799.3412082371563</c:v>
                </c:pt>
                <c:pt idx="28">
                  <c:v>781.676090720312</c:v>
                </c:pt>
              </c:numCache>
            </c:numRef>
          </c:val>
          <c:extLst>
            <c:ext xmlns:c16="http://schemas.microsoft.com/office/drawing/2014/chart" uri="{C3380CC4-5D6E-409C-BE32-E72D297353CC}">
              <c16:uniqueId val="{00000000-5AA5-4DB4-85A1-F4E079296834}"/>
            </c:ext>
          </c:extLst>
        </c:ser>
        <c:ser>
          <c:idx val="1"/>
          <c:order val="1"/>
          <c:tx>
            <c:v>ROF High Tier</c:v>
          </c:tx>
          <c:spPr>
            <a:solidFill>
              <a:schemeClr val="accent2"/>
            </a:solidFill>
            <a:ln>
              <a:noFill/>
            </a:ln>
            <a:effectLst/>
          </c:spPr>
          <c:invertIfNegative val="0"/>
          <c:val>
            <c:numRef>
              <c:f>'Replace on Failure'!$AD$85:$AD$113</c:f>
              <c:numCache>
                <c:formatCode>"$"#,##0</c:formatCode>
                <c:ptCount val="29"/>
                <c:pt idx="0">
                  <c:v>296.33436743398101</c:v>
                </c:pt>
                <c:pt idx="1">
                  <c:v>1197.2065524508926</c:v>
                </c:pt>
                <c:pt idx="2">
                  <c:v>476.78644193365949</c:v>
                </c:pt>
                <c:pt idx="3">
                  <c:v>1518.2011401151829</c:v>
                </c:pt>
                <c:pt idx="4">
                  <c:v>316.18683699008989</c:v>
                </c:pt>
                <c:pt idx="5">
                  <c:v>1637.8503414696124</c:v>
                </c:pt>
                <c:pt idx="6">
                  <c:v>2703.342031128715</c:v>
                </c:pt>
                <c:pt idx="7">
                  <c:v>0</c:v>
                </c:pt>
                <c:pt idx="8">
                  <c:v>650.74700498370612</c:v>
                </c:pt>
                <c:pt idx="9">
                  <c:v>2070.0777604679547</c:v>
                </c:pt>
                <c:pt idx="10">
                  <c:v>741.74028579861169</c:v>
                </c:pt>
                <c:pt idx="11">
                  <c:v>2254.4192636316966</c:v>
                </c:pt>
                <c:pt idx="12">
                  <c:v>737.24445678024563</c:v>
                </c:pt>
                <c:pt idx="13">
                  <c:v>1778.6591549617688</c:v>
                </c:pt>
                <c:pt idx="14">
                  <c:v>867.97677267514473</c:v>
                </c:pt>
                <c:pt idx="15">
                  <c:v>1663.1641720570758</c:v>
                </c:pt>
                <c:pt idx="16">
                  <c:v>999.85691536205286</c:v>
                </c:pt>
                <c:pt idx="17">
                  <c:v>2614.9242311477292</c:v>
                </c:pt>
                <c:pt idx="18">
                  <c:v>151.84810722880144</c:v>
                </c:pt>
                <c:pt idx="19">
                  <c:v>356.58288162857042</c:v>
                </c:pt>
                <c:pt idx="20">
                  <c:v>0</c:v>
                </c:pt>
                <c:pt idx="21">
                  <c:v>0</c:v>
                </c:pt>
                <c:pt idx="22">
                  <c:v>0</c:v>
                </c:pt>
                <c:pt idx="23">
                  <c:v>0</c:v>
                </c:pt>
                <c:pt idx="24">
                  <c:v>205.82629735964611</c:v>
                </c:pt>
                <c:pt idx="25">
                  <c:v>1471.8869415664608</c:v>
                </c:pt>
                <c:pt idx="26">
                  <c:v>678.69254438258395</c:v>
                </c:pt>
                <c:pt idx="27">
                  <c:v>678.69254438258395</c:v>
                </c:pt>
                <c:pt idx="28">
                  <c:v>88.823301754385739</c:v>
                </c:pt>
              </c:numCache>
            </c:numRef>
          </c:val>
          <c:extLst>
            <c:ext xmlns:c16="http://schemas.microsoft.com/office/drawing/2014/chart" uri="{C3380CC4-5D6E-409C-BE32-E72D297353CC}">
              <c16:uniqueId val="{00000001-5AA5-4DB4-85A1-F4E079296834}"/>
            </c:ext>
          </c:extLst>
        </c:ser>
        <c:dLbls>
          <c:showLegendKey val="0"/>
          <c:showVal val="0"/>
          <c:showCatName val="0"/>
          <c:showSerName val="0"/>
          <c:showPercent val="0"/>
          <c:showBubbleSize val="0"/>
        </c:dLbls>
        <c:gapWidth val="150"/>
        <c:axId val="280789760"/>
        <c:axId val="280791296"/>
      </c:barChart>
      <c:catAx>
        <c:axId val="28078976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791296"/>
        <c:crossesAt val="0"/>
        <c:auto val="1"/>
        <c:lblAlgn val="ctr"/>
        <c:lblOffset val="100"/>
        <c:noMultiLvlLbl val="0"/>
      </c:catAx>
      <c:valAx>
        <c:axId val="2807912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Annual Energy Cost Savings</a:t>
                </a:r>
                <a:r>
                  <a:rPr lang="en-US" baseline="0"/>
                  <a:t> (USD/yr)</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78976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Replace On Failure Winter Peak Demand Savings</a:t>
            </a:r>
          </a:p>
          <a:p>
            <a:pPr>
              <a:defRPr/>
            </a:pPr>
            <a:r>
              <a:rPr lang="en-US" sz="1100"/>
              <a:t>(Negative</a:t>
            </a:r>
            <a:r>
              <a:rPr lang="en-US" sz="1100" baseline="0"/>
              <a:t> Savings Indicate an Increase in Peak Demand)</a:t>
            </a:r>
            <a:endParaRPr lang="en-US" sz="11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ROF Low Tier</c:v>
          </c:tx>
          <c:spPr>
            <a:solidFill>
              <a:schemeClr val="accent1"/>
            </a:solidFill>
            <a:ln>
              <a:noFill/>
            </a:ln>
            <a:effectLst/>
          </c:spPr>
          <c:invertIfNegative val="0"/>
          <c:cat>
            <c:strRef>
              <c:f>'Replace on Failure'!$H$85:$H$113</c:f>
              <c:strCache>
                <c:ptCount val="29"/>
                <c:pt idx="0">
                  <c:v>Baseline A/C Blend+Oil Furnace to Central HP+Oil Furnace</c:v>
                </c:pt>
                <c:pt idx="1">
                  <c:v>Baseline A/C Blend+Propane Furnace to Central HP+Propane Furnace</c:v>
                </c:pt>
                <c:pt idx="2">
                  <c:v>Baseline A/C Blend+Oil Furnace to Central HP</c:v>
                </c:pt>
                <c:pt idx="3">
                  <c:v>Baseline A/C Blend+Propane Furnace to Central HP</c:v>
                </c:pt>
                <c:pt idx="4">
                  <c:v>Room AC/No AC Blend+Oil Boiler to DMSHP+Oil Boiler</c:v>
                </c:pt>
                <c:pt idx="5">
                  <c:v>Room AC/No AC Blend+Propane Boiler to DMSHP+Propane Boiler</c:v>
                </c:pt>
                <c:pt idx="6">
                  <c:v>Room AC/No AC Blend+Electric Baseboard to Electric Baseboard+DMSHP</c:v>
                </c:pt>
                <c:pt idx="7">
                  <c:v>Tankless Coil WH to HPWH</c:v>
                </c:pt>
                <c:pt idx="8">
                  <c:v>Oil Boiler to Gas Boiler</c:v>
                </c:pt>
                <c:pt idx="9">
                  <c:v>Propane Boiler to Gas Boiler</c:v>
                </c:pt>
                <c:pt idx="10">
                  <c:v>Oil Boiler+Indirect WH to Gas Boiler+Indirect WH</c:v>
                </c:pt>
                <c:pt idx="11">
                  <c:v>Propane Boiler+Indirect WH to Gas Boiler+Indirect WH</c:v>
                </c:pt>
                <c:pt idx="12">
                  <c:v>Oil Furnace to Gas Furnace</c:v>
                </c:pt>
                <c:pt idx="13">
                  <c:v>Propane Furnace to Gas Furnace</c:v>
                </c:pt>
                <c:pt idx="14">
                  <c:v>Oil Boiler+Tankless Coil WH to Gas Combination Boiler</c:v>
                </c:pt>
                <c:pt idx="15">
                  <c:v>Propane Combination Boiler to Gas Combination Boiler</c:v>
                </c:pt>
                <c:pt idx="16">
                  <c:v>Oil Boiler+Storage WH to Gas Combination Boiler</c:v>
                </c:pt>
                <c:pt idx="17">
                  <c:v>Propane Boiler+Storage WH to Gas Combination Boiler</c:v>
                </c:pt>
                <c:pt idx="18">
                  <c:v>Oil Storage WH to Gas Storage WH</c:v>
                </c:pt>
                <c:pt idx="19">
                  <c:v>Propane Storage WH to Gas Storage WH</c:v>
                </c:pt>
                <c:pt idx="20">
                  <c:v>Oil Storage WH to Gas On-Demand WH</c:v>
                </c:pt>
                <c:pt idx="21">
                  <c:v>Propane Storage WH to Gas On-Demand WH</c:v>
                </c:pt>
                <c:pt idx="22">
                  <c:v>Tankless Coil WH to Gas On-Demand WH</c:v>
                </c:pt>
                <c:pt idx="23">
                  <c:v>Propane On-Demand WH to Gas On-Demand WH</c:v>
                </c:pt>
                <c:pt idx="24">
                  <c:v>Central A/C+Oil Boiler to Central HP+Oil Boiler</c:v>
                </c:pt>
                <c:pt idx="25">
                  <c:v>Central A/C+Propane Boiler to Central HP+Propane Boiler</c:v>
                </c:pt>
                <c:pt idx="26">
                  <c:v>Room AC/No AC Blend+Oil Boiler to DMSHP</c:v>
                </c:pt>
                <c:pt idx="27">
                  <c:v>Room AC/No AC Blend+Propane Boiler to DMSHP</c:v>
                </c:pt>
                <c:pt idx="28">
                  <c:v>Oil Boiler+Indirect WH to Gas Combination Boiler</c:v>
                </c:pt>
              </c:strCache>
            </c:strRef>
          </c:cat>
          <c:val>
            <c:numRef>
              <c:f>'Replace on Failure'!$V$85:$V$113</c:f>
              <c:numCache>
                <c:formatCode>0.000</c:formatCode>
                <c:ptCount val="29"/>
                <c:pt idx="0">
                  <c:v>-1.0369747899159665</c:v>
                </c:pt>
                <c:pt idx="1">
                  <c:v>-1.0371281935593031</c:v>
                </c:pt>
                <c:pt idx="2">
                  <c:v>-1.6934453781512604</c:v>
                </c:pt>
                <c:pt idx="3">
                  <c:v>-1.693598781794597</c:v>
                </c:pt>
                <c:pt idx="4">
                  <c:v>-0.98471716203259829</c:v>
                </c:pt>
                <c:pt idx="5">
                  <c:v>-0.98977948226270374</c:v>
                </c:pt>
                <c:pt idx="6">
                  <c:v>0</c:v>
                </c:pt>
                <c:pt idx="7">
                  <c:v>-0.65645430930186965</c:v>
                </c:pt>
                <c:pt idx="8">
                  <c:v>-1.5186960690316387E-2</c:v>
                </c:pt>
                <c:pt idx="9">
                  <c:v>-2.0249280920421858E-2</c:v>
                </c:pt>
                <c:pt idx="10">
                  <c:v>-1.5186960690316387E-2</c:v>
                </c:pt>
                <c:pt idx="11">
                  <c:v>-1.3039309683604984E-2</c:v>
                </c:pt>
                <c:pt idx="12">
                  <c:v>1.8969894534995209E-2</c:v>
                </c:pt>
                <c:pt idx="13">
                  <c:v>1.8816490891658683E-2</c:v>
                </c:pt>
                <c:pt idx="14">
                  <c:v>-1.5186960690316387E-2</c:v>
                </c:pt>
                <c:pt idx="15">
                  <c:v>-2.0249280920421858E-2</c:v>
                </c:pt>
                <c:pt idx="16">
                  <c:v>-1.5186960690316387E-2</c:v>
                </c:pt>
                <c:pt idx="17">
                  <c:v>-2.0249280920421858E-2</c:v>
                </c:pt>
                <c:pt idx="18">
                  <c:v>-2.7043031977891829E-2</c:v>
                </c:pt>
                <c:pt idx="19">
                  <c:v>-2.7043031977891829E-2</c:v>
                </c:pt>
                <c:pt idx="20">
                  <c:v>-1.1290959336754837E-2</c:v>
                </c:pt>
                <c:pt idx="21">
                  <c:v>-1.1290959336754837E-2</c:v>
                </c:pt>
                <c:pt idx="22">
                  <c:v>-1.1290959336754837E-2</c:v>
                </c:pt>
                <c:pt idx="23">
                  <c:v>2.36873272799051E-4</c:v>
                </c:pt>
                <c:pt idx="24">
                  <c:v>-1.0588348090914219</c:v>
                </c:pt>
                <c:pt idx="25">
                  <c:v>-1.0638971293215274</c:v>
                </c:pt>
                <c:pt idx="26">
                  <c:v>-1.5967171620325984</c:v>
                </c:pt>
                <c:pt idx="27">
                  <c:v>-1.6017794822627038</c:v>
                </c:pt>
                <c:pt idx="28">
                  <c:v>-1.5186960690316387E-2</c:v>
                </c:pt>
              </c:numCache>
            </c:numRef>
          </c:val>
          <c:extLst>
            <c:ext xmlns:c16="http://schemas.microsoft.com/office/drawing/2014/chart" uri="{C3380CC4-5D6E-409C-BE32-E72D297353CC}">
              <c16:uniqueId val="{00000000-7108-4875-BFAC-762B7DD67789}"/>
            </c:ext>
          </c:extLst>
        </c:ser>
        <c:ser>
          <c:idx val="1"/>
          <c:order val="1"/>
          <c:tx>
            <c:v>ROF High Tier</c:v>
          </c:tx>
          <c:spPr>
            <a:solidFill>
              <a:schemeClr val="accent2"/>
            </a:solidFill>
            <a:ln>
              <a:noFill/>
            </a:ln>
            <a:effectLst/>
          </c:spPr>
          <c:invertIfNegative val="0"/>
          <c:val>
            <c:numRef>
              <c:f>'Replace on Failure'!$AG$85:$AG$113</c:f>
              <c:numCache>
                <c:formatCode>0.000</c:formatCode>
                <c:ptCount val="29"/>
                <c:pt idx="0">
                  <c:v>-1.6303571428571433</c:v>
                </c:pt>
                <c:pt idx="1">
                  <c:v>-1.6305105465004799</c:v>
                </c:pt>
                <c:pt idx="2">
                  <c:v>-2.6428571428571432</c:v>
                </c:pt>
                <c:pt idx="3">
                  <c:v>-2.6430105465004794</c:v>
                </c:pt>
                <c:pt idx="4">
                  <c:v>-1.0897171620325983</c:v>
                </c:pt>
                <c:pt idx="5">
                  <c:v>-1.0947794822627037</c:v>
                </c:pt>
                <c:pt idx="6">
                  <c:v>0</c:v>
                </c:pt>
                <c:pt idx="7">
                  <c:v>0</c:v>
                </c:pt>
                <c:pt idx="8">
                  <c:v>-1.2579098753595391E-2</c:v>
                </c:pt>
                <c:pt idx="9">
                  <c:v>-1.7641418983700863E-2</c:v>
                </c:pt>
                <c:pt idx="10">
                  <c:v>-1.2579098753595391E-2</c:v>
                </c:pt>
                <c:pt idx="11">
                  <c:v>-1.0431447746883989E-2</c:v>
                </c:pt>
                <c:pt idx="12">
                  <c:v>1.8969894534995209E-2</c:v>
                </c:pt>
                <c:pt idx="13">
                  <c:v>1.8816490891658683E-2</c:v>
                </c:pt>
                <c:pt idx="14">
                  <c:v>-1.2579098753595391E-2</c:v>
                </c:pt>
                <c:pt idx="15">
                  <c:v>-1.7641418983700863E-2</c:v>
                </c:pt>
                <c:pt idx="16">
                  <c:v>-1.2579098753595391E-2</c:v>
                </c:pt>
                <c:pt idx="17">
                  <c:v>-1.7641418983700863E-2</c:v>
                </c:pt>
                <c:pt idx="18">
                  <c:v>-2.3924200552704302E-2</c:v>
                </c:pt>
                <c:pt idx="19">
                  <c:v>-2.3924200552704302E-2</c:v>
                </c:pt>
                <c:pt idx="20">
                  <c:v>0</c:v>
                </c:pt>
                <c:pt idx="21">
                  <c:v>0</c:v>
                </c:pt>
                <c:pt idx="22">
                  <c:v>0</c:v>
                </c:pt>
                <c:pt idx="23">
                  <c:v>0</c:v>
                </c:pt>
                <c:pt idx="24">
                  <c:v>-1.6522171620325987</c:v>
                </c:pt>
                <c:pt idx="25">
                  <c:v>-1.6572794822627042</c:v>
                </c:pt>
                <c:pt idx="26">
                  <c:v>-1.7647171620325983</c:v>
                </c:pt>
                <c:pt idx="27">
                  <c:v>-1.7697794822627038</c:v>
                </c:pt>
                <c:pt idx="28">
                  <c:v>-1.2579098753595391E-2</c:v>
                </c:pt>
              </c:numCache>
            </c:numRef>
          </c:val>
          <c:extLst>
            <c:ext xmlns:c16="http://schemas.microsoft.com/office/drawing/2014/chart" uri="{C3380CC4-5D6E-409C-BE32-E72D297353CC}">
              <c16:uniqueId val="{00000001-7108-4875-BFAC-762B7DD67789}"/>
            </c:ext>
          </c:extLst>
        </c:ser>
        <c:dLbls>
          <c:showLegendKey val="0"/>
          <c:showVal val="0"/>
          <c:showCatName val="0"/>
          <c:showSerName val="0"/>
          <c:showPercent val="0"/>
          <c:showBubbleSize val="0"/>
        </c:dLbls>
        <c:gapWidth val="150"/>
        <c:axId val="280872064"/>
        <c:axId val="280873600"/>
      </c:barChart>
      <c:catAx>
        <c:axId val="28087206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873600"/>
        <c:crossesAt val="0"/>
        <c:auto val="1"/>
        <c:lblAlgn val="ctr"/>
        <c:lblOffset val="100"/>
        <c:noMultiLvlLbl val="0"/>
      </c:catAx>
      <c:valAx>
        <c:axId val="2808736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Peak Demand Savings (kW)</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8720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Replace On Failure</a:t>
            </a:r>
            <a:r>
              <a:rPr lang="en-US" baseline="0"/>
              <a:t> </a:t>
            </a:r>
            <a:r>
              <a:rPr lang="en-US"/>
              <a:t>Annual Carbon Emissions Reduction, Source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ROF Low Tier</c:v>
          </c:tx>
          <c:spPr>
            <a:solidFill>
              <a:schemeClr val="accent1"/>
            </a:solidFill>
            <a:ln>
              <a:noFill/>
            </a:ln>
            <a:effectLst/>
          </c:spPr>
          <c:invertIfNegative val="0"/>
          <c:cat>
            <c:strRef>
              <c:f>'Replace on Failure'!$H$85:$H$113</c:f>
              <c:strCache>
                <c:ptCount val="29"/>
                <c:pt idx="0">
                  <c:v>Baseline A/C Blend+Oil Furnace to Central HP+Oil Furnace</c:v>
                </c:pt>
                <c:pt idx="1">
                  <c:v>Baseline A/C Blend+Propane Furnace to Central HP+Propane Furnace</c:v>
                </c:pt>
                <c:pt idx="2">
                  <c:v>Baseline A/C Blend+Oil Furnace to Central HP</c:v>
                </c:pt>
                <c:pt idx="3">
                  <c:v>Baseline A/C Blend+Propane Furnace to Central HP</c:v>
                </c:pt>
                <c:pt idx="4">
                  <c:v>Room AC/No AC Blend+Oil Boiler to DMSHP+Oil Boiler</c:v>
                </c:pt>
                <c:pt idx="5">
                  <c:v>Room AC/No AC Blend+Propane Boiler to DMSHP+Propane Boiler</c:v>
                </c:pt>
                <c:pt idx="6">
                  <c:v>Room AC/No AC Blend+Electric Baseboard to Electric Baseboard+DMSHP</c:v>
                </c:pt>
                <c:pt idx="7">
                  <c:v>Tankless Coil WH to HPWH</c:v>
                </c:pt>
                <c:pt idx="8">
                  <c:v>Oil Boiler to Gas Boiler</c:v>
                </c:pt>
                <c:pt idx="9">
                  <c:v>Propane Boiler to Gas Boiler</c:v>
                </c:pt>
                <c:pt idx="10">
                  <c:v>Oil Boiler+Indirect WH to Gas Boiler+Indirect WH</c:v>
                </c:pt>
                <c:pt idx="11">
                  <c:v>Propane Boiler+Indirect WH to Gas Boiler+Indirect WH</c:v>
                </c:pt>
                <c:pt idx="12">
                  <c:v>Oil Furnace to Gas Furnace</c:v>
                </c:pt>
                <c:pt idx="13">
                  <c:v>Propane Furnace to Gas Furnace</c:v>
                </c:pt>
                <c:pt idx="14">
                  <c:v>Oil Boiler+Tankless Coil WH to Gas Combination Boiler</c:v>
                </c:pt>
                <c:pt idx="15">
                  <c:v>Propane Combination Boiler to Gas Combination Boiler</c:v>
                </c:pt>
                <c:pt idx="16">
                  <c:v>Oil Boiler+Storage WH to Gas Combination Boiler</c:v>
                </c:pt>
                <c:pt idx="17">
                  <c:v>Propane Boiler+Storage WH to Gas Combination Boiler</c:v>
                </c:pt>
                <c:pt idx="18">
                  <c:v>Oil Storage WH to Gas Storage WH</c:v>
                </c:pt>
                <c:pt idx="19">
                  <c:v>Propane Storage WH to Gas Storage WH</c:v>
                </c:pt>
                <c:pt idx="20">
                  <c:v>Oil Storage WH to Gas On-Demand WH</c:v>
                </c:pt>
                <c:pt idx="21">
                  <c:v>Propane Storage WH to Gas On-Demand WH</c:v>
                </c:pt>
                <c:pt idx="22">
                  <c:v>Tankless Coil WH to Gas On-Demand WH</c:v>
                </c:pt>
                <c:pt idx="23">
                  <c:v>Propane On-Demand WH to Gas On-Demand WH</c:v>
                </c:pt>
                <c:pt idx="24">
                  <c:v>Central A/C+Oil Boiler to Central HP+Oil Boiler</c:v>
                </c:pt>
                <c:pt idx="25">
                  <c:v>Central A/C+Propane Boiler to Central HP+Propane Boiler</c:v>
                </c:pt>
                <c:pt idx="26">
                  <c:v>Room AC/No AC Blend+Oil Boiler to DMSHP</c:v>
                </c:pt>
                <c:pt idx="27">
                  <c:v>Room AC/No AC Blend+Propane Boiler to DMSHP</c:v>
                </c:pt>
                <c:pt idx="28">
                  <c:v>Oil Boiler+Indirect WH to Gas Combination Boiler</c:v>
                </c:pt>
              </c:strCache>
            </c:strRef>
          </c:cat>
          <c:val>
            <c:numRef>
              <c:f>'Replace on Failure'!$AC$85:$AC$113</c:f>
              <c:numCache>
                <c:formatCode>0.00</c:formatCode>
                <c:ptCount val="29"/>
                <c:pt idx="0">
                  <c:v>2.1193290195513708</c:v>
                </c:pt>
                <c:pt idx="1">
                  <c:v>2.1635072689011348</c:v>
                </c:pt>
                <c:pt idx="2">
                  <c:v>3.8410302166597075</c:v>
                </c:pt>
                <c:pt idx="3">
                  <c:v>2.7870455896150577</c:v>
                </c:pt>
                <c:pt idx="4">
                  <c:v>2.1303907760940675</c:v>
                </c:pt>
                <c:pt idx="5">
                  <c:v>2.8674815450035087</c:v>
                </c:pt>
                <c:pt idx="6">
                  <c:v>4.3672973201847816</c:v>
                </c:pt>
                <c:pt idx="7">
                  <c:v>0.70700646418004498</c:v>
                </c:pt>
                <c:pt idx="8">
                  <c:v>2.183565392852775</c:v>
                </c:pt>
                <c:pt idx="9">
                  <c:v>1.5299291651556626</c:v>
                </c:pt>
                <c:pt idx="10">
                  <c:v>2.6375624650458738</c:v>
                </c:pt>
                <c:pt idx="11">
                  <c:v>1.5399796259163132</c:v>
                </c:pt>
                <c:pt idx="12">
                  <c:v>2.4689128667560825</c:v>
                </c:pt>
                <c:pt idx="13">
                  <c:v>1.4149282397114327</c:v>
                </c:pt>
                <c:pt idx="14">
                  <c:v>2.7747157314285751</c:v>
                </c:pt>
                <c:pt idx="15">
                  <c:v>0.85082399111111151</c:v>
                </c:pt>
                <c:pt idx="16">
                  <c:v>3.2482712229800317</c:v>
                </c:pt>
                <c:pt idx="17">
                  <c:v>2.2222075759280813</c:v>
                </c:pt>
                <c:pt idx="18">
                  <c:v>0.42867950774193586</c:v>
                </c:pt>
                <c:pt idx="19">
                  <c:v>0.12064584158730152</c:v>
                </c:pt>
                <c:pt idx="20">
                  <c:v>0.8633654193281427</c:v>
                </c:pt>
                <c:pt idx="21">
                  <c:v>0.47665933938040517</c:v>
                </c:pt>
                <c:pt idx="22">
                  <c:v>0.38980992777668322</c:v>
                </c:pt>
                <c:pt idx="23">
                  <c:v>0.22207180979310348</c:v>
                </c:pt>
                <c:pt idx="24">
                  <c:v>2.0209027288028159</c:v>
                </c:pt>
                <c:pt idx="25">
                  <c:v>2.6899462474108358</c:v>
                </c:pt>
                <c:pt idx="26">
                  <c:v>4.3809710551612602</c:v>
                </c:pt>
                <c:pt idx="27">
                  <c:v>3.7273348274641487</c:v>
                </c:pt>
                <c:pt idx="28">
                  <c:v>2.9471339100000034</c:v>
                </c:pt>
              </c:numCache>
            </c:numRef>
          </c:val>
          <c:extLst>
            <c:ext xmlns:c16="http://schemas.microsoft.com/office/drawing/2014/chart" uri="{C3380CC4-5D6E-409C-BE32-E72D297353CC}">
              <c16:uniqueId val="{00000000-911A-4F5E-AF46-252609A0F9BF}"/>
            </c:ext>
          </c:extLst>
        </c:ser>
        <c:ser>
          <c:idx val="1"/>
          <c:order val="1"/>
          <c:tx>
            <c:v>ROF High Tier</c:v>
          </c:tx>
          <c:spPr>
            <a:solidFill>
              <a:schemeClr val="accent2"/>
            </a:solidFill>
            <a:ln>
              <a:noFill/>
            </a:ln>
            <a:effectLst/>
          </c:spPr>
          <c:invertIfNegative val="0"/>
          <c:val>
            <c:numRef>
              <c:f>'Replace on Failure'!$AN$85:$AN$113</c:f>
              <c:numCache>
                <c:formatCode>0.00</c:formatCode>
                <c:ptCount val="29"/>
                <c:pt idx="0">
                  <c:v>2.3430000288621393</c:v>
                </c:pt>
                <c:pt idx="1">
                  <c:v>2.4706966792467697</c:v>
                </c:pt>
                <c:pt idx="2">
                  <c:v>4.1928797147968826</c:v>
                </c:pt>
                <c:pt idx="3">
                  <c:v>3.1388950877522328</c:v>
                </c:pt>
                <c:pt idx="4">
                  <c:v>2.4648667592232378</c:v>
                </c:pt>
                <c:pt idx="5">
                  <c:v>3.3268387835316542</c:v>
                </c:pt>
                <c:pt idx="6">
                  <c:v>4.826654558712927</c:v>
                </c:pt>
                <c:pt idx="7">
                  <c:v>0</c:v>
                </c:pt>
                <c:pt idx="8">
                  <c:v>2.316194243694472</c:v>
                </c:pt>
                <c:pt idx="9">
                  <c:v>1.6625580159973596</c:v>
                </c:pt>
                <c:pt idx="10">
                  <c:v>2.7961037373825528</c:v>
                </c:pt>
                <c:pt idx="11">
                  <c:v>1.6942285209363241</c:v>
                </c:pt>
                <c:pt idx="12">
                  <c:v>2.5465858227309255</c:v>
                </c:pt>
                <c:pt idx="13">
                  <c:v>1.4926011956862757</c:v>
                </c:pt>
                <c:pt idx="14">
                  <c:v>3.0906668198496261</c:v>
                </c:pt>
                <c:pt idx="15">
                  <c:v>1.1080253426900581</c:v>
                </c:pt>
                <c:pt idx="16">
                  <c:v>3.5642223114010827</c:v>
                </c:pt>
                <c:pt idx="17">
                  <c:v>2.5292639275070279</c:v>
                </c:pt>
                <c:pt idx="18">
                  <c:v>0.55467401719648146</c:v>
                </c:pt>
                <c:pt idx="19">
                  <c:v>0.22359489649639253</c:v>
                </c:pt>
                <c:pt idx="20">
                  <c:v>0</c:v>
                </c:pt>
                <c:pt idx="21">
                  <c:v>0</c:v>
                </c:pt>
                <c:pt idx="22">
                  <c:v>0</c:v>
                </c:pt>
                <c:pt idx="23">
                  <c:v>0</c:v>
                </c:pt>
                <c:pt idx="24">
                  <c:v>2.26782465519954</c:v>
                </c:pt>
                <c:pt idx="25">
                  <c:v>3.0305211176580595</c:v>
                </c:pt>
                <c:pt idx="26">
                  <c:v>4.8963835354938681</c:v>
                </c:pt>
                <c:pt idx="27">
                  <c:v>4.2427473077967566</c:v>
                </c:pt>
                <c:pt idx="28">
                  <c:v>3.2630849984210544</c:v>
                </c:pt>
              </c:numCache>
            </c:numRef>
          </c:val>
          <c:extLst>
            <c:ext xmlns:c16="http://schemas.microsoft.com/office/drawing/2014/chart" uri="{C3380CC4-5D6E-409C-BE32-E72D297353CC}">
              <c16:uniqueId val="{00000001-911A-4F5E-AF46-252609A0F9BF}"/>
            </c:ext>
          </c:extLst>
        </c:ser>
        <c:dLbls>
          <c:showLegendKey val="0"/>
          <c:showVal val="0"/>
          <c:showCatName val="0"/>
          <c:showSerName val="0"/>
          <c:showPercent val="0"/>
          <c:showBubbleSize val="0"/>
        </c:dLbls>
        <c:gapWidth val="150"/>
        <c:axId val="280974464"/>
        <c:axId val="280976000"/>
      </c:barChart>
      <c:catAx>
        <c:axId val="28097446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976000"/>
        <c:crossesAt val="0"/>
        <c:auto val="1"/>
        <c:lblAlgn val="ctr"/>
        <c:lblOffset val="100"/>
        <c:noMultiLvlLbl val="0"/>
      </c:catAx>
      <c:valAx>
        <c:axId val="2809760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baseline="0">
                    <a:effectLst/>
                  </a:rPr>
                  <a:t>Carbon Emissions Savings (tons CO2/year)</a:t>
                </a:r>
                <a:endParaRPr lang="en-US" sz="100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9744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567577</xdr:colOff>
      <xdr:row>34</xdr:row>
      <xdr:rowOff>57150</xdr:rowOff>
    </xdr:from>
    <xdr:to>
      <xdr:col>2</xdr:col>
      <xdr:colOff>5602</xdr:colOff>
      <xdr:row>34</xdr:row>
      <xdr:rowOff>104776</xdr:rowOff>
    </xdr:to>
    <xdr:cxnSp macro="">
      <xdr:nvCxnSpPr>
        <xdr:cNvPr id="31" name="Straight Arrow Connector 30">
          <a:extLst>
            <a:ext uri="{FF2B5EF4-FFF2-40B4-BE49-F238E27FC236}">
              <a16:creationId xmlns:a16="http://schemas.microsoft.com/office/drawing/2014/main" id="{774F992D-E913-467A-BDFA-334D18C62E3D}"/>
            </a:ext>
          </a:extLst>
        </xdr:cNvPr>
        <xdr:cNvCxnSpPr/>
      </xdr:nvCxnSpPr>
      <xdr:spPr>
        <a:xfrm flipV="1">
          <a:off x="892548" y="12190319"/>
          <a:ext cx="239245" cy="47626"/>
        </a:xfrm>
        <a:prstGeom prst="straightConnector1">
          <a:avLst/>
        </a:prstGeom>
        <a:ln>
          <a:tailEnd type="triangle"/>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1</xdr:col>
      <xdr:colOff>561975</xdr:colOff>
      <xdr:row>35</xdr:row>
      <xdr:rowOff>66675</xdr:rowOff>
    </xdr:from>
    <xdr:to>
      <xdr:col>2</xdr:col>
      <xdr:colOff>9525</xdr:colOff>
      <xdr:row>35</xdr:row>
      <xdr:rowOff>123825</xdr:rowOff>
    </xdr:to>
    <xdr:cxnSp macro="">
      <xdr:nvCxnSpPr>
        <xdr:cNvPr id="33" name="Straight Arrow Connector 32">
          <a:extLst>
            <a:ext uri="{FF2B5EF4-FFF2-40B4-BE49-F238E27FC236}">
              <a16:creationId xmlns:a16="http://schemas.microsoft.com/office/drawing/2014/main" id="{FB2AF639-C033-49EB-8468-BF148A6D05AB}"/>
            </a:ext>
          </a:extLst>
        </xdr:cNvPr>
        <xdr:cNvCxnSpPr/>
      </xdr:nvCxnSpPr>
      <xdr:spPr>
        <a:xfrm flipV="1">
          <a:off x="885825" y="12344400"/>
          <a:ext cx="247650" cy="571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561975</xdr:colOff>
      <xdr:row>36</xdr:row>
      <xdr:rowOff>66675</xdr:rowOff>
    </xdr:from>
    <xdr:to>
      <xdr:col>2</xdr:col>
      <xdr:colOff>9525</xdr:colOff>
      <xdr:row>36</xdr:row>
      <xdr:rowOff>123825</xdr:rowOff>
    </xdr:to>
    <xdr:cxnSp macro="">
      <xdr:nvCxnSpPr>
        <xdr:cNvPr id="35" name="Straight Arrow Connector 34">
          <a:extLst>
            <a:ext uri="{FF2B5EF4-FFF2-40B4-BE49-F238E27FC236}">
              <a16:creationId xmlns:a16="http://schemas.microsoft.com/office/drawing/2014/main" id="{13448A24-6255-40B0-8BBC-75D72FC115AD}"/>
            </a:ext>
          </a:extLst>
        </xdr:cNvPr>
        <xdr:cNvCxnSpPr/>
      </xdr:nvCxnSpPr>
      <xdr:spPr>
        <a:xfrm flipV="1">
          <a:off x="885825" y="12487275"/>
          <a:ext cx="247650" cy="57150"/>
        </a:xfrm>
        <a:prstGeom prst="straightConnector1">
          <a:avLst/>
        </a:prstGeom>
        <a:ln>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26808</xdr:colOff>
      <xdr:row>63</xdr:row>
      <xdr:rowOff>24157</xdr:rowOff>
    </xdr:from>
    <xdr:to>
      <xdr:col>3</xdr:col>
      <xdr:colOff>2711800</xdr:colOff>
      <xdr:row>63</xdr:row>
      <xdr:rowOff>27960</xdr:rowOff>
    </xdr:to>
    <xdr:cxnSp macro="">
      <xdr:nvCxnSpPr>
        <xdr:cNvPr id="179" name="Straight Arrow Connector 178">
          <a:extLst>
            <a:ext uri="{FF2B5EF4-FFF2-40B4-BE49-F238E27FC236}">
              <a16:creationId xmlns:a16="http://schemas.microsoft.com/office/drawing/2014/main" id="{2B05A75B-1B8B-4CC5-BA5D-FB86A898D96F}"/>
            </a:ext>
          </a:extLst>
        </xdr:cNvPr>
        <xdr:cNvCxnSpPr>
          <a:stCxn id="6" idx="3"/>
          <a:endCxn id="8" idx="1"/>
        </xdr:cNvCxnSpPr>
      </xdr:nvCxnSpPr>
      <xdr:spPr>
        <a:xfrm flipV="1">
          <a:off x="2274708" y="14883157"/>
          <a:ext cx="2684992" cy="3803"/>
        </a:xfrm>
        <a:prstGeom prst="straightConnector1">
          <a:avLst/>
        </a:prstGeom>
        <a:ln w="28575">
          <a:solidFill>
            <a:schemeClr val="accent3"/>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209551</xdr:colOff>
      <xdr:row>38</xdr:row>
      <xdr:rowOff>104775</xdr:rowOff>
    </xdr:from>
    <xdr:to>
      <xdr:col>7</xdr:col>
      <xdr:colOff>342907</xdr:colOff>
      <xdr:row>79</xdr:row>
      <xdr:rowOff>18163</xdr:rowOff>
    </xdr:to>
    <xdr:grpSp>
      <xdr:nvGrpSpPr>
        <xdr:cNvPr id="45" name="Group 44">
          <a:extLst>
            <a:ext uri="{FF2B5EF4-FFF2-40B4-BE49-F238E27FC236}">
              <a16:creationId xmlns:a16="http://schemas.microsoft.com/office/drawing/2014/main" id="{0B744402-F4DB-4D56-A802-584FB56D91FA}"/>
            </a:ext>
          </a:extLst>
        </xdr:cNvPr>
        <xdr:cNvGrpSpPr/>
      </xdr:nvGrpSpPr>
      <xdr:grpSpPr>
        <a:xfrm>
          <a:off x="514351" y="12632055"/>
          <a:ext cx="8271516" cy="5224528"/>
          <a:chOff x="552451" y="12258675"/>
          <a:chExt cx="8861638" cy="5771263"/>
        </a:xfrm>
      </xdr:grpSpPr>
      <xdr:grpSp>
        <xdr:nvGrpSpPr>
          <xdr:cNvPr id="2" name="Group 1">
            <a:extLst>
              <a:ext uri="{FF2B5EF4-FFF2-40B4-BE49-F238E27FC236}">
                <a16:creationId xmlns:a16="http://schemas.microsoft.com/office/drawing/2014/main" id="{A6CEA875-F337-4494-8005-1553C0756142}"/>
              </a:ext>
            </a:extLst>
          </xdr:cNvPr>
          <xdr:cNvGrpSpPr/>
        </xdr:nvGrpSpPr>
        <xdr:grpSpPr>
          <a:xfrm>
            <a:off x="552451" y="12258675"/>
            <a:ext cx="8861638" cy="5771263"/>
            <a:chOff x="6105527" y="458071"/>
            <a:chExt cx="8861638" cy="5741818"/>
          </a:xfrm>
        </xdr:grpSpPr>
        <xdr:grpSp>
          <xdr:nvGrpSpPr>
            <xdr:cNvPr id="4" name="Group 3">
              <a:extLst>
                <a:ext uri="{FF2B5EF4-FFF2-40B4-BE49-F238E27FC236}">
                  <a16:creationId xmlns:a16="http://schemas.microsoft.com/office/drawing/2014/main" id="{D1117F01-E454-4745-8440-9234CA2272FA}"/>
                </a:ext>
              </a:extLst>
            </xdr:cNvPr>
            <xdr:cNvGrpSpPr/>
          </xdr:nvGrpSpPr>
          <xdr:grpSpPr>
            <a:xfrm>
              <a:off x="6105527" y="458071"/>
              <a:ext cx="8861638" cy="5741818"/>
              <a:chOff x="4238627" y="496171"/>
              <a:chExt cx="8861638" cy="5741818"/>
            </a:xfrm>
          </xdr:grpSpPr>
          <xdr:cxnSp macro="">
            <xdr:nvCxnSpPr>
              <xdr:cNvPr id="11" name="Connector: Elbow 10">
                <a:extLst>
                  <a:ext uri="{FF2B5EF4-FFF2-40B4-BE49-F238E27FC236}">
                    <a16:creationId xmlns:a16="http://schemas.microsoft.com/office/drawing/2014/main" id="{63ABBE7A-7A28-4F04-915B-9BE57E7E1D55}"/>
                  </a:ext>
                </a:extLst>
              </xdr:cNvPr>
              <xdr:cNvCxnSpPr/>
            </xdr:nvCxnSpPr>
            <xdr:spPr>
              <a:xfrm flipV="1">
                <a:off x="10476172" y="1377478"/>
                <a:ext cx="820402" cy="931893"/>
              </a:xfrm>
              <a:prstGeom prst="bentConnector2">
                <a:avLst/>
              </a:prstGeom>
              <a:ln w="190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Connector: Elbow 11">
                <a:extLst>
                  <a:ext uri="{FF2B5EF4-FFF2-40B4-BE49-F238E27FC236}">
                    <a16:creationId xmlns:a16="http://schemas.microsoft.com/office/drawing/2014/main" id="{B57B67AF-C9B3-4C50-823D-10CB9F65E10F}"/>
                  </a:ext>
                </a:extLst>
              </xdr:cNvPr>
              <xdr:cNvCxnSpPr/>
            </xdr:nvCxnSpPr>
            <xdr:spPr>
              <a:xfrm flipV="1">
                <a:off x="10476172" y="1377478"/>
                <a:ext cx="820402" cy="2589243"/>
              </a:xfrm>
              <a:prstGeom prst="bentConnector2">
                <a:avLst/>
              </a:prstGeom>
              <a:ln w="190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Connector: Elbow 12">
                <a:extLst>
                  <a:ext uri="{FF2B5EF4-FFF2-40B4-BE49-F238E27FC236}">
                    <a16:creationId xmlns:a16="http://schemas.microsoft.com/office/drawing/2014/main" id="{88634D8C-564A-4A95-BF46-7780F8677F21}"/>
                  </a:ext>
                </a:extLst>
              </xdr:cNvPr>
              <xdr:cNvCxnSpPr/>
            </xdr:nvCxnSpPr>
            <xdr:spPr>
              <a:xfrm flipV="1">
                <a:off x="8228272" y="1377478"/>
                <a:ext cx="3068302" cy="4456143"/>
              </a:xfrm>
              <a:prstGeom prst="bentConnector2">
                <a:avLst/>
              </a:prstGeom>
              <a:ln w="190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 name="Rectangle 5">
                <a:extLst>
                  <a:ext uri="{FF2B5EF4-FFF2-40B4-BE49-F238E27FC236}">
                    <a16:creationId xmlns:a16="http://schemas.microsoft.com/office/drawing/2014/main" id="{281A6C33-AB1E-4C13-BB9C-67EC913EE56C}"/>
                  </a:ext>
                </a:extLst>
              </xdr:cNvPr>
              <xdr:cNvSpPr/>
            </xdr:nvSpPr>
            <xdr:spPr>
              <a:xfrm>
                <a:off x="4257676" y="3566531"/>
                <a:ext cx="1866900" cy="808738"/>
              </a:xfrm>
              <a:prstGeom prst="rect">
                <a:avLst/>
              </a:prstGeom>
              <a:solidFill>
                <a:schemeClr val="accent3"/>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Inputs</a:t>
                </a:r>
              </a:p>
            </xdr:txBody>
          </xdr:sp>
          <xdr:sp macro="" textlink="">
            <xdr:nvSpPr>
              <xdr:cNvPr id="7" name="Rectangle 6">
                <a:extLst>
                  <a:ext uri="{FF2B5EF4-FFF2-40B4-BE49-F238E27FC236}">
                    <a16:creationId xmlns:a16="http://schemas.microsoft.com/office/drawing/2014/main" id="{A632EB7A-624C-4B2C-8593-1465FF26AE6D}"/>
                  </a:ext>
                </a:extLst>
              </xdr:cNvPr>
              <xdr:cNvSpPr/>
            </xdr:nvSpPr>
            <xdr:spPr>
              <a:xfrm>
                <a:off x="9001126" y="1905001"/>
                <a:ext cx="1866900" cy="808738"/>
              </a:xfrm>
              <a:prstGeom prst="rect">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a:solidFill>
                      <a:schemeClr val="lt1"/>
                    </a:solidFill>
                    <a:latin typeface="+mn-lt"/>
                    <a:ea typeface="+mn-ea"/>
                    <a:cs typeface="+mn-cs"/>
                  </a:rPr>
                  <a:t>Heat Pump Measures</a:t>
                </a:r>
              </a:p>
              <a:p>
                <a:pPr marL="0" indent="0" algn="ctr"/>
                <a:r>
                  <a:rPr lang="en-US" sz="1100">
                    <a:solidFill>
                      <a:schemeClr val="lt1"/>
                    </a:solidFill>
                    <a:latin typeface="+mn-lt"/>
                    <a:ea typeface="+mn-ea"/>
                    <a:cs typeface="+mn-cs"/>
                  </a:rPr>
                  <a:t>MEAS01 - MEAS11</a:t>
                </a:r>
              </a:p>
              <a:p>
                <a:pPr marL="0" indent="0" algn="ctr"/>
                <a:r>
                  <a:rPr lang="en-US" sz="1100">
                    <a:solidFill>
                      <a:schemeClr val="lt1"/>
                    </a:solidFill>
                    <a:latin typeface="+mn-lt"/>
                    <a:ea typeface="+mn-ea"/>
                    <a:cs typeface="+mn-cs"/>
                  </a:rPr>
                  <a:t>MEAS29</a:t>
                </a:r>
                <a:r>
                  <a:rPr lang="en-US" sz="1100" baseline="0">
                    <a:solidFill>
                      <a:schemeClr val="lt1"/>
                    </a:solidFill>
                    <a:latin typeface="+mn-lt"/>
                    <a:ea typeface="+mn-ea"/>
                    <a:cs typeface="+mn-cs"/>
                  </a:rPr>
                  <a:t> - MEAS32</a:t>
                </a:r>
                <a:endParaRPr lang="en-US" sz="1100">
                  <a:solidFill>
                    <a:schemeClr val="lt1"/>
                  </a:solidFill>
                  <a:latin typeface="+mn-lt"/>
                  <a:ea typeface="+mn-ea"/>
                  <a:cs typeface="+mn-cs"/>
                </a:endParaRPr>
              </a:p>
            </xdr:txBody>
          </xdr:sp>
          <xdr:sp macro="" textlink="">
            <xdr:nvSpPr>
              <xdr:cNvPr id="8" name="Rectangle 7">
                <a:extLst>
                  <a:ext uri="{FF2B5EF4-FFF2-40B4-BE49-F238E27FC236}">
                    <a16:creationId xmlns:a16="http://schemas.microsoft.com/office/drawing/2014/main" id="{10450867-0D12-47C5-9D17-3713FDDB2953}"/>
                  </a:ext>
                </a:extLst>
              </xdr:cNvPr>
              <xdr:cNvSpPr/>
            </xdr:nvSpPr>
            <xdr:spPr>
              <a:xfrm>
                <a:off x="9001126" y="3562351"/>
                <a:ext cx="1866900" cy="808738"/>
              </a:xfrm>
              <a:prstGeom prst="rect">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100">
                    <a:solidFill>
                      <a:schemeClr val="lt1"/>
                    </a:solidFill>
                    <a:latin typeface="+mn-lt"/>
                    <a:ea typeface="+mn-ea"/>
                    <a:cs typeface="+mn-cs"/>
                  </a:rPr>
                  <a:t>Non Heat Pump Measures</a:t>
                </a:r>
              </a:p>
              <a:p>
                <a:pPr marL="0" indent="0" algn="ctr"/>
                <a:r>
                  <a:rPr lang="en-US" sz="1100">
                    <a:solidFill>
                      <a:schemeClr val="lt1"/>
                    </a:solidFill>
                    <a:latin typeface="+mn-lt"/>
                    <a:ea typeface="+mn-ea"/>
                    <a:cs typeface="+mn-cs"/>
                  </a:rPr>
                  <a:t>MEAS12 - MEAS28</a:t>
                </a:r>
                <a:br>
                  <a:rPr lang="en-US" sz="1100">
                    <a:solidFill>
                      <a:schemeClr val="lt1"/>
                    </a:solidFill>
                    <a:latin typeface="+mn-lt"/>
                    <a:ea typeface="+mn-ea"/>
                    <a:cs typeface="+mn-cs"/>
                  </a:rPr>
                </a:br>
                <a:r>
                  <a:rPr lang="en-US" sz="1100">
                    <a:solidFill>
                      <a:schemeClr val="lt1"/>
                    </a:solidFill>
                    <a:latin typeface="+mn-lt"/>
                    <a:ea typeface="+mn-ea"/>
                    <a:cs typeface="+mn-cs"/>
                  </a:rPr>
                  <a:t>MEAS33</a:t>
                </a:r>
              </a:p>
            </xdr:txBody>
          </xdr:sp>
          <xdr:sp macro="" textlink="">
            <xdr:nvSpPr>
              <xdr:cNvPr id="9" name="Rectangle 8">
                <a:extLst>
                  <a:ext uri="{FF2B5EF4-FFF2-40B4-BE49-F238E27FC236}">
                    <a16:creationId xmlns:a16="http://schemas.microsoft.com/office/drawing/2014/main" id="{9ACEE5BD-5804-4CAF-A1E3-68175B4B79FF}"/>
                  </a:ext>
                </a:extLst>
              </xdr:cNvPr>
              <xdr:cNvSpPr/>
            </xdr:nvSpPr>
            <xdr:spPr>
              <a:xfrm>
                <a:off x="4257676" y="4485498"/>
                <a:ext cx="1866900" cy="808738"/>
              </a:xfrm>
              <a:prstGeom prst="rect">
                <a:avLst/>
              </a:prstGeom>
              <a:solidFill>
                <a:schemeClr val="accent3"/>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Equipment Definitions</a:t>
                </a:r>
              </a:p>
            </xdr:txBody>
          </xdr:sp>
          <xdr:sp macro="" textlink="">
            <xdr:nvSpPr>
              <xdr:cNvPr id="10" name="Rectangle 9">
                <a:extLst>
                  <a:ext uri="{FF2B5EF4-FFF2-40B4-BE49-F238E27FC236}">
                    <a16:creationId xmlns:a16="http://schemas.microsoft.com/office/drawing/2014/main" id="{77908C9A-A267-49C9-BCF3-0A2D63FDDE83}"/>
                  </a:ext>
                </a:extLst>
              </xdr:cNvPr>
              <xdr:cNvSpPr/>
            </xdr:nvSpPr>
            <xdr:spPr>
              <a:xfrm>
                <a:off x="6753226" y="5429251"/>
                <a:ext cx="1866900" cy="808738"/>
              </a:xfrm>
              <a:prstGeom prst="rect">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Baseline Calculations</a:t>
                </a:r>
              </a:p>
            </xdr:txBody>
          </xdr:sp>
          <xdr:cxnSp macro="">
            <xdr:nvCxnSpPr>
              <xdr:cNvPr id="14" name="Connector: Elbow 13">
                <a:extLst>
                  <a:ext uri="{FF2B5EF4-FFF2-40B4-BE49-F238E27FC236}">
                    <a16:creationId xmlns:a16="http://schemas.microsoft.com/office/drawing/2014/main" id="{A01A21E6-801A-46C7-B2ED-F5C4BBC298DD}"/>
                  </a:ext>
                </a:extLst>
              </xdr:cNvPr>
              <xdr:cNvCxnSpPr>
                <a:stCxn id="6" idx="3"/>
                <a:endCxn id="10" idx="0"/>
              </xdr:cNvCxnSpPr>
            </xdr:nvCxnSpPr>
            <xdr:spPr>
              <a:xfrm>
                <a:off x="6124576" y="3970900"/>
                <a:ext cx="1562100" cy="1458351"/>
              </a:xfrm>
              <a:prstGeom prst="bentConnector2">
                <a:avLst/>
              </a:prstGeom>
              <a:ln w="19050">
                <a:solidFill>
                  <a:schemeClr val="accent3"/>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 name="Rectangle 14">
                <a:extLst>
                  <a:ext uri="{FF2B5EF4-FFF2-40B4-BE49-F238E27FC236}">
                    <a16:creationId xmlns:a16="http://schemas.microsoft.com/office/drawing/2014/main" id="{D1F2DB91-F8DB-43B3-B30E-AABFB885B589}"/>
                  </a:ext>
                </a:extLst>
              </xdr:cNvPr>
              <xdr:cNvSpPr/>
            </xdr:nvSpPr>
            <xdr:spPr>
              <a:xfrm>
                <a:off x="6753225" y="1905000"/>
                <a:ext cx="1866900" cy="808738"/>
              </a:xfrm>
              <a:prstGeom prst="rect">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Heat Pump</a:t>
                </a:r>
                <a:r>
                  <a:rPr lang="en-US" sz="1100" baseline="0"/>
                  <a:t> Analysis</a:t>
                </a:r>
                <a:endParaRPr lang="en-US" sz="1100"/>
              </a:p>
            </xdr:txBody>
          </xdr:sp>
          <xdr:cxnSp macro="">
            <xdr:nvCxnSpPr>
              <xdr:cNvPr id="16" name="Connector: Elbow 15">
                <a:extLst>
                  <a:ext uri="{FF2B5EF4-FFF2-40B4-BE49-F238E27FC236}">
                    <a16:creationId xmlns:a16="http://schemas.microsoft.com/office/drawing/2014/main" id="{915E3104-0C8A-4D4E-B0A0-9D01E7C29F37}"/>
                  </a:ext>
                </a:extLst>
              </xdr:cNvPr>
              <xdr:cNvCxnSpPr>
                <a:stCxn id="6" idx="3"/>
                <a:endCxn id="15" idx="1"/>
              </xdr:cNvCxnSpPr>
            </xdr:nvCxnSpPr>
            <xdr:spPr>
              <a:xfrm flipV="1">
                <a:off x="6124576" y="2309370"/>
                <a:ext cx="628649" cy="1661530"/>
              </a:xfrm>
              <a:prstGeom prst="bentConnector3">
                <a:avLst>
                  <a:gd name="adj1" fmla="val 50000"/>
                </a:avLst>
              </a:prstGeom>
              <a:ln w="19050">
                <a:solidFill>
                  <a:schemeClr val="accent3"/>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7" name="Connector: Elbow 16">
                <a:extLst>
                  <a:ext uri="{FF2B5EF4-FFF2-40B4-BE49-F238E27FC236}">
                    <a16:creationId xmlns:a16="http://schemas.microsoft.com/office/drawing/2014/main" id="{CF8A4228-1AA4-4741-9C20-C4F5DE4D0D28}"/>
                  </a:ext>
                </a:extLst>
              </xdr:cNvPr>
              <xdr:cNvCxnSpPr>
                <a:stCxn id="24" idx="2"/>
                <a:endCxn id="7" idx="0"/>
              </xdr:cNvCxnSpPr>
            </xdr:nvCxnSpPr>
            <xdr:spPr>
              <a:xfrm rot="16200000" flipH="1">
                <a:off x="7297967" y="-731608"/>
                <a:ext cx="527511" cy="4745708"/>
              </a:xfrm>
              <a:prstGeom prst="bentConnector3">
                <a:avLst>
                  <a:gd name="adj1" fmla="val 50000"/>
                </a:avLst>
              </a:prstGeom>
              <a:ln w="19050">
                <a:solidFill>
                  <a:schemeClr val="accent3"/>
                </a:solidFill>
                <a:prstDash val="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 name="Connector: Elbow 17">
                <a:extLst>
                  <a:ext uri="{FF2B5EF4-FFF2-40B4-BE49-F238E27FC236}">
                    <a16:creationId xmlns:a16="http://schemas.microsoft.com/office/drawing/2014/main" id="{E08987D4-84A0-44CD-8CC8-60A99F8AE069}"/>
                  </a:ext>
                </a:extLst>
              </xdr:cNvPr>
              <xdr:cNvCxnSpPr>
                <a:stCxn id="24" idx="2"/>
                <a:endCxn id="8" idx="0"/>
              </xdr:cNvCxnSpPr>
            </xdr:nvCxnSpPr>
            <xdr:spPr>
              <a:xfrm rot="16200000" flipH="1">
                <a:off x="6469292" y="97066"/>
                <a:ext cx="2184861" cy="4745708"/>
              </a:xfrm>
              <a:prstGeom prst="bentConnector3">
                <a:avLst>
                  <a:gd name="adj1" fmla="val 85132"/>
                </a:avLst>
              </a:prstGeom>
              <a:ln w="19050">
                <a:solidFill>
                  <a:schemeClr val="accent3"/>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nvGrpSpPr>
              <xdr:cNvPr id="19" name="Group 18">
                <a:extLst>
                  <a:ext uri="{FF2B5EF4-FFF2-40B4-BE49-F238E27FC236}">
                    <a16:creationId xmlns:a16="http://schemas.microsoft.com/office/drawing/2014/main" id="{810F6912-26B7-4103-9499-03FC03C5FDB3}"/>
                  </a:ext>
                </a:extLst>
              </xdr:cNvPr>
              <xdr:cNvGrpSpPr/>
            </xdr:nvGrpSpPr>
            <xdr:grpSpPr>
              <a:xfrm>
                <a:off x="4238627" y="496171"/>
                <a:ext cx="8861638" cy="4942925"/>
                <a:chOff x="1657352" y="5096746"/>
                <a:chExt cx="8861638" cy="4942925"/>
              </a:xfrm>
            </xdr:grpSpPr>
            <xdr:sp macro="" textlink="">
              <xdr:nvSpPr>
                <xdr:cNvPr id="23" name="Rectangle 22">
                  <a:extLst>
                    <a:ext uri="{FF2B5EF4-FFF2-40B4-BE49-F238E27FC236}">
                      <a16:creationId xmlns:a16="http://schemas.microsoft.com/office/drawing/2014/main" id="{298683AE-139A-468B-AFF1-C4A14BC02F38}"/>
                    </a:ext>
                  </a:extLst>
                </xdr:cNvPr>
                <xdr:cNvSpPr/>
              </xdr:nvSpPr>
              <xdr:spPr>
                <a:xfrm>
                  <a:off x="1657352" y="5096746"/>
                  <a:ext cx="8410308" cy="909734"/>
                </a:xfrm>
                <a:prstGeom prst="rect">
                  <a:avLst/>
                </a:prstGeom>
                <a:solidFill>
                  <a:schemeClr val="bg1">
                    <a:lumMod val="85000"/>
                  </a:schemeClr>
                </a:solidFill>
                <a:ln w="19050">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Measure List Tab</a:t>
                  </a:r>
                </a:p>
              </xdr:txBody>
            </xdr:sp>
            <xdr:sp macro="" textlink="">
              <xdr:nvSpPr>
                <xdr:cNvPr id="24" name="Rectangle 23">
                  <a:extLst>
                    <a:ext uri="{FF2B5EF4-FFF2-40B4-BE49-F238E27FC236}">
                      <a16:creationId xmlns:a16="http://schemas.microsoft.com/office/drawing/2014/main" id="{395C4B5E-7D48-4A43-86A2-6FC386739145}"/>
                    </a:ext>
                  </a:extLst>
                </xdr:cNvPr>
                <xdr:cNvSpPr/>
              </xdr:nvSpPr>
              <xdr:spPr>
                <a:xfrm>
                  <a:off x="1671884" y="5160579"/>
                  <a:ext cx="1871417" cy="817486"/>
                </a:xfrm>
                <a:prstGeom prst="rect">
                  <a:avLst/>
                </a:prstGeom>
                <a:solidFill>
                  <a:schemeClr val="accent3"/>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Measure</a:t>
                  </a:r>
                  <a:r>
                    <a:rPr lang="en-US" sz="1100" baseline="0"/>
                    <a:t> List</a:t>
                  </a:r>
                  <a:r>
                    <a:rPr lang="en-US" sz="1100"/>
                    <a:t> Inputs</a:t>
                  </a:r>
                </a:p>
              </xdr:txBody>
            </xdr:sp>
            <xdr:sp macro="" textlink="">
              <xdr:nvSpPr>
                <xdr:cNvPr id="25" name="Rectangle 24">
                  <a:extLst>
                    <a:ext uri="{FF2B5EF4-FFF2-40B4-BE49-F238E27FC236}">
                      <a16:creationId xmlns:a16="http://schemas.microsoft.com/office/drawing/2014/main" id="{C754560A-058F-414F-8CC4-F4739C0D0E62}"/>
                    </a:ext>
                  </a:extLst>
                </xdr:cNvPr>
                <xdr:cNvSpPr/>
              </xdr:nvSpPr>
              <xdr:spPr>
                <a:xfrm>
                  <a:off x="8174955" y="5160111"/>
                  <a:ext cx="1864397" cy="817944"/>
                </a:xfrm>
                <a:prstGeom prst="rect">
                  <a:avLst/>
                </a:prstGeom>
                <a:solidFill>
                  <a:schemeClr val="accent2"/>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Measure Analysis Outputs</a:t>
                  </a:r>
                </a:p>
              </xdr:txBody>
            </xdr:sp>
            <xdr:sp macro="" textlink="">
              <xdr:nvSpPr>
                <xdr:cNvPr id="36" name="Rectangle 35">
                  <a:extLst>
                    <a:ext uri="{FF2B5EF4-FFF2-40B4-BE49-F238E27FC236}">
                      <a16:creationId xmlns:a16="http://schemas.microsoft.com/office/drawing/2014/main" id="{3B406FCD-8F2F-4D6B-A55A-68083693E7B0}"/>
                    </a:ext>
                  </a:extLst>
                </xdr:cNvPr>
                <xdr:cNvSpPr/>
              </xdr:nvSpPr>
              <xdr:spPr>
                <a:xfrm>
                  <a:off x="9367916" y="6483276"/>
                  <a:ext cx="1151073" cy="817943"/>
                </a:xfrm>
                <a:prstGeom prst="rect">
                  <a:avLst/>
                </a:prstGeom>
                <a:solidFill>
                  <a:schemeClr val="accent2"/>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Full-Early Replacement</a:t>
                  </a:r>
                </a:p>
              </xdr:txBody>
            </xdr:sp>
            <xdr:sp macro="" textlink="">
              <xdr:nvSpPr>
                <xdr:cNvPr id="37" name="Rectangle 36">
                  <a:extLst>
                    <a:ext uri="{FF2B5EF4-FFF2-40B4-BE49-F238E27FC236}">
                      <a16:creationId xmlns:a16="http://schemas.microsoft.com/office/drawing/2014/main" id="{BEFEF332-7532-432B-81AD-2796EABD6FB9}"/>
                    </a:ext>
                  </a:extLst>
                </xdr:cNvPr>
                <xdr:cNvSpPr/>
              </xdr:nvSpPr>
              <xdr:spPr>
                <a:xfrm>
                  <a:off x="9367917" y="7396093"/>
                  <a:ext cx="1151073" cy="817943"/>
                </a:xfrm>
                <a:prstGeom prst="rect">
                  <a:avLst/>
                </a:prstGeom>
                <a:solidFill>
                  <a:schemeClr val="accent2"/>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Partial Displacement</a:t>
                  </a:r>
                </a:p>
              </xdr:txBody>
            </xdr:sp>
            <xdr:sp macro="" textlink="">
              <xdr:nvSpPr>
                <xdr:cNvPr id="38" name="Rectangle 37">
                  <a:extLst>
                    <a:ext uri="{FF2B5EF4-FFF2-40B4-BE49-F238E27FC236}">
                      <a16:creationId xmlns:a16="http://schemas.microsoft.com/office/drawing/2014/main" id="{E13E6B80-F808-431B-A02D-AFB2477F8914}"/>
                    </a:ext>
                  </a:extLst>
                </xdr:cNvPr>
                <xdr:cNvSpPr/>
              </xdr:nvSpPr>
              <xdr:spPr>
                <a:xfrm>
                  <a:off x="9367907" y="8317285"/>
                  <a:ext cx="1151073" cy="817943"/>
                </a:xfrm>
                <a:prstGeom prst="rect">
                  <a:avLst/>
                </a:prstGeom>
                <a:solidFill>
                  <a:schemeClr val="accent2"/>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Replace</a:t>
                  </a:r>
                  <a:r>
                    <a:rPr lang="en-US" sz="1100" baseline="0"/>
                    <a:t> On Failure</a:t>
                  </a:r>
                  <a:endParaRPr lang="en-US" sz="1100"/>
                </a:p>
              </xdr:txBody>
            </xdr:sp>
            <xdr:sp macro="" textlink="">
              <xdr:nvSpPr>
                <xdr:cNvPr id="41" name="Rectangle 40">
                  <a:extLst>
                    <a:ext uri="{FF2B5EF4-FFF2-40B4-BE49-F238E27FC236}">
                      <a16:creationId xmlns:a16="http://schemas.microsoft.com/office/drawing/2014/main" id="{8DB0CCC7-43C8-4343-B5E4-D2C3D4AB6F5A}"/>
                    </a:ext>
                  </a:extLst>
                </xdr:cNvPr>
                <xdr:cNvSpPr/>
              </xdr:nvSpPr>
              <xdr:spPr>
                <a:xfrm>
                  <a:off x="9367907" y="9221728"/>
                  <a:ext cx="1151073" cy="817943"/>
                </a:xfrm>
                <a:prstGeom prst="rect">
                  <a:avLst/>
                </a:prstGeom>
                <a:solidFill>
                  <a:schemeClr val="accent2"/>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BCR Outputs</a:t>
                  </a:r>
                </a:p>
              </xdr:txBody>
            </xdr:sp>
          </xdr:grpSp>
          <xdr:cxnSp macro="">
            <xdr:nvCxnSpPr>
              <xdr:cNvPr id="21" name="Connector: Elbow 20">
                <a:extLst>
                  <a:ext uri="{FF2B5EF4-FFF2-40B4-BE49-F238E27FC236}">
                    <a16:creationId xmlns:a16="http://schemas.microsoft.com/office/drawing/2014/main" id="{047ECEC9-C1B4-4E85-A096-C34EFFABF96C}"/>
                  </a:ext>
                </a:extLst>
              </xdr:cNvPr>
              <xdr:cNvCxnSpPr>
                <a:stCxn id="6" idx="3"/>
              </xdr:cNvCxnSpPr>
            </xdr:nvCxnSpPr>
            <xdr:spPr>
              <a:xfrm flipV="1">
                <a:off x="6124576" y="2526518"/>
                <a:ext cx="2874846" cy="1444383"/>
              </a:xfrm>
              <a:prstGeom prst="bentConnector3">
                <a:avLst>
                  <a:gd name="adj1" fmla="val 90260"/>
                </a:avLst>
              </a:prstGeom>
              <a:ln w="19050">
                <a:solidFill>
                  <a:schemeClr val="accent3"/>
                </a:solidFill>
                <a:miter lim="80000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2" name="Connector: Elbow 21">
                <a:extLst>
                  <a:ext uri="{FF2B5EF4-FFF2-40B4-BE49-F238E27FC236}">
                    <a16:creationId xmlns:a16="http://schemas.microsoft.com/office/drawing/2014/main" id="{E2EFA5B5-B6D4-4847-909F-2A61DC73B9AF}"/>
                  </a:ext>
                </a:extLst>
              </xdr:cNvPr>
              <xdr:cNvCxnSpPr>
                <a:stCxn id="9" idx="3"/>
                <a:endCxn id="8" idx="2"/>
              </xdr:cNvCxnSpPr>
            </xdr:nvCxnSpPr>
            <xdr:spPr>
              <a:xfrm flipV="1">
                <a:off x="6124576" y="4371089"/>
                <a:ext cx="3810000" cy="518779"/>
              </a:xfrm>
              <a:prstGeom prst="bentConnector2">
                <a:avLst/>
              </a:prstGeom>
              <a:ln w="19050">
                <a:solidFill>
                  <a:schemeClr val="accent3"/>
                </a:solidFill>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4" name="Connector: Elbow 33">
                <a:extLst>
                  <a:ext uri="{FF2B5EF4-FFF2-40B4-BE49-F238E27FC236}">
                    <a16:creationId xmlns:a16="http://schemas.microsoft.com/office/drawing/2014/main" id="{A0312808-5BE9-47EE-B211-DC85E06DAE41}"/>
                  </a:ext>
                </a:extLst>
              </xdr:cNvPr>
              <xdr:cNvCxnSpPr>
                <a:stCxn id="25" idx="2"/>
                <a:endCxn id="36" idx="1"/>
              </xdr:cNvCxnSpPr>
            </xdr:nvCxnSpPr>
            <xdr:spPr>
              <a:xfrm rot="16200000" flipH="1">
                <a:off x="11361713" y="1704195"/>
                <a:ext cx="914193" cy="260762"/>
              </a:xfrm>
              <a:prstGeom prst="bentConnector2">
                <a:avLst/>
              </a:prstGeom>
              <a:ln w="190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9" name="Connector: Elbow 38">
                <a:extLst>
                  <a:ext uri="{FF2B5EF4-FFF2-40B4-BE49-F238E27FC236}">
                    <a16:creationId xmlns:a16="http://schemas.microsoft.com/office/drawing/2014/main" id="{03D38A82-A9CB-4BD0-A50F-103D0C5F39BE}"/>
                  </a:ext>
                </a:extLst>
              </xdr:cNvPr>
              <xdr:cNvCxnSpPr>
                <a:stCxn id="25" idx="2"/>
                <a:endCxn id="37" idx="1"/>
              </xdr:cNvCxnSpPr>
            </xdr:nvCxnSpPr>
            <xdr:spPr>
              <a:xfrm rot="16200000" flipH="1">
                <a:off x="10905305" y="2160603"/>
                <a:ext cx="1827010" cy="260763"/>
              </a:xfrm>
              <a:prstGeom prst="bentConnector2">
                <a:avLst/>
              </a:prstGeom>
              <a:ln w="190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0" name="Connector: Elbow 39">
                <a:extLst>
                  <a:ext uri="{FF2B5EF4-FFF2-40B4-BE49-F238E27FC236}">
                    <a16:creationId xmlns:a16="http://schemas.microsoft.com/office/drawing/2014/main" id="{6C6FAA26-7D91-4BA1-AF31-CCE819C9F3A2}"/>
                  </a:ext>
                </a:extLst>
              </xdr:cNvPr>
              <xdr:cNvCxnSpPr>
                <a:stCxn id="25" idx="2"/>
                <a:endCxn id="38" idx="1"/>
              </xdr:cNvCxnSpPr>
            </xdr:nvCxnSpPr>
            <xdr:spPr>
              <a:xfrm rot="16200000" flipH="1">
                <a:off x="10444704" y="2621203"/>
                <a:ext cx="2748202" cy="260753"/>
              </a:xfrm>
              <a:prstGeom prst="bentConnector2">
                <a:avLst/>
              </a:prstGeom>
              <a:ln w="190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3" name="Connector: Elbow 42">
                <a:extLst>
                  <a:ext uri="{FF2B5EF4-FFF2-40B4-BE49-F238E27FC236}">
                    <a16:creationId xmlns:a16="http://schemas.microsoft.com/office/drawing/2014/main" id="{074FB414-0C5C-4A9B-B049-E4308A02BAF5}"/>
                  </a:ext>
                </a:extLst>
              </xdr:cNvPr>
              <xdr:cNvCxnSpPr>
                <a:stCxn id="25" idx="2"/>
                <a:endCxn id="41" idx="1"/>
              </xdr:cNvCxnSpPr>
            </xdr:nvCxnSpPr>
            <xdr:spPr>
              <a:xfrm rot="16200000" flipH="1">
                <a:off x="9992482" y="3073425"/>
                <a:ext cx="3652646" cy="260753"/>
              </a:xfrm>
              <a:prstGeom prst="bentConnector2">
                <a:avLst/>
              </a:prstGeom>
              <a:ln w="190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5" name="Straight Arrow Connector 4">
              <a:extLst>
                <a:ext uri="{FF2B5EF4-FFF2-40B4-BE49-F238E27FC236}">
                  <a16:creationId xmlns:a16="http://schemas.microsoft.com/office/drawing/2014/main" id="{A9B44FD1-A4A6-41BE-ADB7-4C8DC1315DAB}"/>
                </a:ext>
              </a:extLst>
            </xdr:cNvPr>
            <xdr:cNvCxnSpPr>
              <a:stCxn id="15" idx="3"/>
              <a:endCxn id="7" idx="1"/>
            </xdr:cNvCxnSpPr>
          </xdr:nvCxnSpPr>
          <xdr:spPr>
            <a:xfrm>
              <a:off x="10487025" y="2271269"/>
              <a:ext cx="381001" cy="1"/>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42" name="Connector: Elbow 41">
            <a:extLst>
              <a:ext uri="{FF2B5EF4-FFF2-40B4-BE49-F238E27FC236}">
                <a16:creationId xmlns:a16="http://schemas.microsoft.com/office/drawing/2014/main" id="{4E984327-1C42-47A0-9C81-D7AE468BCA42}"/>
              </a:ext>
            </a:extLst>
          </xdr:cNvPr>
          <xdr:cNvCxnSpPr>
            <a:stCxn id="9" idx="3"/>
            <a:endCxn id="10" idx="1"/>
          </xdr:cNvCxnSpPr>
        </xdr:nvCxnSpPr>
        <xdr:spPr>
          <a:xfrm>
            <a:off x="2438400" y="16674903"/>
            <a:ext cx="628650" cy="948593"/>
          </a:xfrm>
          <a:prstGeom prst="bentConnector3">
            <a:avLst>
              <a:gd name="adj1" fmla="val 50000"/>
            </a:avLst>
          </a:prstGeom>
          <a:ln w="19050">
            <a:solidFill>
              <a:schemeClr val="accent3"/>
            </a:solidFill>
            <a:prstDash val="sys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26808</xdr:colOff>
      <xdr:row>53</xdr:row>
      <xdr:rowOff>124700</xdr:rowOff>
    </xdr:from>
    <xdr:to>
      <xdr:col>3</xdr:col>
      <xdr:colOff>2707395</xdr:colOff>
      <xdr:row>69</xdr:row>
      <xdr:rowOff>86897</xdr:rowOff>
    </xdr:to>
    <xdr:cxnSp macro="">
      <xdr:nvCxnSpPr>
        <xdr:cNvPr id="20" name="Connector: Elbow 19">
          <a:extLst>
            <a:ext uri="{FF2B5EF4-FFF2-40B4-BE49-F238E27FC236}">
              <a16:creationId xmlns:a16="http://schemas.microsoft.com/office/drawing/2014/main" id="{FF526A69-7C41-4056-B22A-13C4EBD04715}"/>
            </a:ext>
          </a:extLst>
        </xdr:cNvPr>
        <xdr:cNvCxnSpPr>
          <a:stCxn id="9" idx="3"/>
        </xdr:cNvCxnSpPr>
      </xdr:nvCxnSpPr>
      <xdr:spPr>
        <a:xfrm flipV="1">
          <a:off x="2274708" y="14206460"/>
          <a:ext cx="2680587" cy="2034837"/>
        </a:xfrm>
        <a:prstGeom prst="bentConnector3">
          <a:avLst>
            <a:gd name="adj1" fmla="val 94081"/>
          </a:avLst>
        </a:prstGeom>
        <a:ln w="19050">
          <a:solidFill>
            <a:schemeClr val="accent3"/>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123</xdr:row>
      <xdr:rowOff>0</xdr:rowOff>
    </xdr:from>
    <xdr:to>
      <xdr:col>9</xdr:col>
      <xdr:colOff>224092</xdr:colOff>
      <xdr:row>171</xdr:row>
      <xdr:rowOff>128811</xdr:rowOff>
    </xdr:to>
    <xdr:grpSp>
      <xdr:nvGrpSpPr>
        <xdr:cNvPr id="2" name="Group 1">
          <a:extLst>
            <a:ext uri="{FF2B5EF4-FFF2-40B4-BE49-F238E27FC236}">
              <a16:creationId xmlns:a16="http://schemas.microsoft.com/office/drawing/2014/main" id="{3F90A7A7-8944-41EE-B652-C06742B801B8}"/>
            </a:ext>
          </a:extLst>
        </xdr:cNvPr>
        <xdr:cNvGrpSpPr/>
      </xdr:nvGrpSpPr>
      <xdr:grpSpPr>
        <a:xfrm>
          <a:off x="350520" y="18661380"/>
          <a:ext cx="6731572" cy="6346731"/>
          <a:chOff x="350520" y="13495020"/>
          <a:chExt cx="5580952" cy="6346731"/>
        </a:xfrm>
      </xdr:grpSpPr>
      <xdr:sp macro="" textlink="">
        <xdr:nvSpPr>
          <xdr:cNvPr id="3" name="TextBox 2">
            <a:extLst>
              <a:ext uri="{FF2B5EF4-FFF2-40B4-BE49-F238E27FC236}">
                <a16:creationId xmlns:a16="http://schemas.microsoft.com/office/drawing/2014/main" id="{F4C632D3-FAFC-4B1F-8CD8-651784C267EE}"/>
              </a:ext>
            </a:extLst>
          </xdr:cNvPr>
          <xdr:cNvSpPr txBox="1"/>
        </xdr:nvSpPr>
        <xdr:spPr>
          <a:xfrm>
            <a:off x="350520" y="13495020"/>
            <a:ext cx="4403039" cy="458662"/>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solidFill>
                  <a:schemeClr val="dk1"/>
                </a:solidFill>
                <a:effectLst/>
                <a:latin typeface="+mn-lt"/>
                <a:ea typeface="+mn-ea"/>
                <a:cs typeface="+mn-cs"/>
              </a:rPr>
              <a:t>DOE-EERE (2015).</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Technical Support Document for the 2015 DOE Residential Boilers</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Rule. </a:t>
            </a:r>
            <a:r>
              <a:rPr lang="en-US" sz="1100"/>
              <a:t>p. 7-18</a:t>
            </a:r>
          </a:p>
        </xdr:txBody>
      </xdr:sp>
      <xdr:pic>
        <xdr:nvPicPr>
          <xdr:cNvPr id="4" name="Picture 3">
            <a:extLst>
              <a:ext uri="{FF2B5EF4-FFF2-40B4-BE49-F238E27FC236}">
                <a16:creationId xmlns:a16="http://schemas.microsoft.com/office/drawing/2014/main" id="{47320410-706D-4FBC-A0EA-967DB2F92681}"/>
              </a:ext>
            </a:extLst>
          </xdr:cNvPr>
          <xdr:cNvPicPr>
            <a:picLocks noChangeAspect="1"/>
          </xdr:cNvPicPr>
        </xdr:nvPicPr>
        <xdr:blipFill>
          <a:blip xmlns:r="http://schemas.openxmlformats.org/officeDocument/2006/relationships" r:embed="rId1"/>
          <a:stretch>
            <a:fillRect/>
          </a:stretch>
        </xdr:blipFill>
        <xdr:spPr>
          <a:xfrm>
            <a:off x="350520" y="14013180"/>
            <a:ext cx="5580952" cy="5828571"/>
          </a:xfrm>
          <a:prstGeom prst="rect">
            <a:avLst/>
          </a:prstGeom>
        </xdr:spPr>
      </xdr:pic>
      <xdr:sp macro="" textlink="">
        <xdr:nvSpPr>
          <xdr:cNvPr id="5" name="Rectangle 4">
            <a:extLst>
              <a:ext uri="{FF2B5EF4-FFF2-40B4-BE49-F238E27FC236}">
                <a16:creationId xmlns:a16="http://schemas.microsoft.com/office/drawing/2014/main" id="{3A44459C-DE8C-4200-AF96-3A1199C60DE4}"/>
              </a:ext>
            </a:extLst>
          </xdr:cNvPr>
          <xdr:cNvSpPr/>
        </xdr:nvSpPr>
        <xdr:spPr>
          <a:xfrm>
            <a:off x="3078480" y="15323820"/>
            <a:ext cx="769620" cy="149352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6" name="Rectangle 5">
            <a:extLst>
              <a:ext uri="{FF2B5EF4-FFF2-40B4-BE49-F238E27FC236}">
                <a16:creationId xmlns:a16="http://schemas.microsoft.com/office/drawing/2014/main" id="{7B557A8D-8805-4C1B-90EE-1E4C55DFA806}"/>
              </a:ext>
            </a:extLst>
          </xdr:cNvPr>
          <xdr:cNvSpPr/>
        </xdr:nvSpPr>
        <xdr:spPr>
          <a:xfrm>
            <a:off x="416795" y="15331440"/>
            <a:ext cx="4754880" cy="19722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Rectangle 6">
            <a:extLst>
              <a:ext uri="{FF2B5EF4-FFF2-40B4-BE49-F238E27FC236}">
                <a16:creationId xmlns:a16="http://schemas.microsoft.com/office/drawing/2014/main" id="{61D82F0F-4100-411A-9EA0-4F100602BA9D}"/>
              </a:ext>
            </a:extLst>
          </xdr:cNvPr>
          <xdr:cNvSpPr/>
        </xdr:nvSpPr>
        <xdr:spPr>
          <a:xfrm>
            <a:off x="416795" y="16200120"/>
            <a:ext cx="4754880" cy="19722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Rectangle 7">
            <a:extLst>
              <a:ext uri="{FF2B5EF4-FFF2-40B4-BE49-F238E27FC236}">
                <a16:creationId xmlns:a16="http://schemas.microsoft.com/office/drawing/2014/main" id="{3E04ED22-B443-47E4-A037-9FB195800245}"/>
              </a:ext>
            </a:extLst>
          </xdr:cNvPr>
          <xdr:cNvSpPr/>
        </xdr:nvSpPr>
        <xdr:spPr>
          <a:xfrm>
            <a:off x="416795" y="16603980"/>
            <a:ext cx="4754880" cy="19722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98612</xdr:colOff>
      <xdr:row>114</xdr:row>
      <xdr:rowOff>8517</xdr:rowOff>
    </xdr:from>
    <xdr:to>
      <xdr:col>8</xdr:col>
      <xdr:colOff>450923</xdr:colOff>
      <xdr:row>136</xdr:row>
      <xdr:rowOff>53503</xdr:rowOff>
    </xdr:to>
    <xdr:grpSp>
      <xdr:nvGrpSpPr>
        <xdr:cNvPr id="8" name="Group 7">
          <a:extLst>
            <a:ext uri="{FF2B5EF4-FFF2-40B4-BE49-F238E27FC236}">
              <a16:creationId xmlns:a16="http://schemas.microsoft.com/office/drawing/2014/main" id="{641277DC-4BC7-4F67-8191-DA951A924E6A}"/>
            </a:ext>
          </a:extLst>
        </xdr:cNvPr>
        <xdr:cNvGrpSpPr/>
      </xdr:nvGrpSpPr>
      <xdr:grpSpPr>
        <a:xfrm>
          <a:off x="273872" y="17656437"/>
          <a:ext cx="5686311" cy="2894866"/>
          <a:chOff x="273872" y="15682857"/>
          <a:chExt cx="5389131" cy="2894866"/>
        </a:xfrm>
      </xdr:grpSpPr>
      <xdr:pic>
        <xdr:nvPicPr>
          <xdr:cNvPr id="2" name="Picture 1">
            <a:extLst>
              <a:ext uri="{FF2B5EF4-FFF2-40B4-BE49-F238E27FC236}">
                <a16:creationId xmlns:a16="http://schemas.microsoft.com/office/drawing/2014/main" id="{3867760A-6000-4989-A728-4F3C94D7968E}"/>
              </a:ext>
            </a:extLst>
          </xdr:cNvPr>
          <xdr:cNvPicPr>
            <a:picLocks noChangeAspect="1"/>
          </xdr:cNvPicPr>
        </xdr:nvPicPr>
        <xdr:blipFill>
          <a:blip xmlns:r="http://schemas.openxmlformats.org/officeDocument/2006/relationships" r:embed="rId1"/>
          <a:stretch>
            <a:fillRect/>
          </a:stretch>
        </xdr:blipFill>
        <xdr:spPr>
          <a:xfrm>
            <a:off x="273872" y="16219395"/>
            <a:ext cx="5389131" cy="2358328"/>
          </a:xfrm>
          <a:prstGeom prst="rect">
            <a:avLst/>
          </a:prstGeom>
        </xdr:spPr>
      </xdr:pic>
      <xdr:sp macro="" textlink="">
        <xdr:nvSpPr>
          <xdr:cNvPr id="3" name="TextBox 2">
            <a:extLst>
              <a:ext uri="{FF2B5EF4-FFF2-40B4-BE49-F238E27FC236}">
                <a16:creationId xmlns:a16="http://schemas.microsoft.com/office/drawing/2014/main" id="{B6665073-42EF-47F7-84DD-E6E277022E9A}"/>
              </a:ext>
            </a:extLst>
          </xdr:cNvPr>
          <xdr:cNvSpPr txBox="1"/>
        </xdr:nvSpPr>
        <xdr:spPr>
          <a:xfrm>
            <a:off x="290152" y="15682857"/>
            <a:ext cx="4403039" cy="458662"/>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solidFill>
                  <a:schemeClr val="dk1"/>
                </a:solidFill>
                <a:effectLst/>
                <a:latin typeface="+mn-lt"/>
                <a:ea typeface="+mn-ea"/>
                <a:cs typeface="+mn-cs"/>
              </a:rPr>
              <a:t>DOE-EERE (2010).</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Technical Support Document for the 2010 DOE Water Heater Rule. </a:t>
            </a:r>
            <a:r>
              <a:rPr lang="en-US" sz="1100"/>
              <a:t>p. 7-27</a:t>
            </a:r>
          </a:p>
        </xdr:txBody>
      </xdr:sp>
      <xdr:sp macro="" textlink="">
        <xdr:nvSpPr>
          <xdr:cNvPr id="4" name="Rectangle 3">
            <a:extLst>
              <a:ext uri="{FF2B5EF4-FFF2-40B4-BE49-F238E27FC236}">
                <a16:creationId xmlns:a16="http://schemas.microsoft.com/office/drawing/2014/main" id="{D48A4CE5-4018-4081-965D-AD6D3E8EED8B}"/>
              </a:ext>
            </a:extLst>
          </xdr:cNvPr>
          <xdr:cNvSpPr/>
        </xdr:nvSpPr>
        <xdr:spPr>
          <a:xfrm>
            <a:off x="1563881" y="17155067"/>
            <a:ext cx="929204" cy="1248578"/>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5" name="Rectangle 4">
            <a:extLst>
              <a:ext uri="{FF2B5EF4-FFF2-40B4-BE49-F238E27FC236}">
                <a16:creationId xmlns:a16="http://schemas.microsoft.com/office/drawing/2014/main" id="{331DC573-3165-45C1-93B0-837BDFDE865D}"/>
              </a:ext>
            </a:extLst>
          </xdr:cNvPr>
          <xdr:cNvSpPr/>
        </xdr:nvSpPr>
        <xdr:spPr>
          <a:xfrm>
            <a:off x="346466" y="18206422"/>
            <a:ext cx="2997369" cy="215153"/>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Rectangle 5">
            <a:extLst>
              <a:ext uri="{FF2B5EF4-FFF2-40B4-BE49-F238E27FC236}">
                <a16:creationId xmlns:a16="http://schemas.microsoft.com/office/drawing/2014/main" id="{AE59D0E2-AB1A-4AD0-8F59-8FFBF0321E9D}"/>
              </a:ext>
            </a:extLst>
          </xdr:cNvPr>
          <xdr:cNvSpPr/>
        </xdr:nvSpPr>
        <xdr:spPr>
          <a:xfrm>
            <a:off x="346466" y="17143207"/>
            <a:ext cx="2997369" cy="19319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Rectangle 6">
            <a:extLst>
              <a:ext uri="{FF2B5EF4-FFF2-40B4-BE49-F238E27FC236}">
                <a16:creationId xmlns:a16="http://schemas.microsoft.com/office/drawing/2014/main" id="{56981566-F91D-4408-916A-B4E67152A4B9}"/>
              </a:ext>
            </a:extLst>
          </xdr:cNvPr>
          <xdr:cNvSpPr/>
        </xdr:nvSpPr>
        <xdr:spPr>
          <a:xfrm>
            <a:off x="346466" y="17688261"/>
            <a:ext cx="2997369" cy="19722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98612</xdr:colOff>
      <xdr:row>118</xdr:row>
      <xdr:rowOff>26895</xdr:rowOff>
    </xdr:from>
    <xdr:to>
      <xdr:col>8</xdr:col>
      <xdr:colOff>146123</xdr:colOff>
      <xdr:row>136</xdr:row>
      <xdr:rowOff>53503</xdr:rowOff>
    </xdr:to>
    <xdr:pic>
      <xdr:nvPicPr>
        <xdr:cNvPr id="19" name="Picture 18">
          <a:extLst>
            <a:ext uri="{FF2B5EF4-FFF2-40B4-BE49-F238E27FC236}">
              <a16:creationId xmlns:a16="http://schemas.microsoft.com/office/drawing/2014/main" id="{2FED2864-4F64-4E5D-A721-F472E356A458}"/>
            </a:ext>
          </a:extLst>
        </xdr:cNvPr>
        <xdr:cNvPicPr>
          <a:picLocks noChangeAspect="1"/>
        </xdr:cNvPicPr>
      </xdr:nvPicPr>
      <xdr:blipFill>
        <a:blip xmlns:r="http://schemas.openxmlformats.org/officeDocument/2006/relationships" r:embed="rId1"/>
        <a:stretch>
          <a:fillRect/>
        </a:stretch>
      </xdr:blipFill>
      <xdr:spPr>
        <a:xfrm>
          <a:off x="277906" y="16441271"/>
          <a:ext cx="5390476" cy="2285714"/>
        </a:xfrm>
        <a:prstGeom prst="rect">
          <a:avLst/>
        </a:prstGeom>
      </xdr:spPr>
    </xdr:pic>
    <xdr:clientData/>
  </xdr:twoCellAnchor>
  <xdr:twoCellAnchor>
    <xdr:from>
      <xdr:col>1</xdr:col>
      <xdr:colOff>114892</xdr:colOff>
      <xdr:row>114</xdr:row>
      <xdr:rowOff>8517</xdr:rowOff>
    </xdr:from>
    <xdr:to>
      <xdr:col>6</xdr:col>
      <xdr:colOff>692691</xdr:colOff>
      <xdr:row>117</xdr:row>
      <xdr:rowOff>78559</xdr:rowOff>
    </xdr:to>
    <xdr:sp macro="" textlink="">
      <xdr:nvSpPr>
        <xdr:cNvPr id="15" name="TextBox 14">
          <a:extLst>
            <a:ext uri="{FF2B5EF4-FFF2-40B4-BE49-F238E27FC236}">
              <a16:creationId xmlns:a16="http://schemas.microsoft.com/office/drawing/2014/main" id="{395D0622-7CC9-4F1D-A74A-D1D5A4C77E27}"/>
            </a:ext>
          </a:extLst>
        </xdr:cNvPr>
        <xdr:cNvSpPr txBox="1"/>
      </xdr:nvSpPr>
      <xdr:spPr>
        <a:xfrm>
          <a:off x="294186" y="15920870"/>
          <a:ext cx="4405729" cy="44656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solidFill>
                <a:schemeClr val="dk1"/>
              </a:solidFill>
              <a:effectLst/>
              <a:latin typeface="+mn-lt"/>
              <a:ea typeface="+mn-ea"/>
              <a:cs typeface="+mn-cs"/>
            </a:rPr>
            <a:t>DOE-EERE (2010).</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Technical Support Document for the 2010 DOE Water Heater Rule. </a:t>
          </a:r>
          <a:r>
            <a:rPr lang="en-US" sz="1100"/>
            <a:t>p. 7-27</a:t>
          </a:r>
        </a:p>
      </xdr:txBody>
    </xdr:sp>
    <xdr:clientData/>
  </xdr:twoCellAnchor>
  <xdr:twoCellAnchor>
    <xdr:from>
      <xdr:col>2</xdr:col>
      <xdr:colOff>1213361</xdr:colOff>
      <xdr:row>125</xdr:row>
      <xdr:rowOff>55787</xdr:rowOff>
    </xdr:from>
    <xdr:to>
      <xdr:col>4</xdr:col>
      <xdr:colOff>161365</xdr:colOff>
      <xdr:row>135</xdr:row>
      <xdr:rowOff>8965</xdr:rowOff>
    </xdr:to>
    <xdr:sp macro="" textlink="">
      <xdr:nvSpPr>
        <xdr:cNvPr id="16" name="Rectangle 15">
          <a:extLst>
            <a:ext uri="{FF2B5EF4-FFF2-40B4-BE49-F238E27FC236}">
              <a16:creationId xmlns:a16="http://schemas.microsoft.com/office/drawing/2014/main" id="{6109C5E8-4761-4A2A-9B14-8656008AA2CE}"/>
            </a:ext>
          </a:extLst>
        </xdr:cNvPr>
        <xdr:cNvSpPr/>
      </xdr:nvSpPr>
      <xdr:spPr>
        <a:xfrm>
          <a:off x="1571949" y="17348705"/>
          <a:ext cx="929204" cy="1208236"/>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171206</xdr:colOff>
      <xdr:row>133</xdr:row>
      <xdr:rowOff>70822</xdr:rowOff>
    </xdr:from>
    <xdr:to>
      <xdr:col>5</xdr:col>
      <xdr:colOff>143435</xdr:colOff>
      <xdr:row>135</xdr:row>
      <xdr:rowOff>26895</xdr:rowOff>
    </xdr:to>
    <xdr:sp macro="" textlink="">
      <xdr:nvSpPr>
        <xdr:cNvPr id="17" name="Rectangle 16">
          <a:extLst>
            <a:ext uri="{FF2B5EF4-FFF2-40B4-BE49-F238E27FC236}">
              <a16:creationId xmlns:a16="http://schemas.microsoft.com/office/drawing/2014/main" id="{EE5AC89C-1C71-43AE-AA1E-5AFF16279ECF}"/>
            </a:ext>
          </a:extLst>
        </xdr:cNvPr>
        <xdr:cNvSpPr/>
      </xdr:nvSpPr>
      <xdr:spPr>
        <a:xfrm>
          <a:off x="350500" y="18367787"/>
          <a:ext cx="3002300" cy="20708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171206</xdr:colOff>
      <xdr:row>125</xdr:row>
      <xdr:rowOff>43927</xdr:rowOff>
    </xdr:from>
    <xdr:to>
      <xdr:col>5</xdr:col>
      <xdr:colOff>143435</xdr:colOff>
      <xdr:row>126</xdr:row>
      <xdr:rowOff>107577</xdr:rowOff>
    </xdr:to>
    <xdr:sp macro="" textlink="">
      <xdr:nvSpPr>
        <xdr:cNvPr id="20" name="Rectangle 19">
          <a:extLst>
            <a:ext uri="{FF2B5EF4-FFF2-40B4-BE49-F238E27FC236}">
              <a16:creationId xmlns:a16="http://schemas.microsoft.com/office/drawing/2014/main" id="{D6172131-4B09-413C-A48F-361FDE8AD5E5}"/>
            </a:ext>
          </a:extLst>
        </xdr:cNvPr>
        <xdr:cNvSpPr/>
      </xdr:nvSpPr>
      <xdr:spPr>
        <a:xfrm>
          <a:off x="350500" y="17336845"/>
          <a:ext cx="3002300" cy="189156"/>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171206</xdr:colOff>
      <xdr:row>129</xdr:row>
      <xdr:rowOff>70821</xdr:rowOff>
    </xdr:from>
    <xdr:to>
      <xdr:col>5</xdr:col>
      <xdr:colOff>143435</xdr:colOff>
      <xdr:row>131</xdr:row>
      <xdr:rowOff>8965</xdr:rowOff>
    </xdr:to>
    <xdr:sp macro="" textlink="">
      <xdr:nvSpPr>
        <xdr:cNvPr id="22" name="Rectangle 21">
          <a:extLst>
            <a:ext uri="{FF2B5EF4-FFF2-40B4-BE49-F238E27FC236}">
              <a16:creationId xmlns:a16="http://schemas.microsoft.com/office/drawing/2014/main" id="{8D5E1ECE-03DB-45B2-80B5-3BA5791C572A}"/>
            </a:ext>
          </a:extLst>
        </xdr:cNvPr>
        <xdr:cNvSpPr/>
      </xdr:nvSpPr>
      <xdr:spPr>
        <a:xfrm>
          <a:off x="350500" y="17865762"/>
          <a:ext cx="3002300" cy="189156"/>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68580</xdr:colOff>
      <xdr:row>112</xdr:row>
      <xdr:rowOff>68580</xdr:rowOff>
    </xdr:from>
    <xdr:to>
      <xdr:col>12</xdr:col>
      <xdr:colOff>131968</xdr:colOff>
      <xdr:row>149</xdr:row>
      <xdr:rowOff>79659</xdr:rowOff>
    </xdr:to>
    <xdr:grpSp>
      <xdr:nvGrpSpPr>
        <xdr:cNvPr id="2" name="Group 1">
          <a:extLst>
            <a:ext uri="{FF2B5EF4-FFF2-40B4-BE49-F238E27FC236}">
              <a16:creationId xmlns:a16="http://schemas.microsoft.com/office/drawing/2014/main" id="{CF479C4E-AE50-4812-9D50-8611A5E8AD85}"/>
            </a:ext>
          </a:extLst>
        </xdr:cNvPr>
        <xdr:cNvGrpSpPr/>
      </xdr:nvGrpSpPr>
      <xdr:grpSpPr>
        <a:xfrm>
          <a:off x="419100" y="17305020"/>
          <a:ext cx="8689228" cy="4804059"/>
          <a:chOff x="1435511" y="21247828"/>
          <a:chExt cx="7738969" cy="4614455"/>
        </a:xfrm>
      </xdr:grpSpPr>
      <xdr:sp macro="" textlink="">
        <xdr:nvSpPr>
          <xdr:cNvPr id="3" name="TextBox 2">
            <a:extLst>
              <a:ext uri="{FF2B5EF4-FFF2-40B4-BE49-F238E27FC236}">
                <a16:creationId xmlns:a16="http://schemas.microsoft.com/office/drawing/2014/main" id="{7894C9AE-8D13-4150-9A47-9D4FFC11C602}"/>
              </a:ext>
            </a:extLst>
          </xdr:cNvPr>
          <xdr:cNvSpPr txBox="1"/>
        </xdr:nvSpPr>
        <xdr:spPr>
          <a:xfrm>
            <a:off x="1435511" y="21247828"/>
            <a:ext cx="6237829" cy="62836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U.S. Code of Federal Regulations. 10 CFR 430,</a:t>
            </a:r>
            <a:r>
              <a:rPr lang="en-US" sz="1100" baseline="0"/>
              <a:t> Appendix E to Subpart B.</a:t>
            </a:r>
          </a:p>
          <a:p>
            <a:r>
              <a:rPr lang="en-US" sz="1100"/>
              <a:t>https://www.ecfr.gov/cgi-bin/retrieveECFR?gp=&amp;SID=d4d39bb27af7d152a7fed5b83ce0a85d&amp;mc=true&amp;r=PART&amp;n=pt10.3.430#ap10.3.430_127.e</a:t>
            </a:r>
          </a:p>
        </xdr:txBody>
      </xdr:sp>
      <xdr:pic>
        <xdr:nvPicPr>
          <xdr:cNvPr id="4" name="Picture 3">
            <a:extLst>
              <a:ext uri="{FF2B5EF4-FFF2-40B4-BE49-F238E27FC236}">
                <a16:creationId xmlns:a16="http://schemas.microsoft.com/office/drawing/2014/main" id="{89363523-96F6-486A-915E-6E18E9912862}"/>
              </a:ext>
            </a:extLst>
          </xdr:cNvPr>
          <xdr:cNvPicPr>
            <a:picLocks noChangeAspect="1"/>
          </xdr:cNvPicPr>
        </xdr:nvPicPr>
        <xdr:blipFill>
          <a:blip xmlns:r="http://schemas.openxmlformats.org/officeDocument/2006/relationships" r:embed="rId1"/>
          <a:stretch>
            <a:fillRect/>
          </a:stretch>
        </xdr:blipFill>
        <xdr:spPr>
          <a:xfrm>
            <a:off x="1447800" y="22318814"/>
            <a:ext cx="2436975" cy="3543469"/>
          </a:xfrm>
          <a:prstGeom prst="rect">
            <a:avLst/>
          </a:prstGeom>
        </xdr:spPr>
      </xdr:pic>
      <xdr:sp macro="" textlink="">
        <xdr:nvSpPr>
          <xdr:cNvPr id="5" name="TextBox 4">
            <a:extLst>
              <a:ext uri="{FF2B5EF4-FFF2-40B4-BE49-F238E27FC236}">
                <a16:creationId xmlns:a16="http://schemas.microsoft.com/office/drawing/2014/main" id="{D3CA7446-15ED-4704-9414-F0D9DF87A7C1}"/>
              </a:ext>
            </a:extLst>
          </xdr:cNvPr>
          <xdr:cNvSpPr txBox="1"/>
        </xdr:nvSpPr>
        <xdr:spPr>
          <a:xfrm>
            <a:off x="1435511" y="21842188"/>
            <a:ext cx="6237829" cy="469172"/>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a:t>
            </a:r>
            <a:r>
              <a:rPr lang="en-US" sz="1100" baseline="0"/>
              <a:t>e that the same assumptions and the same equation apply to calculating the annual energy use of storage water heaters and tankless water heaters with volume &lt;2 gallons.</a:t>
            </a:r>
            <a:endParaRPr lang="en-US" sz="1100"/>
          </a:p>
        </xdr:txBody>
      </xdr:sp>
      <xdr:pic>
        <xdr:nvPicPr>
          <xdr:cNvPr id="6" name="Picture 5">
            <a:extLst>
              <a:ext uri="{FF2B5EF4-FFF2-40B4-BE49-F238E27FC236}">
                <a16:creationId xmlns:a16="http://schemas.microsoft.com/office/drawing/2014/main" id="{7C8378F2-34C5-494B-8D9E-F3E8A5718248}"/>
              </a:ext>
            </a:extLst>
          </xdr:cNvPr>
          <xdr:cNvPicPr>
            <a:picLocks noChangeAspect="1"/>
          </xdr:cNvPicPr>
        </xdr:nvPicPr>
        <xdr:blipFill>
          <a:blip xmlns:r="http://schemas.openxmlformats.org/officeDocument/2006/relationships" r:embed="rId2"/>
          <a:stretch>
            <a:fillRect/>
          </a:stretch>
        </xdr:blipFill>
        <xdr:spPr>
          <a:xfrm>
            <a:off x="3939540" y="22296121"/>
            <a:ext cx="5234940" cy="3297804"/>
          </a:xfrm>
          <a:prstGeom prst="rect">
            <a:avLst/>
          </a:prstGeom>
        </xdr:spPr>
      </xdr:pic>
    </xdr:grpSp>
    <xdr:clientData/>
  </xdr:twoCellAnchor>
  <xdr:twoCellAnchor>
    <xdr:from>
      <xdr:col>2</xdr:col>
      <xdr:colOff>0</xdr:colOff>
      <xdr:row>150</xdr:row>
      <xdr:rowOff>0</xdr:rowOff>
    </xdr:from>
    <xdr:to>
      <xdr:col>5</xdr:col>
      <xdr:colOff>789608</xdr:colOff>
      <xdr:row>172</xdr:row>
      <xdr:rowOff>54134</xdr:rowOff>
    </xdr:to>
    <xdr:grpSp>
      <xdr:nvGrpSpPr>
        <xdr:cNvPr id="7" name="Group 6">
          <a:extLst>
            <a:ext uri="{FF2B5EF4-FFF2-40B4-BE49-F238E27FC236}">
              <a16:creationId xmlns:a16="http://schemas.microsoft.com/office/drawing/2014/main" id="{F12CA945-873D-47DE-963B-741CACA9751F}"/>
            </a:ext>
          </a:extLst>
        </xdr:cNvPr>
        <xdr:cNvGrpSpPr/>
      </xdr:nvGrpSpPr>
      <xdr:grpSpPr>
        <a:xfrm>
          <a:off x="350520" y="22158960"/>
          <a:ext cx="3845228" cy="2904014"/>
          <a:chOff x="1221377" y="18038716"/>
          <a:chExt cx="4455917" cy="2871357"/>
        </a:xfrm>
      </xdr:grpSpPr>
      <xdr:pic>
        <xdr:nvPicPr>
          <xdr:cNvPr id="8" name="Picture 7">
            <a:extLst>
              <a:ext uri="{FF2B5EF4-FFF2-40B4-BE49-F238E27FC236}">
                <a16:creationId xmlns:a16="http://schemas.microsoft.com/office/drawing/2014/main" id="{389C3C0F-6309-420D-B651-1B4E82C43735}"/>
              </a:ext>
            </a:extLst>
          </xdr:cNvPr>
          <xdr:cNvPicPr>
            <a:picLocks noChangeAspect="1"/>
          </xdr:cNvPicPr>
        </xdr:nvPicPr>
        <xdr:blipFill>
          <a:blip xmlns:r="http://schemas.openxmlformats.org/officeDocument/2006/relationships" r:embed="rId3"/>
          <a:stretch>
            <a:fillRect/>
          </a:stretch>
        </xdr:blipFill>
        <xdr:spPr>
          <a:xfrm>
            <a:off x="1221377" y="18602409"/>
            <a:ext cx="4455917" cy="2307664"/>
          </a:xfrm>
          <a:prstGeom prst="rect">
            <a:avLst/>
          </a:prstGeom>
        </xdr:spPr>
      </xdr:pic>
      <xdr:sp macro="" textlink="">
        <xdr:nvSpPr>
          <xdr:cNvPr id="9" name="TextBox 8">
            <a:extLst>
              <a:ext uri="{FF2B5EF4-FFF2-40B4-BE49-F238E27FC236}">
                <a16:creationId xmlns:a16="http://schemas.microsoft.com/office/drawing/2014/main" id="{F0FD6442-9586-4B3F-AC2F-9221A864F431}"/>
              </a:ext>
            </a:extLst>
          </xdr:cNvPr>
          <xdr:cNvSpPr txBox="1"/>
        </xdr:nvSpPr>
        <xdr:spPr>
          <a:xfrm>
            <a:off x="1264983" y="18038716"/>
            <a:ext cx="4404147" cy="45545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solidFill>
                  <a:schemeClr val="dk1"/>
                </a:solidFill>
                <a:effectLst/>
                <a:latin typeface="+mn-lt"/>
                <a:ea typeface="+mn-ea"/>
                <a:cs typeface="+mn-cs"/>
              </a:rPr>
              <a:t>DOE-EERE (2010).</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Technical Support Document for the 2010 DOE Water Heater Rule. </a:t>
            </a:r>
            <a:r>
              <a:rPr lang="en-US" sz="1100"/>
              <a:t>p. 7-28</a:t>
            </a:r>
          </a:p>
        </xdr:txBody>
      </xdr:sp>
      <xdr:sp macro="" textlink="">
        <xdr:nvSpPr>
          <xdr:cNvPr id="10" name="Rectangle 9">
            <a:extLst>
              <a:ext uri="{FF2B5EF4-FFF2-40B4-BE49-F238E27FC236}">
                <a16:creationId xmlns:a16="http://schemas.microsoft.com/office/drawing/2014/main" id="{3F88A3FC-5C58-4957-8A51-5CCDECFAE011}"/>
              </a:ext>
            </a:extLst>
          </xdr:cNvPr>
          <xdr:cNvSpPr/>
        </xdr:nvSpPr>
        <xdr:spPr>
          <a:xfrm>
            <a:off x="2255520" y="19385280"/>
            <a:ext cx="762000" cy="146304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 name="Rectangle 10">
            <a:extLst>
              <a:ext uri="{FF2B5EF4-FFF2-40B4-BE49-F238E27FC236}">
                <a16:creationId xmlns:a16="http://schemas.microsoft.com/office/drawing/2014/main" id="{4FEB87ED-8124-4743-BC24-958EF0E23B48}"/>
              </a:ext>
            </a:extLst>
          </xdr:cNvPr>
          <xdr:cNvSpPr/>
        </xdr:nvSpPr>
        <xdr:spPr>
          <a:xfrm>
            <a:off x="1329494" y="20488670"/>
            <a:ext cx="2382646" cy="19304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Rectangle 11">
            <a:extLst>
              <a:ext uri="{FF2B5EF4-FFF2-40B4-BE49-F238E27FC236}">
                <a16:creationId xmlns:a16="http://schemas.microsoft.com/office/drawing/2014/main" id="{88964E0B-496C-447F-ABD4-EDA49C0CA118}"/>
              </a:ext>
            </a:extLst>
          </xdr:cNvPr>
          <xdr:cNvSpPr/>
        </xdr:nvSpPr>
        <xdr:spPr>
          <a:xfrm>
            <a:off x="1329494" y="19860059"/>
            <a:ext cx="2382646" cy="19304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68580</xdr:colOff>
      <xdr:row>110</xdr:row>
      <xdr:rowOff>68580</xdr:rowOff>
    </xdr:from>
    <xdr:to>
      <xdr:col>12</xdr:col>
      <xdr:colOff>131968</xdr:colOff>
      <xdr:row>147</xdr:row>
      <xdr:rowOff>79659</xdr:rowOff>
    </xdr:to>
    <xdr:grpSp>
      <xdr:nvGrpSpPr>
        <xdr:cNvPr id="2" name="Group 1">
          <a:extLst>
            <a:ext uri="{FF2B5EF4-FFF2-40B4-BE49-F238E27FC236}">
              <a16:creationId xmlns:a16="http://schemas.microsoft.com/office/drawing/2014/main" id="{49560B8C-3A0D-4745-8508-1FA34AF32A61}"/>
            </a:ext>
          </a:extLst>
        </xdr:cNvPr>
        <xdr:cNvGrpSpPr/>
      </xdr:nvGrpSpPr>
      <xdr:grpSpPr>
        <a:xfrm>
          <a:off x="419100" y="17045940"/>
          <a:ext cx="8491108" cy="4804059"/>
          <a:chOff x="1435511" y="21247828"/>
          <a:chExt cx="7738969" cy="4614455"/>
        </a:xfrm>
      </xdr:grpSpPr>
      <xdr:sp macro="" textlink="">
        <xdr:nvSpPr>
          <xdr:cNvPr id="3" name="TextBox 2">
            <a:extLst>
              <a:ext uri="{FF2B5EF4-FFF2-40B4-BE49-F238E27FC236}">
                <a16:creationId xmlns:a16="http://schemas.microsoft.com/office/drawing/2014/main" id="{A2EE43D1-C9E5-47F7-9F6B-57AD64AFF8F4}"/>
              </a:ext>
            </a:extLst>
          </xdr:cNvPr>
          <xdr:cNvSpPr txBox="1"/>
        </xdr:nvSpPr>
        <xdr:spPr>
          <a:xfrm>
            <a:off x="1435511" y="21247828"/>
            <a:ext cx="6237829" cy="62836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U.S. Code of Federal Regulations. 10 CFR 430,</a:t>
            </a:r>
            <a:r>
              <a:rPr lang="en-US" sz="1100" baseline="0"/>
              <a:t> Appendix E to Subpart B.</a:t>
            </a:r>
          </a:p>
          <a:p>
            <a:r>
              <a:rPr lang="en-US" sz="1100"/>
              <a:t>https://www.ecfr.gov/cgi-bin/retrieveECFR?gp=&amp;SID=d4d39bb27af7d152a7fed5b83ce0a85d&amp;mc=true&amp;r=PART&amp;n=pt10.3.430#ap10.3.430_127.e</a:t>
            </a:r>
          </a:p>
        </xdr:txBody>
      </xdr:sp>
      <xdr:pic>
        <xdr:nvPicPr>
          <xdr:cNvPr id="4" name="Picture 3">
            <a:extLst>
              <a:ext uri="{FF2B5EF4-FFF2-40B4-BE49-F238E27FC236}">
                <a16:creationId xmlns:a16="http://schemas.microsoft.com/office/drawing/2014/main" id="{2211A345-AAFB-489B-888B-A4512539A00B}"/>
              </a:ext>
            </a:extLst>
          </xdr:cNvPr>
          <xdr:cNvPicPr>
            <a:picLocks noChangeAspect="1"/>
          </xdr:cNvPicPr>
        </xdr:nvPicPr>
        <xdr:blipFill>
          <a:blip xmlns:r="http://schemas.openxmlformats.org/officeDocument/2006/relationships" r:embed="rId1"/>
          <a:stretch>
            <a:fillRect/>
          </a:stretch>
        </xdr:blipFill>
        <xdr:spPr>
          <a:xfrm>
            <a:off x="1447800" y="22318814"/>
            <a:ext cx="2436975" cy="3543469"/>
          </a:xfrm>
          <a:prstGeom prst="rect">
            <a:avLst/>
          </a:prstGeom>
        </xdr:spPr>
      </xdr:pic>
      <xdr:sp macro="" textlink="">
        <xdr:nvSpPr>
          <xdr:cNvPr id="5" name="TextBox 4">
            <a:extLst>
              <a:ext uri="{FF2B5EF4-FFF2-40B4-BE49-F238E27FC236}">
                <a16:creationId xmlns:a16="http://schemas.microsoft.com/office/drawing/2014/main" id="{67C44D6D-21CD-4E01-9F99-18D0FFC58D6F}"/>
              </a:ext>
            </a:extLst>
          </xdr:cNvPr>
          <xdr:cNvSpPr txBox="1"/>
        </xdr:nvSpPr>
        <xdr:spPr>
          <a:xfrm>
            <a:off x="1435511" y="21842188"/>
            <a:ext cx="6237829" cy="469172"/>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a:t>
            </a:r>
            <a:r>
              <a:rPr lang="en-US" sz="1100" baseline="0"/>
              <a:t>e that the same assumptions and the same equation apply to calculating the annual energy use of storage water heaters and tankless water heaters with volume &lt;2 gallons.</a:t>
            </a:r>
            <a:endParaRPr lang="en-US" sz="1100"/>
          </a:p>
        </xdr:txBody>
      </xdr:sp>
      <xdr:pic>
        <xdr:nvPicPr>
          <xdr:cNvPr id="6" name="Picture 5">
            <a:extLst>
              <a:ext uri="{FF2B5EF4-FFF2-40B4-BE49-F238E27FC236}">
                <a16:creationId xmlns:a16="http://schemas.microsoft.com/office/drawing/2014/main" id="{38385EDF-9CCE-4ED4-BC10-34759BFA3E1A}"/>
              </a:ext>
            </a:extLst>
          </xdr:cNvPr>
          <xdr:cNvPicPr>
            <a:picLocks noChangeAspect="1"/>
          </xdr:cNvPicPr>
        </xdr:nvPicPr>
        <xdr:blipFill>
          <a:blip xmlns:r="http://schemas.openxmlformats.org/officeDocument/2006/relationships" r:embed="rId2"/>
          <a:stretch>
            <a:fillRect/>
          </a:stretch>
        </xdr:blipFill>
        <xdr:spPr>
          <a:xfrm>
            <a:off x="3939540" y="22296121"/>
            <a:ext cx="5234940" cy="3297804"/>
          </a:xfrm>
          <a:prstGeom prst="rect">
            <a:avLst/>
          </a:prstGeom>
        </xdr:spPr>
      </xdr:pic>
    </xdr:grpSp>
    <xdr:clientData/>
  </xdr:twoCellAnchor>
  <xdr:twoCellAnchor>
    <xdr:from>
      <xdr:col>2</xdr:col>
      <xdr:colOff>0</xdr:colOff>
      <xdr:row>148</xdr:row>
      <xdr:rowOff>0</xdr:rowOff>
    </xdr:from>
    <xdr:to>
      <xdr:col>5</xdr:col>
      <xdr:colOff>789608</xdr:colOff>
      <xdr:row>170</xdr:row>
      <xdr:rowOff>54134</xdr:rowOff>
    </xdr:to>
    <xdr:grpSp>
      <xdr:nvGrpSpPr>
        <xdr:cNvPr id="7" name="Group 6">
          <a:extLst>
            <a:ext uri="{FF2B5EF4-FFF2-40B4-BE49-F238E27FC236}">
              <a16:creationId xmlns:a16="http://schemas.microsoft.com/office/drawing/2014/main" id="{53BBB4E1-7368-4B87-99EC-849AFC43C308}"/>
            </a:ext>
          </a:extLst>
        </xdr:cNvPr>
        <xdr:cNvGrpSpPr/>
      </xdr:nvGrpSpPr>
      <xdr:grpSpPr>
        <a:xfrm>
          <a:off x="350520" y="21899880"/>
          <a:ext cx="3631868" cy="2904014"/>
          <a:chOff x="1221377" y="18038716"/>
          <a:chExt cx="4455917" cy="2871357"/>
        </a:xfrm>
      </xdr:grpSpPr>
      <xdr:pic>
        <xdr:nvPicPr>
          <xdr:cNvPr id="8" name="Picture 7">
            <a:extLst>
              <a:ext uri="{FF2B5EF4-FFF2-40B4-BE49-F238E27FC236}">
                <a16:creationId xmlns:a16="http://schemas.microsoft.com/office/drawing/2014/main" id="{6AA22A07-C42B-4BF2-896E-5ECE7EF06F0F}"/>
              </a:ext>
            </a:extLst>
          </xdr:cNvPr>
          <xdr:cNvPicPr>
            <a:picLocks noChangeAspect="1"/>
          </xdr:cNvPicPr>
        </xdr:nvPicPr>
        <xdr:blipFill>
          <a:blip xmlns:r="http://schemas.openxmlformats.org/officeDocument/2006/relationships" r:embed="rId3"/>
          <a:stretch>
            <a:fillRect/>
          </a:stretch>
        </xdr:blipFill>
        <xdr:spPr>
          <a:xfrm>
            <a:off x="1221377" y="18602409"/>
            <a:ext cx="4455917" cy="2307664"/>
          </a:xfrm>
          <a:prstGeom prst="rect">
            <a:avLst/>
          </a:prstGeom>
        </xdr:spPr>
      </xdr:pic>
      <xdr:sp macro="" textlink="">
        <xdr:nvSpPr>
          <xdr:cNvPr id="9" name="TextBox 8">
            <a:extLst>
              <a:ext uri="{FF2B5EF4-FFF2-40B4-BE49-F238E27FC236}">
                <a16:creationId xmlns:a16="http://schemas.microsoft.com/office/drawing/2014/main" id="{2ED2C5D3-A2F2-4025-A1B5-8D2DCAD992CC}"/>
              </a:ext>
            </a:extLst>
          </xdr:cNvPr>
          <xdr:cNvSpPr txBox="1"/>
        </xdr:nvSpPr>
        <xdr:spPr>
          <a:xfrm>
            <a:off x="1264983" y="18038716"/>
            <a:ext cx="4404147" cy="45545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solidFill>
                  <a:schemeClr val="dk1"/>
                </a:solidFill>
                <a:effectLst/>
                <a:latin typeface="+mn-lt"/>
                <a:ea typeface="+mn-ea"/>
                <a:cs typeface="+mn-cs"/>
              </a:rPr>
              <a:t>DOE-EERE (2010).</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Technical Support Document for the 2010 DOE Water Heater Rule. </a:t>
            </a:r>
            <a:r>
              <a:rPr lang="en-US" sz="1100"/>
              <a:t>p. 7-28</a:t>
            </a:r>
          </a:p>
        </xdr:txBody>
      </xdr:sp>
      <xdr:sp macro="" textlink="">
        <xdr:nvSpPr>
          <xdr:cNvPr id="10" name="Rectangle 9">
            <a:extLst>
              <a:ext uri="{FF2B5EF4-FFF2-40B4-BE49-F238E27FC236}">
                <a16:creationId xmlns:a16="http://schemas.microsoft.com/office/drawing/2014/main" id="{EA3685BD-1858-445C-BEBC-F562356EB3FE}"/>
              </a:ext>
            </a:extLst>
          </xdr:cNvPr>
          <xdr:cNvSpPr/>
        </xdr:nvSpPr>
        <xdr:spPr>
          <a:xfrm>
            <a:off x="2255520" y="19385280"/>
            <a:ext cx="762000" cy="146304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 name="Rectangle 10">
            <a:extLst>
              <a:ext uri="{FF2B5EF4-FFF2-40B4-BE49-F238E27FC236}">
                <a16:creationId xmlns:a16="http://schemas.microsoft.com/office/drawing/2014/main" id="{129A3710-49D0-4674-9AC0-C24E18876A43}"/>
              </a:ext>
            </a:extLst>
          </xdr:cNvPr>
          <xdr:cNvSpPr/>
        </xdr:nvSpPr>
        <xdr:spPr>
          <a:xfrm>
            <a:off x="1329494" y="20488670"/>
            <a:ext cx="2382646" cy="19304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Rectangle 11">
            <a:extLst>
              <a:ext uri="{FF2B5EF4-FFF2-40B4-BE49-F238E27FC236}">
                <a16:creationId xmlns:a16="http://schemas.microsoft.com/office/drawing/2014/main" id="{E908FF87-0DD2-4F0B-88C6-C739D36F7C28}"/>
              </a:ext>
            </a:extLst>
          </xdr:cNvPr>
          <xdr:cNvSpPr/>
        </xdr:nvSpPr>
        <xdr:spPr>
          <a:xfrm>
            <a:off x="1329494" y="19860059"/>
            <a:ext cx="2382646" cy="19304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68580</xdr:colOff>
      <xdr:row>110</xdr:row>
      <xdr:rowOff>68580</xdr:rowOff>
    </xdr:from>
    <xdr:to>
      <xdr:col>12</xdr:col>
      <xdr:colOff>131968</xdr:colOff>
      <xdr:row>147</xdr:row>
      <xdr:rowOff>79659</xdr:rowOff>
    </xdr:to>
    <xdr:grpSp>
      <xdr:nvGrpSpPr>
        <xdr:cNvPr id="2" name="Group 1">
          <a:extLst>
            <a:ext uri="{FF2B5EF4-FFF2-40B4-BE49-F238E27FC236}">
              <a16:creationId xmlns:a16="http://schemas.microsoft.com/office/drawing/2014/main" id="{E1D3E813-5D5B-418B-963D-EF3534526488}"/>
            </a:ext>
          </a:extLst>
        </xdr:cNvPr>
        <xdr:cNvGrpSpPr/>
      </xdr:nvGrpSpPr>
      <xdr:grpSpPr>
        <a:xfrm>
          <a:off x="419100" y="17045940"/>
          <a:ext cx="8491108" cy="4804059"/>
          <a:chOff x="1435511" y="21247828"/>
          <a:chExt cx="7738969" cy="4614455"/>
        </a:xfrm>
      </xdr:grpSpPr>
      <xdr:sp macro="" textlink="">
        <xdr:nvSpPr>
          <xdr:cNvPr id="3" name="TextBox 2">
            <a:extLst>
              <a:ext uri="{FF2B5EF4-FFF2-40B4-BE49-F238E27FC236}">
                <a16:creationId xmlns:a16="http://schemas.microsoft.com/office/drawing/2014/main" id="{365EC214-34A4-4D5A-BE04-1CD85743EC33}"/>
              </a:ext>
            </a:extLst>
          </xdr:cNvPr>
          <xdr:cNvSpPr txBox="1"/>
        </xdr:nvSpPr>
        <xdr:spPr>
          <a:xfrm>
            <a:off x="1435511" y="21247828"/>
            <a:ext cx="6237829" cy="62836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U.S. Code of Federal Regulations. 10 CFR 430,</a:t>
            </a:r>
            <a:r>
              <a:rPr lang="en-US" sz="1100" baseline="0"/>
              <a:t> Appendix E to Subpart B.</a:t>
            </a:r>
          </a:p>
          <a:p>
            <a:r>
              <a:rPr lang="en-US" sz="1100"/>
              <a:t>https://www.ecfr.gov/cgi-bin/retrieveECFR?gp=&amp;SID=d4d39bb27af7d152a7fed5b83ce0a85d&amp;mc=true&amp;r=PART&amp;n=pt10.3.430#ap10.3.430_127.e</a:t>
            </a:r>
          </a:p>
        </xdr:txBody>
      </xdr:sp>
      <xdr:pic>
        <xdr:nvPicPr>
          <xdr:cNvPr id="4" name="Picture 3">
            <a:extLst>
              <a:ext uri="{FF2B5EF4-FFF2-40B4-BE49-F238E27FC236}">
                <a16:creationId xmlns:a16="http://schemas.microsoft.com/office/drawing/2014/main" id="{D543D18D-6E13-43C2-9E35-79B0430ADD16}"/>
              </a:ext>
            </a:extLst>
          </xdr:cNvPr>
          <xdr:cNvPicPr>
            <a:picLocks noChangeAspect="1"/>
          </xdr:cNvPicPr>
        </xdr:nvPicPr>
        <xdr:blipFill>
          <a:blip xmlns:r="http://schemas.openxmlformats.org/officeDocument/2006/relationships" r:embed="rId1"/>
          <a:stretch>
            <a:fillRect/>
          </a:stretch>
        </xdr:blipFill>
        <xdr:spPr>
          <a:xfrm>
            <a:off x="1447800" y="22318814"/>
            <a:ext cx="2436975" cy="3543469"/>
          </a:xfrm>
          <a:prstGeom prst="rect">
            <a:avLst/>
          </a:prstGeom>
        </xdr:spPr>
      </xdr:pic>
      <xdr:sp macro="" textlink="">
        <xdr:nvSpPr>
          <xdr:cNvPr id="5" name="TextBox 4">
            <a:extLst>
              <a:ext uri="{FF2B5EF4-FFF2-40B4-BE49-F238E27FC236}">
                <a16:creationId xmlns:a16="http://schemas.microsoft.com/office/drawing/2014/main" id="{6F641B17-C4E9-4AFA-919D-B23D51B03E0C}"/>
              </a:ext>
            </a:extLst>
          </xdr:cNvPr>
          <xdr:cNvSpPr txBox="1"/>
        </xdr:nvSpPr>
        <xdr:spPr>
          <a:xfrm>
            <a:off x="1435511" y="21842188"/>
            <a:ext cx="6237829" cy="469172"/>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a:t>
            </a:r>
            <a:r>
              <a:rPr lang="en-US" sz="1100" baseline="0"/>
              <a:t>e that the same assumptions and the same equation apply to calculating the annual energy use of storage water heaters and tankless water heaters with volume &lt;2 gallons.</a:t>
            </a:r>
            <a:endParaRPr lang="en-US" sz="1100"/>
          </a:p>
        </xdr:txBody>
      </xdr:sp>
      <xdr:pic>
        <xdr:nvPicPr>
          <xdr:cNvPr id="6" name="Picture 5">
            <a:extLst>
              <a:ext uri="{FF2B5EF4-FFF2-40B4-BE49-F238E27FC236}">
                <a16:creationId xmlns:a16="http://schemas.microsoft.com/office/drawing/2014/main" id="{8527B47B-75A7-458C-911A-3CBEAA0432F0}"/>
              </a:ext>
            </a:extLst>
          </xdr:cNvPr>
          <xdr:cNvPicPr>
            <a:picLocks noChangeAspect="1"/>
          </xdr:cNvPicPr>
        </xdr:nvPicPr>
        <xdr:blipFill>
          <a:blip xmlns:r="http://schemas.openxmlformats.org/officeDocument/2006/relationships" r:embed="rId2"/>
          <a:stretch>
            <a:fillRect/>
          </a:stretch>
        </xdr:blipFill>
        <xdr:spPr>
          <a:xfrm>
            <a:off x="3939540" y="22296121"/>
            <a:ext cx="5234940" cy="3297804"/>
          </a:xfrm>
          <a:prstGeom prst="rect">
            <a:avLst/>
          </a:prstGeom>
        </xdr:spPr>
      </xdr:pic>
    </xdr:grpSp>
    <xdr:clientData/>
  </xdr:twoCellAnchor>
  <xdr:twoCellAnchor>
    <xdr:from>
      <xdr:col>2</xdr:col>
      <xdr:colOff>0</xdr:colOff>
      <xdr:row>148</xdr:row>
      <xdr:rowOff>0</xdr:rowOff>
    </xdr:from>
    <xdr:to>
      <xdr:col>5</xdr:col>
      <xdr:colOff>789608</xdr:colOff>
      <xdr:row>170</xdr:row>
      <xdr:rowOff>54134</xdr:rowOff>
    </xdr:to>
    <xdr:grpSp>
      <xdr:nvGrpSpPr>
        <xdr:cNvPr id="7" name="Group 6">
          <a:extLst>
            <a:ext uri="{FF2B5EF4-FFF2-40B4-BE49-F238E27FC236}">
              <a16:creationId xmlns:a16="http://schemas.microsoft.com/office/drawing/2014/main" id="{0734BB9B-C7F6-465E-999F-F24C89E14FE3}"/>
            </a:ext>
          </a:extLst>
        </xdr:cNvPr>
        <xdr:cNvGrpSpPr/>
      </xdr:nvGrpSpPr>
      <xdr:grpSpPr>
        <a:xfrm>
          <a:off x="350520" y="21899880"/>
          <a:ext cx="3631868" cy="2904014"/>
          <a:chOff x="1221377" y="18038716"/>
          <a:chExt cx="4455917" cy="2871357"/>
        </a:xfrm>
      </xdr:grpSpPr>
      <xdr:pic>
        <xdr:nvPicPr>
          <xdr:cNvPr id="8" name="Picture 7">
            <a:extLst>
              <a:ext uri="{FF2B5EF4-FFF2-40B4-BE49-F238E27FC236}">
                <a16:creationId xmlns:a16="http://schemas.microsoft.com/office/drawing/2014/main" id="{9FD0216F-E509-4E9F-8DA5-663FA9B95126}"/>
              </a:ext>
            </a:extLst>
          </xdr:cNvPr>
          <xdr:cNvPicPr>
            <a:picLocks noChangeAspect="1"/>
          </xdr:cNvPicPr>
        </xdr:nvPicPr>
        <xdr:blipFill>
          <a:blip xmlns:r="http://schemas.openxmlformats.org/officeDocument/2006/relationships" r:embed="rId3"/>
          <a:stretch>
            <a:fillRect/>
          </a:stretch>
        </xdr:blipFill>
        <xdr:spPr>
          <a:xfrm>
            <a:off x="1221377" y="18602409"/>
            <a:ext cx="4455917" cy="2307664"/>
          </a:xfrm>
          <a:prstGeom prst="rect">
            <a:avLst/>
          </a:prstGeom>
        </xdr:spPr>
      </xdr:pic>
      <xdr:sp macro="" textlink="">
        <xdr:nvSpPr>
          <xdr:cNvPr id="9" name="TextBox 8">
            <a:extLst>
              <a:ext uri="{FF2B5EF4-FFF2-40B4-BE49-F238E27FC236}">
                <a16:creationId xmlns:a16="http://schemas.microsoft.com/office/drawing/2014/main" id="{4C2C3F3E-0ACD-4CF4-9A7E-B9B2F05F9494}"/>
              </a:ext>
            </a:extLst>
          </xdr:cNvPr>
          <xdr:cNvSpPr txBox="1"/>
        </xdr:nvSpPr>
        <xdr:spPr>
          <a:xfrm>
            <a:off x="1264983" y="18038716"/>
            <a:ext cx="4404147" cy="45545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solidFill>
                  <a:schemeClr val="dk1"/>
                </a:solidFill>
                <a:effectLst/>
                <a:latin typeface="+mn-lt"/>
                <a:ea typeface="+mn-ea"/>
                <a:cs typeface="+mn-cs"/>
              </a:rPr>
              <a:t>DOE-EERE (2010).</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Technical Support Document for the 2010 DOE Water Heater Rule. </a:t>
            </a:r>
            <a:r>
              <a:rPr lang="en-US" sz="1100"/>
              <a:t>p. 7-28</a:t>
            </a:r>
          </a:p>
        </xdr:txBody>
      </xdr:sp>
      <xdr:sp macro="" textlink="">
        <xdr:nvSpPr>
          <xdr:cNvPr id="10" name="Rectangle 9">
            <a:extLst>
              <a:ext uri="{FF2B5EF4-FFF2-40B4-BE49-F238E27FC236}">
                <a16:creationId xmlns:a16="http://schemas.microsoft.com/office/drawing/2014/main" id="{F46F5D5D-29D6-4115-B5D2-FD047A4809FB}"/>
              </a:ext>
            </a:extLst>
          </xdr:cNvPr>
          <xdr:cNvSpPr/>
        </xdr:nvSpPr>
        <xdr:spPr>
          <a:xfrm>
            <a:off x="2255520" y="19385280"/>
            <a:ext cx="762000" cy="146304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 name="Rectangle 10">
            <a:extLst>
              <a:ext uri="{FF2B5EF4-FFF2-40B4-BE49-F238E27FC236}">
                <a16:creationId xmlns:a16="http://schemas.microsoft.com/office/drawing/2014/main" id="{4ABA1755-6856-481B-97C4-7D9C10F980A4}"/>
              </a:ext>
            </a:extLst>
          </xdr:cNvPr>
          <xdr:cNvSpPr/>
        </xdr:nvSpPr>
        <xdr:spPr>
          <a:xfrm>
            <a:off x="1329494" y="20488670"/>
            <a:ext cx="2382646" cy="19304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Rectangle 11">
            <a:extLst>
              <a:ext uri="{FF2B5EF4-FFF2-40B4-BE49-F238E27FC236}">
                <a16:creationId xmlns:a16="http://schemas.microsoft.com/office/drawing/2014/main" id="{54F0C99C-CF26-40E2-A0A7-8A089C04EF89}"/>
              </a:ext>
            </a:extLst>
          </xdr:cNvPr>
          <xdr:cNvSpPr/>
        </xdr:nvSpPr>
        <xdr:spPr>
          <a:xfrm>
            <a:off x="1329494" y="19860059"/>
            <a:ext cx="2382646" cy="19304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68580</xdr:colOff>
      <xdr:row>111</xdr:row>
      <xdr:rowOff>68580</xdr:rowOff>
    </xdr:from>
    <xdr:to>
      <xdr:col>12</xdr:col>
      <xdr:colOff>131968</xdr:colOff>
      <xdr:row>148</xdr:row>
      <xdr:rowOff>79659</xdr:rowOff>
    </xdr:to>
    <xdr:grpSp>
      <xdr:nvGrpSpPr>
        <xdr:cNvPr id="2" name="Group 1">
          <a:extLst>
            <a:ext uri="{FF2B5EF4-FFF2-40B4-BE49-F238E27FC236}">
              <a16:creationId xmlns:a16="http://schemas.microsoft.com/office/drawing/2014/main" id="{9D4DC369-90F1-4AEA-97C3-9054459DD9AF}"/>
            </a:ext>
          </a:extLst>
        </xdr:cNvPr>
        <xdr:cNvGrpSpPr/>
      </xdr:nvGrpSpPr>
      <xdr:grpSpPr>
        <a:xfrm>
          <a:off x="419100" y="16786860"/>
          <a:ext cx="9618868" cy="4804059"/>
          <a:chOff x="1435511" y="21247828"/>
          <a:chExt cx="7738969" cy="4614455"/>
        </a:xfrm>
      </xdr:grpSpPr>
      <xdr:sp macro="" textlink="">
        <xdr:nvSpPr>
          <xdr:cNvPr id="3" name="TextBox 2">
            <a:extLst>
              <a:ext uri="{FF2B5EF4-FFF2-40B4-BE49-F238E27FC236}">
                <a16:creationId xmlns:a16="http://schemas.microsoft.com/office/drawing/2014/main" id="{0FB8716B-364C-4A51-8190-C6FE27A3F178}"/>
              </a:ext>
            </a:extLst>
          </xdr:cNvPr>
          <xdr:cNvSpPr txBox="1"/>
        </xdr:nvSpPr>
        <xdr:spPr>
          <a:xfrm>
            <a:off x="1435511" y="21247828"/>
            <a:ext cx="6237829" cy="62836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U.S. Code of Federal Regulations. 10 CFR 430,</a:t>
            </a:r>
            <a:r>
              <a:rPr lang="en-US" sz="1100" baseline="0"/>
              <a:t> Appendix E to Subpart B.</a:t>
            </a:r>
          </a:p>
          <a:p>
            <a:r>
              <a:rPr lang="en-US" sz="1100"/>
              <a:t>https://www.ecfr.gov/cgi-bin/retrieveECFR?gp=&amp;SID=d4d39bb27af7d152a7fed5b83ce0a85d&amp;mc=true&amp;r=PART&amp;n=pt10.3.430#ap10.3.430_127.e</a:t>
            </a:r>
          </a:p>
        </xdr:txBody>
      </xdr:sp>
      <xdr:pic>
        <xdr:nvPicPr>
          <xdr:cNvPr id="4" name="Picture 3">
            <a:extLst>
              <a:ext uri="{FF2B5EF4-FFF2-40B4-BE49-F238E27FC236}">
                <a16:creationId xmlns:a16="http://schemas.microsoft.com/office/drawing/2014/main" id="{6E07212C-FEA4-41AD-BF1D-8E8C9C022441}"/>
              </a:ext>
            </a:extLst>
          </xdr:cNvPr>
          <xdr:cNvPicPr>
            <a:picLocks noChangeAspect="1"/>
          </xdr:cNvPicPr>
        </xdr:nvPicPr>
        <xdr:blipFill>
          <a:blip xmlns:r="http://schemas.openxmlformats.org/officeDocument/2006/relationships" r:embed="rId1"/>
          <a:stretch>
            <a:fillRect/>
          </a:stretch>
        </xdr:blipFill>
        <xdr:spPr>
          <a:xfrm>
            <a:off x="1447800" y="22318814"/>
            <a:ext cx="2436975" cy="3543469"/>
          </a:xfrm>
          <a:prstGeom prst="rect">
            <a:avLst/>
          </a:prstGeom>
        </xdr:spPr>
      </xdr:pic>
      <xdr:sp macro="" textlink="">
        <xdr:nvSpPr>
          <xdr:cNvPr id="5" name="TextBox 4">
            <a:extLst>
              <a:ext uri="{FF2B5EF4-FFF2-40B4-BE49-F238E27FC236}">
                <a16:creationId xmlns:a16="http://schemas.microsoft.com/office/drawing/2014/main" id="{B177226E-2D0A-4849-A938-667CDF3E8D01}"/>
              </a:ext>
            </a:extLst>
          </xdr:cNvPr>
          <xdr:cNvSpPr txBox="1"/>
        </xdr:nvSpPr>
        <xdr:spPr>
          <a:xfrm>
            <a:off x="1435511" y="21842188"/>
            <a:ext cx="6237829" cy="469172"/>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a:t>
            </a:r>
            <a:r>
              <a:rPr lang="en-US" sz="1100" baseline="0"/>
              <a:t>e that the same assumptions and the same equation apply to calculating the annual energy use of storage water heaters and tankless water heaters with volume &lt;2 gallons.</a:t>
            </a:r>
            <a:endParaRPr lang="en-US" sz="1100"/>
          </a:p>
        </xdr:txBody>
      </xdr:sp>
      <xdr:pic>
        <xdr:nvPicPr>
          <xdr:cNvPr id="6" name="Picture 5">
            <a:extLst>
              <a:ext uri="{FF2B5EF4-FFF2-40B4-BE49-F238E27FC236}">
                <a16:creationId xmlns:a16="http://schemas.microsoft.com/office/drawing/2014/main" id="{1C0F7BC5-F9C6-45FB-B24C-D91BF00742B4}"/>
              </a:ext>
            </a:extLst>
          </xdr:cNvPr>
          <xdr:cNvPicPr>
            <a:picLocks noChangeAspect="1"/>
          </xdr:cNvPicPr>
        </xdr:nvPicPr>
        <xdr:blipFill>
          <a:blip xmlns:r="http://schemas.openxmlformats.org/officeDocument/2006/relationships" r:embed="rId2"/>
          <a:stretch>
            <a:fillRect/>
          </a:stretch>
        </xdr:blipFill>
        <xdr:spPr>
          <a:xfrm>
            <a:off x="3939540" y="22296121"/>
            <a:ext cx="5234940" cy="3297804"/>
          </a:xfrm>
          <a:prstGeom prst="rect">
            <a:avLst/>
          </a:prstGeom>
        </xdr:spPr>
      </xdr:pic>
    </xdr:grpSp>
    <xdr:clientData/>
  </xdr:twoCellAnchor>
  <xdr:twoCellAnchor>
    <xdr:from>
      <xdr:col>2</xdr:col>
      <xdr:colOff>0</xdr:colOff>
      <xdr:row>149</xdr:row>
      <xdr:rowOff>0</xdr:rowOff>
    </xdr:from>
    <xdr:to>
      <xdr:col>5</xdr:col>
      <xdr:colOff>789608</xdr:colOff>
      <xdr:row>171</xdr:row>
      <xdr:rowOff>54134</xdr:rowOff>
    </xdr:to>
    <xdr:grpSp>
      <xdr:nvGrpSpPr>
        <xdr:cNvPr id="7" name="Group 6">
          <a:extLst>
            <a:ext uri="{FF2B5EF4-FFF2-40B4-BE49-F238E27FC236}">
              <a16:creationId xmlns:a16="http://schemas.microsoft.com/office/drawing/2014/main" id="{398AE4AD-36FE-47A2-BD29-F86E94DA066C}"/>
            </a:ext>
          </a:extLst>
        </xdr:cNvPr>
        <xdr:cNvGrpSpPr/>
      </xdr:nvGrpSpPr>
      <xdr:grpSpPr>
        <a:xfrm>
          <a:off x="350520" y="21640800"/>
          <a:ext cx="4447208" cy="2904014"/>
          <a:chOff x="1221377" y="18038716"/>
          <a:chExt cx="4455917" cy="2871357"/>
        </a:xfrm>
      </xdr:grpSpPr>
      <xdr:pic>
        <xdr:nvPicPr>
          <xdr:cNvPr id="8" name="Picture 7">
            <a:extLst>
              <a:ext uri="{FF2B5EF4-FFF2-40B4-BE49-F238E27FC236}">
                <a16:creationId xmlns:a16="http://schemas.microsoft.com/office/drawing/2014/main" id="{EF09CC8A-FD1B-46B5-BFEF-35B1AA5943AA}"/>
              </a:ext>
            </a:extLst>
          </xdr:cNvPr>
          <xdr:cNvPicPr>
            <a:picLocks noChangeAspect="1"/>
          </xdr:cNvPicPr>
        </xdr:nvPicPr>
        <xdr:blipFill>
          <a:blip xmlns:r="http://schemas.openxmlformats.org/officeDocument/2006/relationships" r:embed="rId3"/>
          <a:stretch>
            <a:fillRect/>
          </a:stretch>
        </xdr:blipFill>
        <xdr:spPr>
          <a:xfrm>
            <a:off x="1221377" y="18602409"/>
            <a:ext cx="4455917" cy="2307664"/>
          </a:xfrm>
          <a:prstGeom prst="rect">
            <a:avLst/>
          </a:prstGeom>
        </xdr:spPr>
      </xdr:pic>
      <xdr:sp macro="" textlink="">
        <xdr:nvSpPr>
          <xdr:cNvPr id="9" name="TextBox 8">
            <a:extLst>
              <a:ext uri="{FF2B5EF4-FFF2-40B4-BE49-F238E27FC236}">
                <a16:creationId xmlns:a16="http://schemas.microsoft.com/office/drawing/2014/main" id="{7BE1EAEA-5B4F-475A-B494-83AE6A5F56ED}"/>
              </a:ext>
            </a:extLst>
          </xdr:cNvPr>
          <xdr:cNvSpPr txBox="1"/>
        </xdr:nvSpPr>
        <xdr:spPr>
          <a:xfrm>
            <a:off x="1264983" y="18038716"/>
            <a:ext cx="4404147" cy="45545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solidFill>
                  <a:schemeClr val="dk1"/>
                </a:solidFill>
                <a:effectLst/>
                <a:latin typeface="+mn-lt"/>
                <a:ea typeface="+mn-ea"/>
                <a:cs typeface="+mn-cs"/>
              </a:rPr>
              <a:t>DOE-EERE (2010).</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Technical Support Document for the 2010 DOE Water Heater Rule. </a:t>
            </a:r>
            <a:r>
              <a:rPr lang="en-US" sz="1100"/>
              <a:t>p. 7-28</a:t>
            </a:r>
          </a:p>
        </xdr:txBody>
      </xdr:sp>
      <xdr:sp macro="" textlink="">
        <xdr:nvSpPr>
          <xdr:cNvPr id="10" name="Rectangle 9">
            <a:extLst>
              <a:ext uri="{FF2B5EF4-FFF2-40B4-BE49-F238E27FC236}">
                <a16:creationId xmlns:a16="http://schemas.microsoft.com/office/drawing/2014/main" id="{381F5A0E-A413-48E5-8EC4-B1365A50540A}"/>
              </a:ext>
            </a:extLst>
          </xdr:cNvPr>
          <xdr:cNvSpPr/>
        </xdr:nvSpPr>
        <xdr:spPr>
          <a:xfrm>
            <a:off x="2255520" y="19385280"/>
            <a:ext cx="762000" cy="146304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 name="Rectangle 10">
            <a:extLst>
              <a:ext uri="{FF2B5EF4-FFF2-40B4-BE49-F238E27FC236}">
                <a16:creationId xmlns:a16="http://schemas.microsoft.com/office/drawing/2014/main" id="{7A7407AF-3E1C-455F-AEE6-6E062D6E792C}"/>
              </a:ext>
            </a:extLst>
          </xdr:cNvPr>
          <xdr:cNvSpPr/>
        </xdr:nvSpPr>
        <xdr:spPr>
          <a:xfrm>
            <a:off x="1329494" y="20488670"/>
            <a:ext cx="2382646" cy="19304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Rectangle 11">
            <a:extLst>
              <a:ext uri="{FF2B5EF4-FFF2-40B4-BE49-F238E27FC236}">
                <a16:creationId xmlns:a16="http://schemas.microsoft.com/office/drawing/2014/main" id="{F5D12EB6-0C34-4651-9ACA-4F5F76D91B3C}"/>
              </a:ext>
            </a:extLst>
          </xdr:cNvPr>
          <xdr:cNvSpPr/>
        </xdr:nvSpPr>
        <xdr:spPr>
          <a:xfrm>
            <a:off x="1329494" y="19860059"/>
            <a:ext cx="2382646" cy="19304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123</xdr:row>
      <xdr:rowOff>0</xdr:rowOff>
    </xdr:from>
    <xdr:to>
      <xdr:col>9</xdr:col>
      <xdr:colOff>224092</xdr:colOff>
      <xdr:row>171</xdr:row>
      <xdr:rowOff>128811</xdr:rowOff>
    </xdr:to>
    <xdr:grpSp>
      <xdr:nvGrpSpPr>
        <xdr:cNvPr id="2" name="Group 1">
          <a:extLst>
            <a:ext uri="{FF2B5EF4-FFF2-40B4-BE49-F238E27FC236}">
              <a16:creationId xmlns:a16="http://schemas.microsoft.com/office/drawing/2014/main" id="{B669E754-3534-4AA6-B216-8707E3CF1542}"/>
            </a:ext>
          </a:extLst>
        </xdr:cNvPr>
        <xdr:cNvGrpSpPr/>
      </xdr:nvGrpSpPr>
      <xdr:grpSpPr>
        <a:xfrm>
          <a:off x="350520" y="18661380"/>
          <a:ext cx="6731572" cy="6346731"/>
          <a:chOff x="350520" y="13495020"/>
          <a:chExt cx="5580952" cy="6346731"/>
        </a:xfrm>
      </xdr:grpSpPr>
      <xdr:sp macro="" textlink="">
        <xdr:nvSpPr>
          <xdr:cNvPr id="3" name="TextBox 2">
            <a:extLst>
              <a:ext uri="{FF2B5EF4-FFF2-40B4-BE49-F238E27FC236}">
                <a16:creationId xmlns:a16="http://schemas.microsoft.com/office/drawing/2014/main" id="{B95827BC-FDCA-4D3D-8BC4-F0E2EB34CF15}"/>
              </a:ext>
            </a:extLst>
          </xdr:cNvPr>
          <xdr:cNvSpPr txBox="1"/>
        </xdr:nvSpPr>
        <xdr:spPr>
          <a:xfrm>
            <a:off x="350520" y="13495020"/>
            <a:ext cx="4403039" cy="458662"/>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solidFill>
                  <a:schemeClr val="dk1"/>
                </a:solidFill>
                <a:effectLst/>
                <a:latin typeface="+mn-lt"/>
                <a:ea typeface="+mn-ea"/>
                <a:cs typeface="+mn-cs"/>
              </a:rPr>
              <a:t>DOE-EERE (2015).</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Technical Support Document for the 2015 DOE Residential Boilers</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Rule. </a:t>
            </a:r>
            <a:r>
              <a:rPr lang="en-US" sz="1100"/>
              <a:t>p. 7-18</a:t>
            </a:r>
          </a:p>
        </xdr:txBody>
      </xdr:sp>
      <xdr:pic>
        <xdr:nvPicPr>
          <xdr:cNvPr id="4" name="Picture 3">
            <a:extLst>
              <a:ext uri="{FF2B5EF4-FFF2-40B4-BE49-F238E27FC236}">
                <a16:creationId xmlns:a16="http://schemas.microsoft.com/office/drawing/2014/main" id="{AFD81D6B-D3BA-4070-BCC7-04C8C4C9C7DF}"/>
              </a:ext>
            </a:extLst>
          </xdr:cNvPr>
          <xdr:cNvPicPr>
            <a:picLocks noChangeAspect="1"/>
          </xdr:cNvPicPr>
        </xdr:nvPicPr>
        <xdr:blipFill>
          <a:blip xmlns:r="http://schemas.openxmlformats.org/officeDocument/2006/relationships" r:embed="rId1"/>
          <a:stretch>
            <a:fillRect/>
          </a:stretch>
        </xdr:blipFill>
        <xdr:spPr>
          <a:xfrm>
            <a:off x="350520" y="14013180"/>
            <a:ext cx="5580952" cy="5828571"/>
          </a:xfrm>
          <a:prstGeom prst="rect">
            <a:avLst/>
          </a:prstGeom>
        </xdr:spPr>
      </xdr:pic>
      <xdr:sp macro="" textlink="">
        <xdr:nvSpPr>
          <xdr:cNvPr id="5" name="Rectangle 4">
            <a:extLst>
              <a:ext uri="{FF2B5EF4-FFF2-40B4-BE49-F238E27FC236}">
                <a16:creationId xmlns:a16="http://schemas.microsoft.com/office/drawing/2014/main" id="{1D1E0825-4616-44E8-B4FB-E94D2E30CFC1}"/>
              </a:ext>
            </a:extLst>
          </xdr:cNvPr>
          <xdr:cNvSpPr/>
        </xdr:nvSpPr>
        <xdr:spPr>
          <a:xfrm>
            <a:off x="3078480" y="15323820"/>
            <a:ext cx="769620" cy="149352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6" name="Rectangle 5">
            <a:extLst>
              <a:ext uri="{FF2B5EF4-FFF2-40B4-BE49-F238E27FC236}">
                <a16:creationId xmlns:a16="http://schemas.microsoft.com/office/drawing/2014/main" id="{56FFE1FB-2271-4351-A29E-2647FDE60EC0}"/>
              </a:ext>
            </a:extLst>
          </xdr:cNvPr>
          <xdr:cNvSpPr/>
        </xdr:nvSpPr>
        <xdr:spPr>
          <a:xfrm>
            <a:off x="416795" y="15331440"/>
            <a:ext cx="4754880" cy="19722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Rectangle 6">
            <a:extLst>
              <a:ext uri="{FF2B5EF4-FFF2-40B4-BE49-F238E27FC236}">
                <a16:creationId xmlns:a16="http://schemas.microsoft.com/office/drawing/2014/main" id="{825B6286-2AA0-4D3F-8E9A-117E1ADD753B}"/>
              </a:ext>
            </a:extLst>
          </xdr:cNvPr>
          <xdr:cNvSpPr/>
        </xdr:nvSpPr>
        <xdr:spPr>
          <a:xfrm>
            <a:off x="416795" y="16200120"/>
            <a:ext cx="4754880" cy="19722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Rectangle 7">
            <a:extLst>
              <a:ext uri="{FF2B5EF4-FFF2-40B4-BE49-F238E27FC236}">
                <a16:creationId xmlns:a16="http://schemas.microsoft.com/office/drawing/2014/main" id="{93B9DA2C-0A07-4D12-912A-6CD064FAF136}"/>
              </a:ext>
            </a:extLst>
          </xdr:cNvPr>
          <xdr:cNvSpPr/>
        </xdr:nvSpPr>
        <xdr:spPr>
          <a:xfrm>
            <a:off x="416795" y="16603980"/>
            <a:ext cx="4754880" cy="19722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36</xdr:row>
      <xdr:rowOff>0</xdr:rowOff>
    </xdr:from>
    <xdr:to>
      <xdr:col>7</xdr:col>
      <xdr:colOff>2626592</xdr:colOff>
      <xdr:row>79</xdr:row>
      <xdr:rowOff>76200</xdr:rowOff>
    </xdr:to>
    <xdr:graphicFrame macro="">
      <xdr:nvGraphicFramePr>
        <xdr:cNvPr id="3" name="Chart 2">
          <a:extLst>
            <a:ext uri="{FF2B5EF4-FFF2-40B4-BE49-F238E27FC236}">
              <a16:creationId xmlns:a16="http://schemas.microsoft.com/office/drawing/2014/main" id="{677BF326-BB7F-42A4-8B0A-F34A6C529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2743200</xdr:colOff>
      <xdr:row>36</xdr:row>
      <xdr:rowOff>3635</xdr:rowOff>
    </xdr:from>
    <xdr:to>
      <xdr:col>15</xdr:col>
      <xdr:colOff>226292</xdr:colOff>
      <xdr:row>79</xdr:row>
      <xdr:rowOff>86185</xdr:rowOff>
    </xdr:to>
    <xdr:graphicFrame macro="">
      <xdr:nvGraphicFramePr>
        <xdr:cNvPr id="8" name="Chart 7">
          <a:extLst>
            <a:ext uri="{FF2B5EF4-FFF2-40B4-BE49-F238E27FC236}">
              <a16:creationId xmlns:a16="http://schemas.microsoft.com/office/drawing/2014/main" id="{263C57C0-45BB-4B16-8D90-457C27763A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22</xdr:row>
      <xdr:rowOff>0</xdr:rowOff>
    </xdr:from>
    <xdr:to>
      <xdr:col>4</xdr:col>
      <xdr:colOff>398538</xdr:colOff>
      <xdr:row>32</xdr:row>
      <xdr:rowOff>121810</xdr:rowOff>
    </xdr:to>
    <mc:AlternateContent xmlns:mc="http://schemas.openxmlformats.org/markup-compatibility/2006" xmlns:sle15="http://schemas.microsoft.com/office/drawing/2012/slicer">
      <mc:Choice Requires="sle15">
        <xdr:graphicFrame macro="">
          <xdr:nvGraphicFramePr>
            <xdr:cNvPr id="18" name="Baseline Function">
              <a:extLst>
                <a:ext uri="{FF2B5EF4-FFF2-40B4-BE49-F238E27FC236}">
                  <a16:creationId xmlns:a16="http://schemas.microsoft.com/office/drawing/2014/main" id="{B7A62D1C-2E10-434C-935C-363F1E544CA0}"/>
                </a:ext>
              </a:extLst>
            </xdr:cNvPr>
            <xdr:cNvGraphicFramePr/>
          </xdr:nvGraphicFramePr>
          <xdr:xfrm>
            <a:off x="0" y="0"/>
            <a:ext cx="0" cy="0"/>
          </xdr:xfrm>
          <a:graphic>
            <a:graphicData uri="http://schemas.microsoft.com/office/drawing/2010/slicer">
              <sle:slicer xmlns:sle="http://schemas.microsoft.com/office/drawing/2010/slicer" name="Baseline Function"/>
            </a:graphicData>
          </a:graphic>
        </xdr:graphicFrame>
      </mc:Choice>
      <mc:Fallback xmlns="">
        <xdr:sp macro="" textlink="">
          <xdr:nvSpPr>
            <xdr:cNvPr id="2" name="Rectangle 1"/>
            <xdr:cNvSpPr>
              <a:spLocks noTextEdit="1"/>
            </xdr:cNvSpPr>
          </xdr:nvSpPr>
          <xdr:spPr>
            <a:xfrm>
              <a:off x="317500" y="2304143"/>
              <a:ext cx="1831824" cy="139181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oneCell">
    <xdr:from>
      <xdr:col>4</xdr:col>
      <xdr:colOff>457733</xdr:colOff>
      <xdr:row>22</xdr:row>
      <xdr:rowOff>4409</xdr:rowOff>
    </xdr:from>
    <xdr:to>
      <xdr:col>5</xdr:col>
      <xdr:colOff>1367918</xdr:colOff>
      <xdr:row>32</xdr:row>
      <xdr:rowOff>122195</xdr:rowOff>
    </xdr:to>
    <mc:AlternateContent xmlns:mc="http://schemas.openxmlformats.org/markup-compatibility/2006" xmlns:sle15="http://schemas.microsoft.com/office/drawing/2012/slicer">
      <mc:Choice Requires="sle15">
        <xdr:graphicFrame macro="">
          <xdr:nvGraphicFramePr>
            <xdr:cNvPr id="19" name="Baseline Fuel">
              <a:extLst>
                <a:ext uri="{FF2B5EF4-FFF2-40B4-BE49-F238E27FC236}">
                  <a16:creationId xmlns:a16="http://schemas.microsoft.com/office/drawing/2014/main" id="{193F4238-533B-45B0-B016-F86B690709EB}"/>
                </a:ext>
              </a:extLst>
            </xdr:cNvPr>
            <xdr:cNvGraphicFramePr/>
          </xdr:nvGraphicFramePr>
          <xdr:xfrm>
            <a:off x="0" y="0"/>
            <a:ext cx="0" cy="0"/>
          </xdr:xfrm>
          <a:graphic>
            <a:graphicData uri="http://schemas.microsoft.com/office/drawing/2010/slicer">
              <sle:slicer xmlns:sle="http://schemas.microsoft.com/office/drawing/2010/slicer" name="Baseline Fuel"/>
            </a:graphicData>
          </a:graphic>
        </xdr:graphicFrame>
      </mc:Choice>
      <mc:Fallback xmlns="">
        <xdr:sp macro="" textlink="">
          <xdr:nvSpPr>
            <xdr:cNvPr id="4" name="Rectangle 3"/>
            <xdr:cNvSpPr>
              <a:spLocks noTextEdit="1"/>
            </xdr:cNvSpPr>
          </xdr:nvSpPr>
          <xdr:spPr>
            <a:xfrm>
              <a:off x="2208519" y="2308552"/>
              <a:ext cx="1833336" cy="138778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oneCell">
    <xdr:from>
      <xdr:col>6</xdr:col>
      <xdr:colOff>77231</xdr:colOff>
      <xdr:row>22</xdr:row>
      <xdr:rowOff>4409</xdr:rowOff>
    </xdr:from>
    <xdr:to>
      <xdr:col>7</xdr:col>
      <xdr:colOff>489376</xdr:colOff>
      <xdr:row>32</xdr:row>
      <xdr:rowOff>117928</xdr:rowOff>
    </xdr:to>
    <mc:AlternateContent xmlns:mc="http://schemas.openxmlformats.org/markup-compatibility/2006" xmlns:sle15="http://schemas.microsoft.com/office/drawing/2012/slicer">
      <mc:Choice Requires="sle15">
        <xdr:graphicFrame macro="">
          <xdr:nvGraphicFramePr>
            <xdr:cNvPr id="20" name="Replacement Fuel">
              <a:extLst>
                <a:ext uri="{FF2B5EF4-FFF2-40B4-BE49-F238E27FC236}">
                  <a16:creationId xmlns:a16="http://schemas.microsoft.com/office/drawing/2014/main" id="{9DAA7FD7-32D1-4042-A550-E39BC11DD431}"/>
                </a:ext>
              </a:extLst>
            </xdr:cNvPr>
            <xdr:cNvGraphicFramePr/>
          </xdr:nvGraphicFramePr>
          <xdr:xfrm>
            <a:off x="0" y="0"/>
            <a:ext cx="0" cy="0"/>
          </xdr:xfrm>
          <a:graphic>
            <a:graphicData uri="http://schemas.microsoft.com/office/drawing/2010/slicer">
              <sle:slicer xmlns:sle="http://schemas.microsoft.com/office/drawing/2010/slicer" name="Replacement Fuel"/>
            </a:graphicData>
          </a:graphic>
        </xdr:graphicFrame>
      </mc:Choice>
      <mc:Fallback xmlns="">
        <xdr:sp macro="" textlink="">
          <xdr:nvSpPr>
            <xdr:cNvPr id="5" name="Rectangle 4"/>
            <xdr:cNvSpPr>
              <a:spLocks noTextEdit="1"/>
            </xdr:cNvSpPr>
          </xdr:nvSpPr>
          <xdr:spPr>
            <a:xfrm>
              <a:off x="4095874" y="2308552"/>
              <a:ext cx="1827288" cy="138351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xdr:from>
      <xdr:col>15</xdr:col>
      <xdr:colOff>285750</xdr:colOff>
      <xdr:row>36</xdr:row>
      <xdr:rowOff>3641</xdr:rowOff>
    </xdr:from>
    <xdr:to>
      <xdr:col>19</xdr:col>
      <xdr:colOff>702542</xdr:colOff>
      <xdr:row>79</xdr:row>
      <xdr:rowOff>86191</xdr:rowOff>
    </xdr:to>
    <xdr:graphicFrame macro="">
      <xdr:nvGraphicFramePr>
        <xdr:cNvPr id="24" name="Chart 23">
          <a:extLst>
            <a:ext uri="{FF2B5EF4-FFF2-40B4-BE49-F238E27FC236}">
              <a16:creationId xmlns:a16="http://schemas.microsoft.com/office/drawing/2014/main" id="{A27D0E75-BC6B-424C-81A6-689AFC6368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30480</xdr:colOff>
      <xdr:row>32</xdr:row>
      <xdr:rowOff>38100</xdr:rowOff>
    </xdr:from>
    <xdr:to>
      <xdr:col>7</xdr:col>
      <xdr:colOff>2568595</xdr:colOff>
      <xdr:row>75</xdr:row>
      <xdr:rowOff>114300</xdr:rowOff>
    </xdr:to>
    <xdr:graphicFrame macro="">
      <xdr:nvGraphicFramePr>
        <xdr:cNvPr id="3" name="Chart 2">
          <a:extLst>
            <a:ext uri="{FF2B5EF4-FFF2-40B4-BE49-F238E27FC236}">
              <a16:creationId xmlns:a16="http://schemas.microsoft.com/office/drawing/2014/main" id="{0919D37A-295D-483E-AC19-2FC3C61075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18</xdr:row>
      <xdr:rowOff>0</xdr:rowOff>
    </xdr:from>
    <xdr:to>
      <xdr:col>4</xdr:col>
      <xdr:colOff>322338</xdr:colOff>
      <xdr:row>28</xdr:row>
      <xdr:rowOff>121811</xdr:rowOff>
    </xdr:to>
    <mc:AlternateContent xmlns:mc="http://schemas.openxmlformats.org/markup-compatibility/2006" xmlns:sle15="http://schemas.microsoft.com/office/drawing/2012/slicer">
      <mc:Choice Requires="sle15">
        <xdr:graphicFrame macro="">
          <xdr:nvGraphicFramePr>
            <xdr:cNvPr id="5" name="Baseline Function 1">
              <a:extLst>
                <a:ext uri="{FF2B5EF4-FFF2-40B4-BE49-F238E27FC236}">
                  <a16:creationId xmlns:a16="http://schemas.microsoft.com/office/drawing/2014/main" id="{95A60D37-7AF6-4CB6-A0AC-CEE782CA2CA8}"/>
                </a:ext>
              </a:extLst>
            </xdr:cNvPr>
            <xdr:cNvGraphicFramePr/>
          </xdr:nvGraphicFramePr>
          <xdr:xfrm>
            <a:off x="0" y="0"/>
            <a:ext cx="0" cy="0"/>
          </xdr:xfrm>
          <a:graphic>
            <a:graphicData uri="http://schemas.microsoft.com/office/drawing/2010/slicer">
              <sle:slicer xmlns:sle="http://schemas.microsoft.com/office/drawing/2010/slicer" name="Baseline Function 1"/>
            </a:graphicData>
          </a:graphic>
        </xdr:graphicFrame>
      </mc:Choice>
      <mc:Fallback xmlns="">
        <xdr:sp macro="" textlink="">
          <xdr:nvSpPr>
            <xdr:cNvPr id="2" name="Rectangle 1"/>
            <xdr:cNvSpPr>
              <a:spLocks noTextEdit="1"/>
            </xdr:cNvSpPr>
          </xdr:nvSpPr>
          <xdr:spPr>
            <a:xfrm>
              <a:off x="293914" y="2362200"/>
              <a:ext cx="1748367" cy="142809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oneCell">
    <xdr:from>
      <xdr:col>4</xdr:col>
      <xdr:colOff>457733</xdr:colOff>
      <xdr:row>18</xdr:row>
      <xdr:rowOff>4409</xdr:rowOff>
    </xdr:from>
    <xdr:to>
      <xdr:col>5</xdr:col>
      <xdr:colOff>1329497</xdr:colOff>
      <xdr:row>28</xdr:row>
      <xdr:rowOff>122196</xdr:rowOff>
    </xdr:to>
    <mc:AlternateContent xmlns:mc="http://schemas.openxmlformats.org/markup-compatibility/2006" xmlns:sle15="http://schemas.microsoft.com/office/drawing/2012/slicer">
      <mc:Choice Requires="sle15">
        <xdr:graphicFrame macro="">
          <xdr:nvGraphicFramePr>
            <xdr:cNvPr id="6" name="Baseline Fuel 1">
              <a:extLst>
                <a:ext uri="{FF2B5EF4-FFF2-40B4-BE49-F238E27FC236}">
                  <a16:creationId xmlns:a16="http://schemas.microsoft.com/office/drawing/2014/main" id="{822CA670-45F4-4AC5-9555-EF752CA6A3CA}"/>
                </a:ext>
              </a:extLst>
            </xdr:cNvPr>
            <xdr:cNvGraphicFramePr/>
          </xdr:nvGraphicFramePr>
          <xdr:xfrm>
            <a:off x="0" y="0"/>
            <a:ext cx="0" cy="0"/>
          </xdr:xfrm>
          <a:graphic>
            <a:graphicData uri="http://schemas.microsoft.com/office/drawing/2010/slicer">
              <sle:slicer xmlns:sle="http://schemas.microsoft.com/office/drawing/2010/slicer" name="Baseline Fuel 1"/>
            </a:graphicData>
          </a:graphic>
        </xdr:graphicFrame>
      </mc:Choice>
      <mc:Fallback xmlns="">
        <xdr:sp macro="" textlink="">
          <xdr:nvSpPr>
            <xdr:cNvPr id="4" name="Rectangle 3"/>
            <xdr:cNvSpPr>
              <a:spLocks noTextEdit="1"/>
            </xdr:cNvSpPr>
          </xdr:nvSpPr>
          <xdr:spPr>
            <a:xfrm>
              <a:off x="2177676" y="2366609"/>
              <a:ext cx="1677307" cy="142407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oneCell">
    <xdr:from>
      <xdr:col>6</xdr:col>
      <xdr:colOff>77231</xdr:colOff>
      <xdr:row>18</xdr:row>
      <xdr:rowOff>4409</xdr:rowOff>
    </xdr:from>
    <xdr:to>
      <xdr:col>7</xdr:col>
      <xdr:colOff>489376</xdr:colOff>
      <xdr:row>28</xdr:row>
      <xdr:rowOff>117929</xdr:rowOff>
    </xdr:to>
    <mc:AlternateContent xmlns:mc="http://schemas.openxmlformats.org/markup-compatibility/2006" xmlns:sle15="http://schemas.microsoft.com/office/drawing/2012/slicer">
      <mc:Choice Requires="sle15">
        <xdr:graphicFrame macro="">
          <xdr:nvGraphicFramePr>
            <xdr:cNvPr id="7" name="Replacement Fuel 1">
              <a:extLst>
                <a:ext uri="{FF2B5EF4-FFF2-40B4-BE49-F238E27FC236}">
                  <a16:creationId xmlns:a16="http://schemas.microsoft.com/office/drawing/2014/main" id="{AB76502A-CF24-4B0C-9B01-4D4112E91B17}"/>
                </a:ext>
              </a:extLst>
            </xdr:cNvPr>
            <xdr:cNvGraphicFramePr/>
          </xdr:nvGraphicFramePr>
          <xdr:xfrm>
            <a:off x="0" y="0"/>
            <a:ext cx="0" cy="0"/>
          </xdr:xfrm>
          <a:graphic>
            <a:graphicData uri="http://schemas.microsoft.com/office/drawing/2010/slicer">
              <sle:slicer xmlns:sle="http://schemas.microsoft.com/office/drawing/2010/slicer" name="Replacement Fuel 1"/>
            </a:graphicData>
          </a:graphic>
        </xdr:graphicFrame>
      </mc:Choice>
      <mc:Fallback xmlns="">
        <xdr:sp macro="" textlink="">
          <xdr:nvSpPr>
            <xdr:cNvPr id="5" name="Rectangle 4"/>
            <xdr:cNvSpPr>
              <a:spLocks noTextEdit="1"/>
            </xdr:cNvSpPr>
          </xdr:nvSpPr>
          <xdr:spPr>
            <a:xfrm>
              <a:off x="3952545" y="2366609"/>
              <a:ext cx="1729317" cy="141980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xdr:from>
      <xdr:col>7</xdr:col>
      <xdr:colOff>2613660</xdr:colOff>
      <xdr:row>32</xdr:row>
      <xdr:rowOff>34115</xdr:rowOff>
    </xdr:from>
    <xdr:to>
      <xdr:col>14</xdr:col>
      <xdr:colOff>759692</xdr:colOff>
      <xdr:row>75</xdr:row>
      <xdr:rowOff>112855</xdr:rowOff>
    </xdr:to>
    <xdr:graphicFrame macro="">
      <xdr:nvGraphicFramePr>
        <xdr:cNvPr id="9" name="Chart 8">
          <a:extLst>
            <a:ext uri="{FF2B5EF4-FFF2-40B4-BE49-F238E27FC236}">
              <a16:creationId xmlns:a16="http://schemas.microsoft.com/office/drawing/2014/main" id="{3E4FC758-8F2B-4889-875C-CC6565849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816428</xdr:colOff>
      <xdr:row>32</xdr:row>
      <xdr:rowOff>45007</xdr:rowOff>
    </xdr:from>
    <xdr:to>
      <xdr:col>19</xdr:col>
      <xdr:colOff>180572</xdr:colOff>
      <xdr:row>75</xdr:row>
      <xdr:rowOff>124835</xdr:rowOff>
    </xdr:to>
    <xdr:graphicFrame macro="">
      <xdr:nvGraphicFramePr>
        <xdr:cNvPr id="10" name="Chart 9">
          <a:extLst>
            <a:ext uri="{FF2B5EF4-FFF2-40B4-BE49-F238E27FC236}">
              <a16:creationId xmlns:a16="http://schemas.microsoft.com/office/drawing/2014/main" id="{AA84B712-A4EA-4A4E-B923-5B6B2568E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7620</xdr:colOff>
      <xdr:row>110</xdr:row>
      <xdr:rowOff>45720</xdr:rowOff>
    </xdr:from>
    <xdr:to>
      <xdr:col>13</xdr:col>
      <xdr:colOff>320040</xdr:colOff>
      <xdr:row>170</xdr:row>
      <xdr:rowOff>62649</xdr:rowOff>
    </xdr:to>
    <xdr:grpSp>
      <xdr:nvGrpSpPr>
        <xdr:cNvPr id="2" name="Group 1">
          <a:extLst>
            <a:ext uri="{FF2B5EF4-FFF2-40B4-BE49-F238E27FC236}">
              <a16:creationId xmlns:a16="http://schemas.microsoft.com/office/drawing/2014/main" id="{A77FE7B7-8EDB-40FD-A77A-94487F1E34BC}"/>
            </a:ext>
          </a:extLst>
        </xdr:cNvPr>
        <xdr:cNvGrpSpPr>
          <a:grpSpLocks noChangeAspect="1"/>
        </xdr:cNvGrpSpPr>
      </xdr:nvGrpSpPr>
      <xdr:grpSpPr>
        <a:xfrm>
          <a:off x="358140" y="16695420"/>
          <a:ext cx="9296400" cy="7789329"/>
          <a:chOff x="1348741" y="16070580"/>
          <a:chExt cx="9104554" cy="9216056"/>
        </a:xfrm>
      </xdr:grpSpPr>
      <xdr:grpSp>
        <xdr:nvGrpSpPr>
          <xdr:cNvPr id="3" name="Group 2">
            <a:extLst>
              <a:ext uri="{FF2B5EF4-FFF2-40B4-BE49-F238E27FC236}">
                <a16:creationId xmlns:a16="http://schemas.microsoft.com/office/drawing/2014/main" id="{FB163763-E91E-4807-A5D9-26087254B98A}"/>
              </a:ext>
            </a:extLst>
          </xdr:cNvPr>
          <xdr:cNvGrpSpPr/>
        </xdr:nvGrpSpPr>
        <xdr:grpSpPr>
          <a:xfrm>
            <a:off x="1348741" y="16070580"/>
            <a:ext cx="9104554" cy="9216056"/>
            <a:chOff x="1348741" y="13327380"/>
            <a:chExt cx="9104554" cy="9216056"/>
          </a:xfrm>
        </xdr:grpSpPr>
        <xdr:pic>
          <xdr:nvPicPr>
            <xdr:cNvPr id="5" name="Picture 4">
              <a:extLst>
                <a:ext uri="{FF2B5EF4-FFF2-40B4-BE49-F238E27FC236}">
                  <a16:creationId xmlns:a16="http://schemas.microsoft.com/office/drawing/2014/main" id="{4D24B88A-1BCD-4E01-B398-B068B44716D9}"/>
                </a:ext>
              </a:extLst>
            </xdr:cNvPr>
            <xdr:cNvPicPr>
              <a:picLocks noChangeAspect="1"/>
            </xdr:cNvPicPr>
          </xdr:nvPicPr>
          <xdr:blipFill>
            <a:blip xmlns:r="http://schemas.openxmlformats.org/officeDocument/2006/relationships" r:embed="rId1"/>
            <a:stretch>
              <a:fillRect/>
            </a:stretch>
          </xdr:blipFill>
          <xdr:spPr>
            <a:xfrm>
              <a:off x="1371600" y="20360639"/>
              <a:ext cx="6423659" cy="2182797"/>
            </a:xfrm>
            <a:prstGeom prst="rect">
              <a:avLst/>
            </a:prstGeom>
          </xdr:spPr>
        </xdr:pic>
        <xdr:sp macro="" textlink="">
          <xdr:nvSpPr>
            <xdr:cNvPr id="6" name="TextBox 5">
              <a:extLst>
                <a:ext uri="{FF2B5EF4-FFF2-40B4-BE49-F238E27FC236}">
                  <a16:creationId xmlns:a16="http://schemas.microsoft.com/office/drawing/2014/main" id="{46889992-2135-4E42-9679-F15FB138C068}"/>
                </a:ext>
              </a:extLst>
            </xdr:cNvPr>
            <xdr:cNvSpPr txBox="1"/>
          </xdr:nvSpPr>
          <xdr:spPr>
            <a:xfrm>
              <a:off x="1371600" y="13327380"/>
              <a:ext cx="9081695" cy="6781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effectLst/>
                  <a:latin typeface="+mn-lt"/>
                  <a:ea typeface="+mn-ea"/>
                  <a:cs typeface="+mn-cs"/>
                </a:rPr>
                <a:t>U.S. Code of Federal Regulations. 10 CFR 430,</a:t>
              </a:r>
              <a:r>
                <a:rPr lang="en-US" sz="1000" baseline="0">
                  <a:solidFill>
                    <a:schemeClr val="dk1"/>
                  </a:solidFill>
                  <a:effectLst/>
                  <a:latin typeface="+mn-lt"/>
                  <a:ea typeface="+mn-ea"/>
                  <a:cs typeface="+mn-cs"/>
                </a:rPr>
                <a:t> Appendix E to Subpart B.</a:t>
              </a:r>
              <a:endParaRPr lang="en-US" sz="1000">
                <a:effectLst/>
              </a:endParaRPr>
            </a:p>
            <a:p>
              <a:r>
                <a:rPr lang="en-US" sz="1000">
                  <a:solidFill>
                    <a:schemeClr val="dk1"/>
                  </a:solidFill>
                  <a:effectLst/>
                  <a:latin typeface="+mn-lt"/>
                  <a:ea typeface="+mn-ea"/>
                  <a:cs typeface="+mn-cs"/>
                </a:rPr>
                <a:t>https://www.ecfr.gov/cgi-bin/retrieveECFR?gp=&amp;SID=d4d39bb27af7d152a7fed5b83ce0a85d&amp;mc=true&amp;r=PART&amp;n=pt10.3.430#ap10.3.430_127.e</a:t>
              </a:r>
              <a:endParaRPr lang="en-US" sz="1000">
                <a:effectLst/>
              </a:endParaRPr>
            </a:p>
            <a:p>
              <a:endParaRPr lang="en-US" sz="1000"/>
            </a:p>
          </xdr:txBody>
        </xdr:sp>
        <xdr:pic>
          <xdr:nvPicPr>
            <xdr:cNvPr id="7" name="Picture 6">
              <a:extLst>
                <a:ext uri="{FF2B5EF4-FFF2-40B4-BE49-F238E27FC236}">
                  <a16:creationId xmlns:a16="http://schemas.microsoft.com/office/drawing/2014/main" id="{A4090937-9DFD-47C2-B46D-D6C0E131F67B}"/>
                </a:ext>
              </a:extLst>
            </xdr:cNvPr>
            <xdr:cNvPicPr>
              <a:picLocks noChangeAspect="1"/>
            </xdr:cNvPicPr>
          </xdr:nvPicPr>
          <xdr:blipFill>
            <a:blip xmlns:r="http://schemas.openxmlformats.org/officeDocument/2006/relationships" r:embed="rId2"/>
            <a:stretch>
              <a:fillRect/>
            </a:stretch>
          </xdr:blipFill>
          <xdr:spPr>
            <a:xfrm>
              <a:off x="1348741" y="16367760"/>
              <a:ext cx="6423660" cy="3977459"/>
            </a:xfrm>
            <a:prstGeom prst="rect">
              <a:avLst/>
            </a:prstGeom>
          </xdr:spPr>
        </xdr:pic>
        <xdr:pic>
          <xdr:nvPicPr>
            <xdr:cNvPr id="8" name="Picture 7">
              <a:extLst>
                <a:ext uri="{FF2B5EF4-FFF2-40B4-BE49-F238E27FC236}">
                  <a16:creationId xmlns:a16="http://schemas.microsoft.com/office/drawing/2014/main" id="{F7075B44-A00A-46C8-AA7E-DB4F17E3D87A}"/>
                </a:ext>
              </a:extLst>
            </xdr:cNvPr>
            <xdr:cNvPicPr>
              <a:picLocks noChangeAspect="1"/>
            </xdr:cNvPicPr>
          </xdr:nvPicPr>
          <xdr:blipFill>
            <a:blip xmlns:r="http://schemas.openxmlformats.org/officeDocument/2006/relationships" r:embed="rId3"/>
            <a:stretch>
              <a:fillRect/>
            </a:stretch>
          </xdr:blipFill>
          <xdr:spPr>
            <a:xfrm>
              <a:off x="1371600" y="16786860"/>
              <a:ext cx="2689860" cy="523810"/>
            </a:xfrm>
            <a:prstGeom prst="rect">
              <a:avLst/>
            </a:prstGeom>
          </xdr:spPr>
        </xdr:pic>
      </xdr:grpSp>
      <xdr:pic>
        <xdr:nvPicPr>
          <xdr:cNvPr id="4" name="Picture 3">
            <a:extLst>
              <a:ext uri="{FF2B5EF4-FFF2-40B4-BE49-F238E27FC236}">
                <a16:creationId xmlns:a16="http://schemas.microsoft.com/office/drawing/2014/main" id="{367D9471-AAFE-4CC0-A865-6A4DD9ACA0FE}"/>
              </a:ext>
            </a:extLst>
          </xdr:cNvPr>
          <xdr:cNvPicPr>
            <a:picLocks noChangeAspect="1"/>
          </xdr:cNvPicPr>
        </xdr:nvPicPr>
        <xdr:blipFill>
          <a:blip xmlns:r="http://schemas.openxmlformats.org/officeDocument/2006/relationships" r:embed="rId4"/>
          <a:stretch>
            <a:fillRect/>
          </a:stretch>
        </xdr:blipFill>
        <xdr:spPr>
          <a:xfrm>
            <a:off x="1379221" y="16796299"/>
            <a:ext cx="6370319" cy="2314218"/>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97</xdr:row>
      <xdr:rowOff>0</xdr:rowOff>
    </xdr:from>
    <xdr:to>
      <xdr:col>7</xdr:col>
      <xdr:colOff>36779</xdr:colOff>
      <xdr:row>100</xdr:row>
      <xdr:rowOff>70042</xdr:rowOff>
    </xdr:to>
    <xdr:sp macro="" textlink="">
      <xdr:nvSpPr>
        <xdr:cNvPr id="2" name="TextBox 1">
          <a:extLst>
            <a:ext uri="{FF2B5EF4-FFF2-40B4-BE49-F238E27FC236}">
              <a16:creationId xmlns:a16="http://schemas.microsoft.com/office/drawing/2014/main" id="{81EB44CC-B099-45A0-9914-3DD35115B9DD}"/>
            </a:ext>
          </a:extLst>
        </xdr:cNvPr>
        <xdr:cNvSpPr txBox="1"/>
      </xdr:nvSpPr>
      <xdr:spPr>
        <a:xfrm>
          <a:off x="350520" y="13495020"/>
          <a:ext cx="4403039" cy="458662"/>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solidFill>
                <a:schemeClr val="dk1"/>
              </a:solidFill>
              <a:effectLst/>
              <a:latin typeface="+mn-lt"/>
              <a:ea typeface="+mn-ea"/>
              <a:cs typeface="+mn-cs"/>
            </a:rPr>
            <a:t>DOE-EERE (2015).</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Technical Support Document for the 2015 DOE Residential Boilers</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Rule. </a:t>
          </a:r>
          <a:r>
            <a:rPr lang="en-US" sz="1100"/>
            <a:t>p. 7-18</a:t>
          </a:r>
        </a:p>
      </xdr:txBody>
    </xdr:sp>
    <xdr:clientData/>
  </xdr:twoCellAnchor>
  <xdr:twoCellAnchor editAs="oneCell">
    <xdr:from>
      <xdr:col>2</xdr:col>
      <xdr:colOff>0</xdr:colOff>
      <xdr:row>101</xdr:row>
      <xdr:rowOff>0</xdr:rowOff>
    </xdr:from>
    <xdr:to>
      <xdr:col>8</xdr:col>
      <xdr:colOff>353632</xdr:colOff>
      <xdr:row>145</xdr:row>
      <xdr:rowOff>128811</xdr:rowOff>
    </xdr:to>
    <xdr:pic>
      <xdr:nvPicPr>
        <xdr:cNvPr id="3" name="Picture 2">
          <a:extLst>
            <a:ext uri="{FF2B5EF4-FFF2-40B4-BE49-F238E27FC236}">
              <a16:creationId xmlns:a16="http://schemas.microsoft.com/office/drawing/2014/main" id="{385E563C-A87F-4AB5-A57C-7ED448393E3C}"/>
            </a:ext>
          </a:extLst>
        </xdr:cNvPr>
        <xdr:cNvPicPr>
          <a:picLocks noChangeAspect="1"/>
        </xdr:cNvPicPr>
      </xdr:nvPicPr>
      <xdr:blipFill>
        <a:blip xmlns:r="http://schemas.openxmlformats.org/officeDocument/2006/relationships" r:embed="rId1"/>
        <a:stretch>
          <a:fillRect/>
        </a:stretch>
      </xdr:blipFill>
      <xdr:spPr>
        <a:xfrm>
          <a:off x="350520" y="14013180"/>
          <a:ext cx="5580952" cy="5828571"/>
        </a:xfrm>
        <a:prstGeom prst="rect">
          <a:avLst/>
        </a:prstGeom>
      </xdr:spPr>
    </xdr:pic>
    <xdr:clientData/>
  </xdr:twoCellAnchor>
  <xdr:twoCellAnchor>
    <xdr:from>
      <xdr:col>4</xdr:col>
      <xdr:colOff>746760</xdr:colOff>
      <xdr:row>111</xdr:row>
      <xdr:rowOff>15240</xdr:rowOff>
    </xdr:from>
    <xdr:to>
      <xdr:col>5</xdr:col>
      <xdr:colOff>647700</xdr:colOff>
      <xdr:row>122</xdr:row>
      <xdr:rowOff>83820</xdr:rowOff>
    </xdr:to>
    <xdr:sp macro="" textlink="">
      <xdr:nvSpPr>
        <xdr:cNvPr id="5" name="Rectangle 4">
          <a:extLst>
            <a:ext uri="{FF2B5EF4-FFF2-40B4-BE49-F238E27FC236}">
              <a16:creationId xmlns:a16="http://schemas.microsoft.com/office/drawing/2014/main" id="{BCF607EB-E1BD-4DAF-BCCD-DD33FCBC733C}"/>
            </a:ext>
          </a:extLst>
        </xdr:cNvPr>
        <xdr:cNvSpPr/>
      </xdr:nvSpPr>
      <xdr:spPr>
        <a:xfrm>
          <a:off x="3078480" y="15323820"/>
          <a:ext cx="769620" cy="149352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66275</xdr:colOff>
      <xdr:row>111</xdr:row>
      <xdr:rowOff>22860</xdr:rowOff>
    </xdr:from>
    <xdr:to>
      <xdr:col>7</xdr:col>
      <xdr:colOff>454895</xdr:colOff>
      <xdr:row>112</xdr:row>
      <xdr:rowOff>90544</xdr:rowOff>
    </xdr:to>
    <xdr:sp macro="" textlink="">
      <xdr:nvSpPr>
        <xdr:cNvPr id="4" name="Rectangle 3">
          <a:extLst>
            <a:ext uri="{FF2B5EF4-FFF2-40B4-BE49-F238E27FC236}">
              <a16:creationId xmlns:a16="http://schemas.microsoft.com/office/drawing/2014/main" id="{3CA29269-C5F8-4646-9DF6-64B8C5E48935}"/>
            </a:ext>
          </a:extLst>
        </xdr:cNvPr>
        <xdr:cNvSpPr/>
      </xdr:nvSpPr>
      <xdr:spPr>
        <a:xfrm>
          <a:off x="416795" y="15331440"/>
          <a:ext cx="4754880" cy="19722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66275</xdr:colOff>
      <xdr:row>117</xdr:row>
      <xdr:rowOff>114300</xdr:rowOff>
    </xdr:from>
    <xdr:to>
      <xdr:col>7</xdr:col>
      <xdr:colOff>454895</xdr:colOff>
      <xdr:row>119</xdr:row>
      <xdr:rowOff>52444</xdr:rowOff>
    </xdr:to>
    <xdr:sp macro="" textlink="">
      <xdr:nvSpPr>
        <xdr:cNvPr id="6" name="Rectangle 5">
          <a:extLst>
            <a:ext uri="{FF2B5EF4-FFF2-40B4-BE49-F238E27FC236}">
              <a16:creationId xmlns:a16="http://schemas.microsoft.com/office/drawing/2014/main" id="{85A32ABC-A8A5-4444-9298-986022B2632D}"/>
            </a:ext>
          </a:extLst>
        </xdr:cNvPr>
        <xdr:cNvSpPr/>
      </xdr:nvSpPr>
      <xdr:spPr>
        <a:xfrm>
          <a:off x="416795" y="16200120"/>
          <a:ext cx="4754880" cy="19722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66275</xdr:colOff>
      <xdr:row>121</xdr:row>
      <xdr:rowOff>0</xdr:rowOff>
    </xdr:from>
    <xdr:to>
      <xdr:col>7</xdr:col>
      <xdr:colOff>454895</xdr:colOff>
      <xdr:row>122</xdr:row>
      <xdr:rowOff>67684</xdr:rowOff>
    </xdr:to>
    <xdr:sp macro="" textlink="">
      <xdr:nvSpPr>
        <xdr:cNvPr id="11" name="Rectangle 10">
          <a:extLst>
            <a:ext uri="{FF2B5EF4-FFF2-40B4-BE49-F238E27FC236}">
              <a16:creationId xmlns:a16="http://schemas.microsoft.com/office/drawing/2014/main" id="{7604BC74-089E-4C79-B0C7-2197A3DDDA01}"/>
            </a:ext>
          </a:extLst>
        </xdr:cNvPr>
        <xdr:cNvSpPr/>
      </xdr:nvSpPr>
      <xdr:spPr>
        <a:xfrm>
          <a:off x="416795" y="16603980"/>
          <a:ext cx="4754880" cy="19722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97</xdr:row>
      <xdr:rowOff>0</xdr:rowOff>
    </xdr:from>
    <xdr:to>
      <xdr:col>9</xdr:col>
      <xdr:colOff>224092</xdr:colOff>
      <xdr:row>145</xdr:row>
      <xdr:rowOff>128811</xdr:rowOff>
    </xdr:to>
    <xdr:grpSp>
      <xdr:nvGrpSpPr>
        <xdr:cNvPr id="8" name="Group 7">
          <a:extLst>
            <a:ext uri="{FF2B5EF4-FFF2-40B4-BE49-F238E27FC236}">
              <a16:creationId xmlns:a16="http://schemas.microsoft.com/office/drawing/2014/main" id="{39F658B0-EECF-46E0-BFFD-9FBAE316A379}"/>
            </a:ext>
          </a:extLst>
        </xdr:cNvPr>
        <xdr:cNvGrpSpPr/>
      </xdr:nvGrpSpPr>
      <xdr:grpSpPr>
        <a:xfrm>
          <a:off x="350520" y="14912340"/>
          <a:ext cx="6670612" cy="6346731"/>
          <a:chOff x="350520" y="13495020"/>
          <a:chExt cx="5580952" cy="6346731"/>
        </a:xfrm>
      </xdr:grpSpPr>
      <xdr:sp macro="" textlink="">
        <xdr:nvSpPr>
          <xdr:cNvPr id="2" name="TextBox 1">
            <a:extLst>
              <a:ext uri="{FF2B5EF4-FFF2-40B4-BE49-F238E27FC236}">
                <a16:creationId xmlns:a16="http://schemas.microsoft.com/office/drawing/2014/main" id="{7C5F57AD-32F1-4799-93EF-00112BA970EF}"/>
              </a:ext>
            </a:extLst>
          </xdr:cNvPr>
          <xdr:cNvSpPr txBox="1"/>
        </xdr:nvSpPr>
        <xdr:spPr>
          <a:xfrm>
            <a:off x="350520" y="13495020"/>
            <a:ext cx="4403039" cy="458662"/>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solidFill>
                  <a:schemeClr val="dk1"/>
                </a:solidFill>
                <a:effectLst/>
                <a:latin typeface="+mn-lt"/>
                <a:ea typeface="+mn-ea"/>
                <a:cs typeface="+mn-cs"/>
              </a:rPr>
              <a:t>DOE-EERE (2015).</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Technical Support Document for the 2015 DOE Residential Boilers</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Rule. </a:t>
            </a:r>
            <a:r>
              <a:rPr lang="en-US" sz="1100"/>
              <a:t>p. 7-18</a:t>
            </a:r>
          </a:p>
        </xdr:txBody>
      </xdr:sp>
      <xdr:pic>
        <xdr:nvPicPr>
          <xdr:cNvPr id="3" name="Picture 2">
            <a:extLst>
              <a:ext uri="{FF2B5EF4-FFF2-40B4-BE49-F238E27FC236}">
                <a16:creationId xmlns:a16="http://schemas.microsoft.com/office/drawing/2014/main" id="{B804068A-D4D5-4241-A738-9563E94E4E1D}"/>
              </a:ext>
            </a:extLst>
          </xdr:cNvPr>
          <xdr:cNvPicPr>
            <a:picLocks noChangeAspect="1"/>
          </xdr:cNvPicPr>
        </xdr:nvPicPr>
        <xdr:blipFill>
          <a:blip xmlns:r="http://schemas.openxmlformats.org/officeDocument/2006/relationships" r:embed="rId1"/>
          <a:stretch>
            <a:fillRect/>
          </a:stretch>
        </xdr:blipFill>
        <xdr:spPr>
          <a:xfrm>
            <a:off x="350520" y="14013180"/>
            <a:ext cx="5580952" cy="5828571"/>
          </a:xfrm>
          <a:prstGeom prst="rect">
            <a:avLst/>
          </a:prstGeom>
        </xdr:spPr>
      </xdr:pic>
      <xdr:sp macro="" textlink="">
        <xdr:nvSpPr>
          <xdr:cNvPr id="4" name="Rectangle 3">
            <a:extLst>
              <a:ext uri="{FF2B5EF4-FFF2-40B4-BE49-F238E27FC236}">
                <a16:creationId xmlns:a16="http://schemas.microsoft.com/office/drawing/2014/main" id="{2CAE141E-03C7-4B65-A6C7-BA490BE2240B}"/>
              </a:ext>
            </a:extLst>
          </xdr:cNvPr>
          <xdr:cNvSpPr/>
        </xdr:nvSpPr>
        <xdr:spPr>
          <a:xfrm>
            <a:off x="3078480" y="15323820"/>
            <a:ext cx="769620" cy="149352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5" name="Rectangle 4">
            <a:extLst>
              <a:ext uri="{FF2B5EF4-FFF2-40B4-BE49-F238E27FC236}">
                <a16:creationId xmlns:a16="http://schemas.microsoft.com/office/drawing/2014/main" id="{AFF93259-A5D1-411D-A897-38ECE6CEBFC9}"/>
              </a:ext>
            </a:extLst>
          </xdr:cNvPr>
          <xdr:cNvSpPr/>
        </xdr:nvSpPr>
        <xdr:spPr>
          <a:xfrm>
            <a:off x="416795" y="15331440"/>
            <a:ext cx="4754880" cy="19722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Rectangle 5">
            <a:extLst>
              <a:ext uri="{FF2B5EF4-FFF2-40B4-BE49-F238E27FC236}">
                <a16:creationId xmlns:a16="http://schemas.microsoft.com/office/drawing/2014/main" id="{B9018423-9998-4FD3-BE61-98F380A8C5DC}"/>
              </a:ext>
            </a:extLst>
          </xdr:cNvPr>
          <xdr:cNvSpPr/>
        </xdr:nvSpPr>
        <xdr:spPr>
          <a:xfrm>
            <a:off x="416795" y="16200120"/>
            <a:ext cx="4754880" cy="19722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Rectangle 6">
            <a:extLst>
              <a:ext uri="{FF2B5EF4-FFF2-40B4-BE49-F238E27FC236}">
                <a16:creationId xmlns:a16="http://schemas.microsoft.com/office/drawing/2014/main" id="{4B28890F-B27A-4EBA-B1DC-58C1BEBA64F2}"/>
              </a:ext>
            </a:extLst>
          </xdr:cNvPr>
          <xdr:cNvSpPr/>
        </xdr:nvSpPr>
        <xdr:spPr>
          <a:xfrm>
            <a:off x="416795" y="16603980"/>
            <a:ext cx="4754880" cy="19722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123</xdr:row>
      <xdr:rowOff>0</xdr:rowOff>
    </xdr:from>
    <xdr:to>
      <xdr:col>9</xdr:col>
      <xdr:colOff>224092</xdr:colOff>
      <xdr:row>171</xdr:row>
      <xdr:rowOff>128811</xdr:rowOff>
    </xdr:to>
    <xdr:grpSp>
      <xdr:nvGrpSpPr>
        <xdr:cNvPr id="2" name="Group 1">
          <a:extLst>
            <a:ext uri="{FF2B5EF4-FFF2-40B4-BE49-F238E27FC236}">
              <a16:creationId xmlns:a16="http://schemas.microsoft.com/office/drawing/2014/main" id="{A05151B7-5CCA-459A-8527-781D181557AD}"/>
            </a:ext>
          </a:extLst>
        </xdr:cNvPr>
        <xdr:cNvGrpSpPr/>
      </xdr:nvGrpSpPr>
      <xdr:grpSpPr>
        <a:xfrm>
          <a:off x="350520" y="18920460"/>
          <a:ext cx="6579172" cy="6346731"/>
          <a:chOff x="350520" y="13495020"/>
          <a:chExt cx="5580952" cy="6346731"/>
        </a:xfrm>
      </xdr:grpSpPr>
      <xdr:sp macro="" textlink="">
        <xdr:nvSpPr>
          <xdr:cNvPr id="3" name="TextBox 2">
            <a:extLst>
              <a:ext uri="{FF2B5EF4-FFF2-40B4-BE49-F238E27FC236}">
                <a16:creationId xmlns:a16="http://schemas.microsoft.com/office/drawing/2014/main" id="{1FDC99CF-C20D-4F39-A721-C714E3144EB4}"/>
              </a:ext>
            </a:extLst>
          </xdr:cNvPr>
          <xdr:cNvSpPr txBox="1"/>
        </xdr:nvSpPr>
        <xdr:spPr>
          <a:xfrm>
            <a:off x="350520" y="13495020"/>
            <a:ext cx="4403039" cy="458662"/>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solidFill>
                  <a:schemeClr val="dk1"/>
                </a:solidFill>
                <a:effectLst/>
                <a:latin typeface="+mn-lt"/>
                <a:ea typeface="+mn-ea"/>
                <a:cs typeface="+mn-cs"/>
              </a:rPr>
              <a:t>DOE-EERE (2015).</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Technical Support Document for the 2015 DOE Residential Boilers</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Rule. </a:t>
            </a:r>
            <a:r>
              <a:rPr lang="en-US" sz="1100"/>
              <a:t>p. 7-18</a:t>
            </a:r>
          </a:p>
        </xdr:txBody>
      </xdr:sp>
      <xdr:pic>
        <xdr:nvPicPr>
          <xdr:cNvPr id="4" name="Picture 3">
            <a:extLst>
              <a:ext uri="{FF2B5EF4-FFF2-40B4-BE49-F238E27FC236}">
                <a16:creationId xmlns:a16="http://schemas.microsoft.com/office/drawing/2014/main" id="{D2D4C04E-B7B0-4C9F-AD75-A3225097A1DA}"/>
              </a:ext>
            </a:extLst>
          </xdr:cNvPr>
          <xdr:cNvPicPr>
            <a:picLocks noChangeAspect="1"/>
          </xdr:cNvPicPr>
        </xdr:nvPicPr>
        <xdr:blipFill>
          <a:blip xmlns:r="http://schemas.openxmlformats.org/officeDocument/2006/relationships" r:embed="rId1"/>
          <a:stretch>
            <a:fillRect/>
          </a:stretch>
        </xdr:blipFill>
        <xdr:spPr>
          <a:xfrm>
            <a:off x="350520" y="14013180"/>
            <a:ext cx="5580952" cy="5828571"/>
          </a:xfrm>
          <a:prstGeom prst="rect">
            <a:avLst/>
          </a:prstGeom>
        </xdr:spPr>
      </xdr:pic>
      <xdr:sp macro="" textlink="">
        <xdr:nvSpPr>
          <xdr:cNvPr id="5" name="Rectangle 4">
            <a:extLst>
              <a:ext uri="{FF2B5EF4-FFF2-40B4-BE49-F238E27FC236}">
                <a16:creationId xmlns:a16="http://schemas.microsoft.com/office/drawing/2014/main" id="{CF631BCD-D7AC-43BB-8A4B-D132D4F5EC66}"/>
              </a:ext>
            </a:extLst>
          </xdr:cNvPr>
          <xdr:cNvSpPr/>
        </xdr:nvSpPr>
        <xdr:spPr>
          <a:xfrm>
            <a:off x="3078480" y="15323820"/>
            <a:ext cx="769620" cy="149352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6" name="Rectangle 5">
            <a:extLst>
              <a:ext uri="{FF2B5EF4-FFF2-40B4-BE49-F238E27FC236}">
                <a16:creationId xmlns:a16="http://schemas.microsoft.com/office/drawing/2014/main" id="{523C3DE2-3320-4E42-8286-50CB9AE7E895}"/>
              </a:ext>
            </a:extLst>
          </xdr:cNvPr>
          <xdr:cNvSpPr/>
        </xdr:nvSpPr>
        <xdr:spPr>
          <a:xfrm>
            <a:off x="416795" y="15331440"/>
            <a:ext cx="4754880" cy="19722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Rectangle 6">
            <a:extLst>
              <a:ext uri="{FF2B5EF4-FFF2-40B4-BE49-F238E27FC236}">
                <a16:creationId xmlns:a16="http://schemas.microsoft.com/office/drawing/2014/main" id="{4E0DF0E2-FC2B-4468-A2C8-FD5451EB7456}"/>
              </a:ext>
            </a:extLst>
          </xdr:cNvPr>
          <xdr:cNvSpPr/>
        </xdr:nvSpPr>
        <xdr:spPr>
          <a:xfrm>
            <a:off x="416795" y="16200120"/>
            <a:ext cx="4754880" cy="19722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Rectangle 7">
            <a:extLst>
              <a:ext uri="{FF2B5EF4-FFF2-40B4-BE49-F238E27FC236}">
                <a16:creationId xmlns:a16="http://schemas.microsoft.com/office/drawing/2014/main" id="{C3E6879B-95A8-46AE-A690-5704F32961D6}"/>
              </a:ext>
            </a:extLst>
          </xdr:cNvPr>
          <xdr:cNvSpPr/>
        </xdr:nvSpPr>
        <xdr:spPr>
          <a:xfrm>
            <a:off x="416795" y="16603980"/>
            <a:ext cx="4754880" cy="19722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123</xdr:row>
      <xdr:rowOff>0</xdr:rowOff>
    </xdr:from>
    <xdr:to>
      <xdr:col>9</xdr:col>
      <xdr:colOff>224092</xdr:colOff>
      <xdr:row>171</xdr:row>
      <xdr:rowOff>128811</xdr:rowOff>
    </xdr:to>
    <xdr:grpSp>
      <xdr:nvGrpSpPr>
        <xdr:cNvPr id="2" name="Group 1">
          <a:extLst>
            <a:ext uri="{FF2B5EF4-FFF2-40B4-BE49-F238E27FC236}">
              <a16:creationId xmlns:a16="http://schemas.microsoft.com/office/drawing/2014/main" id="{C15C6D18-5242-461C-AF1F-F516A62DD66D}"/>
            </a:ext>
          </a:extLst>
        </xdr:cNvPr>
        <xdr:cNvGrpSpPr/>
      </xdr:nvGrpSpPr>
      <xdr:grpSpPr>
        <a:xfrm>
          <a:off x="350520" y="18661380"/>
          <a:ext cx="6792532" cy="6346731"/>
          <a:chOff x="350520" y="13495020"/>
          <a:chExt cx="5580952" cy="6346731"/>
        </a:xfrm>
      </xdr:grpSpPr>
      <xdr:sp macro="" textlink="">
        <xdr:nvSpPr>
          <xdr:cNvPr id="3" name="TextBox 2">
            <a:extLst>
              <a:ext uri="{FF2B5EF4-FFF2-40B4-BE49-F238E27FC236}">
                <a16:creationId xmlns:a16="http://schemas.microsoft.com/office/drawing/2014/main" id="{58E9ADC6-4ED2-4FF8-97B4-68FC71452681}"/>
              </a:ext>
            </a:extLst>
          </xdr:cNvPr>
          <xdr:cNvSpPr txBox="1"/>
        </xdr:nvSpPr>
        <xdr:spPr>
          <a:xfrm>
            <a:off x="350520" y="13495020"/>
            <a:ext cx="4403039" cy="458662"/>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solidFill>
                  <a:schemeClr val="dk1"/>
                </a:solidFill>
                <a:effectLst/>
                <a:latin typeface="+mn-lt"/>
                <a:ea typeface="+mn-ea"/>
                <a:cs typeface="+mn-cs"/>
              </a:rPr>
              <a:t>DOE-EERE (2015).</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Technical Support Document for the 2015 DOE Residential Boilers</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Rule. </a:t>
            </a:r>
            <a:r>
              <a:rPr lang="en-US" sz="1100"/>
              <a:t>p. 7-18</a:t>
            </a:r>
          </a:p>
        </xdr:txBody>
      </xdr:sp>
      <xdr:pic>
        <xdr:nvPicPr>
          <xdr:cNvPr id="4" name="Picture 3">
            <a:extLst>
              <a:ext uri="{FF2B5EF4-FFF2-40B4-BE49-F238E27FC236}">
                <a16:creationId xmlns:a16="http://schemas.microsoft.com/office/drawing/2014/main" id="{30AD7A61-C985-4C42-9795-2FF2111FA878}"/>
              </a:ext>
            </a:extLst>
          </xdr:cNvPr>
          <xdr:cNvPicPr>
            <a:picLocks noChangeAspect="1"/>
          </xdr:cNvPicPr>
        </xdr:nvPicPr>
        <xdr:blipFill>
          <a:blip xmlns:r="http://schemas.openxmlformats.org/officeDocument/2006/relationships" r:embed="rId1"/>
          <a:stretch>
            <a:fillRect/>
          </a:stretch>
        </xdr:blipFill>
        <xdr:spPr>
          <a:xfrm>
            <a:off x="350520" y="14013180"/>
            <a:ext cx="5580952" cy="5828571"/>
          </a:xfrm>
          <a:prstGeom prst="rect">
            <a:avLst/>
          </a:prstGeom>
        </xdr:spPr>
      </xdr:pic>
      <xdr:sp macro="" textlink="">
        <xdr:nvSpPr>
          <xdr:cNvPr id="5" name="Rectangle 4">
            <a:extLst>
              <a:ext uri="{FF2B5EF4-FFF2-40B4-BE49-F238E27FC236}">
                <a16:creationId xmlns:a16="http://schemas.microsoft.com/office/drawing/2014/main" id="{AB9586E9-C056-4BCB-A556-C468BED3C0A0}"/>
              </a:ext>
            </a:extLst>
          </xdr:cNvPr>
          <xdr:cNvSpPr/>
        </xdr:nvSpPr>
        <xdr:spPr>
          <a:xfrm>
            <a:off x="3078480" y="15323820"/>
            <a:ext cx="769620" cy="149352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6" name="Rectangle 5">
            <a:extLst>
              <a:ext uri="{FF2B5EF4-FFF2-40B4-BE49-F238E27FC236}">
                <a16:creationId xmlns:a16="http://schemas.microsoft.com/office/drawing/2014/main" id="{18525FC4-7F52-4DB9-9C5C-CC8BBA00E57E}"/>
              </a:ext>
            </a:extLst>
          </xdr:cNvPr>
          <xdr:cNvSpPr/>
        </xdr:nvSpPr>
        <xdr:spPr>
          <a:xfrm>
            <a:off x="416795" y="15331440"/>
            <a:ext cx="4754880" cy="19722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Rectangle 6">
            <a:extLst>
              <a:ext uri="{FF2B5EF4-FFF2-40B4-BE49-F238E27FC236}">
                <a16:creationId xmlns:a16="http://schemas.microsoft.com/office/drawing/2014/main" id="{2FE7E310-D91E-41E7-A800-B79B2A197ADE}"/>
              </a:ext>
            </a:extLst>
          </xdr:cNvPr>
          <xdr:cNvSpPr/>
        </xdr:nvSpPr>
        <xdr:spPr>
          <a:xfrm>
            <a:off x="416795" y="16200120"/>
            <a:ext cx="4754880" cy="19722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Rectangle 7">
            <a:extLst>
              <a:ext uri="{FF2B5EF4-FFF2-40B4-BE49-F238E27FC236}">
                <a16:creationId xmlns:a16="http://schemas.microsoft.com/office/drawing/2014/main" id="{F0CF13A2-54F8-410A-A236-85CC13258455}"/>
              </a:ext>
            </a:extLst>
          </xdr:cNvPr>
          <xdr:cNvSpPr/>
        </xdr:nvSpPr>
        <xdr:spPr>
          <a:xfrm>
            <a:off x="416795" y="16603980"/>
            <a:ext cx="4754880" cy="19722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123</xdr:row>
      <xdr:rowOff>0</xdr:rowOff>
    </xdr:from>
    <xdr:to>
      <xdr:col>9</xdr:col>
      <xdr:colOff>224092</xdr:colOff>
      <xdr:row>171</xdr:row>
      <xdr:rowOff>128811</xdr:rowOff>
    </xdr:to>
    <xdr:grpSp>
      <xdr:nvGrpSpPr>
        <xdr:cNvPr id="9" name="Group 8">
          <a:extLst>
            <a:ext uri="{FF2B5EF4-FFF2-40B4-BE49-F238E27FC236}">
              <a16:creationId xmlns:a16="http://schemas.microsoft.com/office/drawing/2014/main" id="{2F049B71-0DEF-462E-96F4-DD07D08E0F2E}"/>
            </a:ext>
          </a:extLst>
        </xdr:cNvPr>
        <xdr:cNvGrpSpPr/>
      </xdr:nvGrpSpPr>
      <xdr:grpSpPr>
        <a:xfrm>
          <a:off x="350520" y="18661380"/>
          <a:ext cx="6678232" cy="6346731"/>
          <a:chOff x="350520" y="13495020"/>
          <a:chExt cx="5580952" cy="6346731"/>
        </a:xfrm>
      </xdr:grpSpPr>
      <xdr:sp macro="" textlink="">
        <xdr:nvSpPr>
          <xdr:cNvPr id="10" name="TextBox 9">
            <a:extLst>
              <a:ext uri="{FF2B5EF4-FFF2-40B4-BE49-F238E27FC236}">
                <a16:creationId xmlns:a16="http://schemas.microsoft.com/office/drawing/2014/main" id="{5E4B36A5-1B01-4F75-B5AE-E8B3DD4244A5}"/>
              </a:ext>
            </a:extLst>
          </xdr:cNvPr>
          <xdr:cNvSpPr txBox="1"/>
        </xdr:nvSpPr>
        <xdr:spPr>
          <a:xfrm>
            <a:off x="350520" y="13495020"/>
            <a:ext cx="4403039" cy="458662"/>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solidFill>
                  <a:schemeClr val="dk1"/>
                </a:solidFill>
                <a:effectLst/>
                <a:latin typeface="+mn-lt"/>
                <a:ea typeface="+mn-ea"/>
                <a:cs typeface="+mn-cs"/>
              </a:rPr>
              <a:t>DOE-EERE (2015).</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Technical Support Document for the 2015 DOE Residential Boilers</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Rule. </a:t>
            </a:r>
            <a:r>
              <a:rPr lang="en-US" sz="1100"/>
              <a:t>p. 7-18</a:t>
            </a:r>
          </a:p>
        </xdr:txBody>
      </xdr:sp>
      <xdr:pic>
        <xdr:nvPicPr>
          <xdr:cNvPr id="11" name="Picture 10">
            <a:extLst>
              <a:ext uri="{FF2B5EF4-FFF2-40B4-BE49-F238E27FC236}">
                <a16:creationId xmlns:a16="http://schemas.microsoft.com/office/drawing/2014/main" id="{39DAB89D-A9F9-433A-A17F-22723FEDED50}"/>
              </a:ext>
            </a:extLst>
          </xdr:cNvPr>
          <xdr:cNvPicPr>
            <a:picLocks noChangeAspect="1"/>
          </xdr:cNvPicPr>
        </xdr:nvPicPr>
        <xdr:blipFill>
          <a:blip xmlns:r="http://schemas.openxmlformats.org/officeDocument/2006/relationships" r:embed="rId1"/>
          <a:stretch>
            <a:fillRect/>
          </a:stretch>
        </xdr:blipFill>
        <xdr:spPr>
          <a:xfrm>
            <a:off x="350520" y="14013180"/>
            <a:ext cx="5580952" cy="5828571"/>
          </a:xfrm>
          <a:prstGeom prst="rect">
            <a:avLst/>
          </a:prstGeom>
        </xdr:spPr>
      </xdr:pic>
      <xdr:sp macro="" textlink="">
        <xdr:nvSpPr>
          <xdr:cNvPr id="12" name="Rectangle 11">
            <a:extLst>
              <a:ext uri="{FF2B5EF4-FFF2-40B4-BE49-F238E27FC236}">
                <a16:creationId xmlns:a16="http://schemas.microsoft.com/office/drawing/2014/main" id="{85116E1E-F54F-4A9B-BA3B-EEA3C6B793B3}"/>
              </a:ext>
            </a:extLst>
          </xdr:cNvPr>
          <xdr:cNvSpPr/>
        </xdr:nvSpPr>
        <xdr:spPr>
          <a:xfrm>
            <a:off x="3078480" y="15323820"/>
            <a:ext cx="769620" cy="149352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3" name="Rectangle 12">
            <a:extLst>
              <a:ext uri="{FF2B5EF4-FFF2-40B4-BE49-F238E27FC236}">
                <a16:creationId xmlns:a16="http://schemas.microsoft.com/office/drawing/2014/main" id="{87FE2E2A-81D3-4BE0-B695-4324C9801DC9}"/>
              </a:ext>
            </a:extLst>
          </xdr:cNvPr>
          <xdr:cNvSpPr/>
        </xdr:nvSpPr>
        <xdr:spPr>
          <a:xfrm>
            <a:off x="416795" y="15331440"/>
            <a:ext cx="4754880" cy="19722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Rectangle 13">
            <a:extLst>
              <a:ext uri="{FF2B5EF4-FFF2-40B4-BE49-F238E27FC236}">
                <a16:creationId xmlns:a16="http://schemas.microsoft.com/office/drawing/2014/main" id="{0FC7C6C0-1B5C-43B2-A6A0-9ACC10A588CE}"/>
              </a:ext>
            </a:extLst>
          </xdr:cNvPr>
          <xdr:cNvSpPr/>
        </xdr:nvSpPr>
        <xdr:spPr>
          <a:xfrm>
            <a:off x="416795" y="16200120"/>
            <a:ext cx="4754880" cy="19722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Rectangle 14">
            <a:extLst>
              <a:ext uri="{FF2B5EF4-FFF2-40B4-BE49-F238E27FC236}">
                <a16:creationId xmlns:a16="http://schemas.microsoft.com/office/drawing/2014/main" id="{2A6FD8BC-F45B-4F5F-A3C1-043FEA6641A0}"/>
              </a:ext>
            </a:extLst>
          </xdr:cNvPr>
          <xdr:cNvSpPr/>
        </xdr:nvSpPr>
        <xdr:spPr>
          <a:xfrm>
            <a:off x="416795" y="16603980"/>
            <a:ext cx="4754880" cy="19722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Baseline_Function" sourceName="Baseline Function">
  <extLst>
    <x:ext xmlns:x15="http://schemas.microsoft.com/office/spreadsheetml/2010/11/main" uri="{2F2917AC-EB37-4324-AD4E-5DD8C200BD13}">
      <x15:tableSlicerCache tableId="2" column="4"/>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Baseline_Fuel" sourceName="Baseline Fuel">
  <extLst>
    <x:ext xmlns:x15="http://schemas.microsoft.com/office/spreadsheetml/2010/11/main" uri="{2F2917AC-EB37-4324-AD4E-5DD8C200BD13}">
      <x15:tableSlicerCache tableId="2" column="9"/>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Replacement_Fuel" sourceName="Replacement Fuel">
  <extLst>
    <x:ext xmlns:x15="http://schemas.microsoft.com/office/spreadsheetml/2010/11/main" uri="{2F2917AC-EB37-4324-AD4E-5DD8C200BD13}">
      <x15:tableSlicerCache tableId="2" column="10"/>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Baseline_Function1" sourceName="Baseline Function">
  <extLst>
    <x:ext xmlns:x15="http://schemas.microsoft.com/office/spreadsheetml/2010/11/main" uri="{2F2917AC-EB37-4324-AD4E-5DD8C200BD13}">
      <x15:tableSlicerCache tableId="10" column="4"/>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Baseline_Fuel1" sourceName="Baseline Fuel">
  <extLst>
    <x:ext xmlns:x15="http://schemas.microsoft.com/office/spreadsheetml/2010/11/main" uri="{2F2917AC-EB37-4324-AD4E-5DD8C200BD13}">
      <x15:tableSlicerCache tableId="10" column="9"/>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Replacement_Fuel1" sourceName="Replacement Fuel">
  <extLst>
    <x:ext xmlns:x15="http://schemas.microsoft.com/office/spreadsheetml/2010/11/main" uri="{2F2917AC-EB37-4324-AD4E-5DD8C200BD13}">
      <x15:tableSlicerCache tableId="10" column="10"/>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Baseline Function" cache="Slicer_Baseline_Function" caption="Function" rowHeight="177800"/>
  <slicer name="Baseline Fuel" cache="Slicer_Baseline_Fuel" caption="Baseline Fuel" rowHeight="177800"/>
  <slicer name="Replacement Fuel" cache="Slicer_Replacement_Fuel" caption="Replacement Fuel" rowHeight="177800"/>
</slicers>
</file>

<file path=xl/slicers/slicer2.xml><?xml version="1.0" encoding="utf-8"?>
<slicers xmlns="http://schemas.microsoft.com/office/spreadsheetml/2009/9/main" xmlns:mc="http://schemas.openxmlformats.org/markup-compatibility/2006" xmlns:x="http://schemas.openxmlformats.org/spreadsheetml/2006/main" mc:Ignorable="x">
  <slicer name="Baseline Function 1" cache="Slicer_Baseline_Function1" caption="Function" rowHeight="177800"/>
  <slicer name="Baseline Fuel 1" cache="Slicer_Baseline_Fuel1" caption="Baseline Fuel" rowHeight="177800"/>
  <slicer name="Replacement Fuel 1" cache="Slicer_Replacement_Fuel1" caption="Replacement Fuel" rowHeight="177800"/>
</slicers>
</file>

<file path=xl/tables/table1.xml><?xml version="1.0" encoding="utf-8"?>
<table xmlns="http://schemas.openxmlformats.org/spreadsheetml/2006/main" id="1" name="Tbl_EquipmentDefinitions" displayName="Tbl_EquipmentDefinitions" ref="C9:AC49" totalsRowShown="0" headerRowDxfId="579" headerRowBorderDxfId="578" headerRowCellStyle="N_Table1_Header" dataCellStyle="N_Table1_Cell">
  <autoFilter ref="C9:AC49"/>
  <tableColumns count="27">
    <tableColumn id="1" name="Equipment ID" dataDxfId="577" dataCellStyle="N_Input"/>
    <tableColumn id="2" name="Equipment Name" dataDxfId="576" dataCellStyle="N_Input"/>
    <tableColumn id="3" name="Equipment Level" dataDxfId="575" dataCellStyle="N_InputList"/>
    <tableColumn id="5" name="Function" dataDxfId="574" dataCellStyle="N_InputList"/>
    <tableColumn id="6" name="Fuel Type" dataDxfId="573" dataCellStyle="N_InputList"/>
    <tableColumn id="8" name="New Unit Equipment Life (years)" dataDxfId="572" dataCellStyle="N_InputList"/>
    <tableColumn id="10" name="Remaining Life for Early Replacement (years)" dataDxfId="571" dataCellStyle="N_InputList">
      <calculatedColumnFormula>ROUND(Tbl_EquipmentDefinitions[[#This Row],[New Unit Equipment Life (years)]]/3,0)</calculatedColumnFormula>
    </tableColumn>
    <tableColumn id="4" name="A/C Life (years)" dataDxfId="570" dataCellStyle="N_InputList"/>
    <tableColumn id="11" name="Remaining A/C Life for Early Replacement (years)" dataDxfId="569" dataCellStyle="N_InputList"/>
    <tableColumn id="7" name="Equipment Life Reference" dataDxfId="568" dataCellStyle="N_InputList"/>
    <tableColumn id="9" name="Available Efficiencies" dataDxfId="567" dataCellStyle="N_Calc1">
      <calculatedColumnFormula>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calculatedColumnFormula>
    </tableColumn>
    <tableColumn id="24" name="Electricity Baseline Efficiency" dataDxfId="566" dataCellStyle="N_Input"/>
    <tableColumn id="28" name="Electricity Code Efficiency" dataDxfId="565" dataCellStyle="N_Input"/>
    <tableColumn id="32" name="Electricity Low Measure Efficiency" dataDxfId="564" dataCellStyle="N_Input"/>
    <tableColumn id="36" name="Electricity High Measure Efficiency" dataDxfId="563" dataCellStyle="N_Input"/>
    <tableColumn id="39" name="Natural Gas Baseline Efficiency" dataDxfId="562" dataCellStyle="N_Input"/>
    <tableColumn id="40" name="Natural Gas Code Efficiency" dataDxfId="561" dataCellStyle="N_Input"/>
    <tableColumn id="41" name="Natural Gas Low Measure Efficiency" dataDxfId="560" dataCellStyle="N_Input"/>
    <tableColumn id="42" name="Natural Gas High Measure Efficiency" dataDxfId="559" dataCellStyle="N_Input"/>
    <tableColumn id="48" name="Propane Baseline Efficiency" dataDxfId="558" dataCellStyle="N_Table1_Cell"/>
    <tableColumn id="49" name="Propane Code Efficiency" dataDxfId="557" dataCellStyle="N_Table1_Cell"/>
    <tableColumn id="50" name="Propane Low Measure Efficiency" dataDxfId="556" dataCellStyle="N_Table1_Cell"/>
    <tableColumn id="51" name="Propane High Measure Efficiency" dataDxfId="555" dataCellStyle="N_Table1_Cell"/>
    <tableColumn id="52" name="Oil Baseline Efficiency" dataDxfId="554" dataCellStyle="N_Table1_Cell"/>
    <tableColumn id="53" name="Oil Code Efficiency" dataDxfId="553" dataCellStyle="N_Table1_Cell"/>
    <tableColumn id="54" name="Oil Low Measure Efficiency" dataDxfId="552" dataCellStyle="N_Table1_Cell"/>
    <tableColumn id="55" name="Oil High Measure Efficiency" dataDxfId="551" dataCellStyle="N_Table1_Cell"/>
  </tableColumns>
  <tableStyleInfo showFirstColumn="0" showLastColumn="0" showRowStripes="1" showColumnStripes="0"/>
</table>
</file>

<file path=xl/tables/table2.xml><?xml version="1.0" encoding="utf-8"?>
<table xmlns="http://schemas.openxmlformats.org/spreadsheetml/2006/main" id="8" name="Tbl_BaselineSummary" displayName="Tbl_BaselineSummary" ref="C12:AF34" totalsRowShown="0" headerRowDxfId="542" headerRowBorderDxfId="541" headerRowCellStyle="N_Table1_Header" dataCellStyle="N_Table1_Cell">
  <autoFilter ref="C12:AF3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5" hiddenButton="1"/>
    <filterColumn colId="26" hiddenButton="1"/>
    <filterColumn colId="27" hiddenButton="1"/>
    <filterColumn colId="28" hiddenButton="1"/>
    <filterColumn colId="29" hiddenButton="1"/>
  </autoFilter>
  <tableColumns count="30">
    <tableColumn id="1" name="Baseline ID" dataDxfId="540" dataCellStyle="N_Input"/>
    <tableColumn id="2" name="Equipment ID" dataDxfId="539" dataCellStyle="N_InputList"/>
    <tableColumn id="3" name="Baseline Name" dataDxfId="538" dataCellStyle="N_Calc1">
      <calculatedColumnFormula>INDEX(Tbl_EquipmentDefinitions[Equipment Name],MATCH('Baseline Calculations'!$D13,Tbl_EquipmentDefinitions[Equipment ID],0))</calculatedColumnFormula>
    </tableColumn>
    <tableColumn id="4" name="Baseline Function" dataDxfId="537" dataCellStyle="N_Calc2">
      <calculatedColumnFormula>INDEX(Tbl_EquipmentDefinitions[Function],MATCH('Baseline Calculations'!$D13,Tbl_EquipmentDefinitions[Equipment ID],0))</calculatedColumnFormula>
    </tableColumn>
    <tableColumn id="7" name="Space Heating Load (MMBtu/yr)" dataDxfId="536" dataCellStyle="N_Input">
      <calculatedColumnFormula>BOILER_TOTAL_HEATING_LOAD</calculatedColumnFormula>
    </tableColumn>
    <tableColumn id="8" name="Space Cooling Load (MMBtu/yr)" dataDxfId="535" dataCellStyle="N_Input">
      <calculatedColumnFormula>TOTAL_COOLING_LOAD</calculatedColumnFormula>
    </tableColumn>
    <tableColumn id="9" name="Water Heating Load (MMBtu/yr)" dataDxfId="534" dataCellStyle="N_Input">
      <calculatedColumnFormula>STORAGE_WATER_HEATING_LOAD</calculatedColumnFormula>
    </tableColumn>
    <tableColumn id="25" name="Baseline Fuel(s)" dataDxfId="533" dataCellStyle="N_Calc1">
      <calculatedColumnFormula>INDEX(Tbl_EquipmentDefinitions[Fuel Type],MATCH(Tbl_BaselineSummary[[#This Row],[Equipment ID]],Tbl_EquipmentDefinitions[Equipment ID],0))</calculatedColumnFormula>
    </tableColumn>
    <tableColumn id="10" name="Baseline Annual Energy Cost (USD)" dataDxfId="532" dataCellStyle="N_Calc1">
      <calculatedColumnFormula>INDEX($K$37:$AF$1048576,MATCH(Tbl_BaselineSummary[[#This Row],[Baseline ID]:[Baseline ID]],$J$37:$J$1048576,0),MATCH(Tbl_BaselineSummary[[#Headers],[Baseline Annual Energy Cost (USD)]],Tbl_BaselineSummary[[#Headers],[Baseline Annual Energy Cost (USD)]:[Code Oil Annual Consumption (MMBtu)]],0))</calculatedColumnFormula>
    </tableColumn>
    <tableColumn id="12" name="Baseline Electric Annual Consumption  (kWh)" dataDxfId="531" dataCellStyle="N_Calc1">
      <calculatedColumnFormula>INDEX($K$37:$AF$1048576,MATCH(Tbl_BaselineSummary[[#This Row],[Baseline ID]:[Baseline ID]],$J$37:$J$1048576,0),MATCH(Tbl_BaselineSummary[[#Headers],[Baseline Electric Annual Consumption  (kWh)]],Tbl_BaselineSummary[[#Headers],[Baseline Annual Energy Cost (USD)]:[Code Oil Annual Consumption (MMBtu)]],0))</calculatedColumnFormula>
    </tableColumn>
    <tableColumn id="27" name="Baseline Electric Winter Consumption (kWh)" dataDxfId="530" dataCellStyle="N_Calc1">
      <calculatedColumnFormula>INDEX($K$37:$AF$1048576,MATCH(Tbl_BaselineSummary[[#This Row],[Baseline ID]:[Baseline ID]],$J$37:$J$1048576,0),MATCH(Tbl_BaselineSummary[[#Headers],[Baseline Electric Winter Consumption (kWh)]],Tbl_BaselineSummary[[#Headers],[Baseline Annual Energy Cost (USD)]:[Code Oil Annual Consumption (MMBtu)]],0))</calculatedColumnFormula>
    </tableColumn>
    <tableColumn id="28" name="Baseline Electric Summer Consumption (kWh)" dataDxfId="529" dataCellStyle="N_Calc1">
      <calculatedColumnFormula>INDEX($K$37:$AF$1048576,MATCH(Tbl_BaselineSummary[[#This Row],[Baseline ID]:[Baseline ID]],$J$37:$J$1048576,0),MATCH(Tbl_BaselineSummary[[#Headers],[Baseline Electric Summer Consumption (kWh)]],Tbl_BaselineSummary[[#Headers],[Baseline Annual Energy Cost (USD)]:[Code Oil Annual Consumption (MMBtu)]],0))</calculatedColumnFormula>
    </tableColumn>
    <tableColumn id="13" name="Baseline Electric Baseline Winter Peak Demand (kW)" dataDxfId="528" dataCellStyle="N_Calc2">
      <calculatedColumnFormula>INDEX($K$37:$AF$1048576,MATCH(Tbl_BaselineSummary[[#This Row],[Baseline ID]:[Baseline ID]],$J$37:$J$1048576,0),MATCH(Tbl_BaselineSummary[[#Headers],[Baseline Electric Baseline Winter Peak Demand (kW)]],Tbl_BaselineSummary[[#Headers],[Baseline Annual Energy Cost (USD)]:[Code Oil Annual Consumption (MMBtu)]],0))</calculatedColumnFormula>
    </tableColumn>
    <tableColumn id="6" name="Baseline Electric Baseline Summer Peak Demand (kW)" dataDxfId="527" dataCellStyle="N_Calc2">
      <calculatedColumnFormula>INDEX($K$37:$AF$1048576,MATCH(Tbl_BaselineSummary[[#This Row],[Baseline ID]:[Baseline ID]],$J$37:$J$1048576,0),MATCH(Tbl_BaselineSummary[[#Headers],[Baseline Electric Baseline Summer Peak Demand (kW)]],Tbl_BaselineSummary[[#Headers],[Baseline Annual Energy Cost (USD)]:[Code Oil Annual Consumption (MMBtu)]],0))</calculatedColumnFormula>
    </tableColumn>
    <tableColumn id="14" name="Baseline Natural Gas Annual Consumption  (therms)" dataDxfId="526" dataCellStyle="N_Calc1">
      <calculatedColumnFormula>INDEX($K$37:$AF$1048576,MATCH(Tbl_BaselineSummary[[#This Row],[Baseline ID]:[Baseline ID]],$J$37:$J$1048576,0),MATCH(Tbl_BaselineSummary[[#Headers],[Baseline Natural Gas Annual Consumption  (therms)]],Tbl_BaselineSummary[[#Headers],[Baseline Annual Energy Cost (USD)]:[Code Oil Annual Consumption (MMBtu)]],0))</calculatedColumnFormula>
    </tableColumn>
    <tableColumn id="15" name="Baseline Propane Annual Consumption  (MMBtu)" dataDxfId="525" dataCellStyle="N_Calc1">
      <calculatedColumnFormula>INDEX($K$37:$AF$1048576,MATCH(Tbl_BaselineSummary[[#This Row],[Baseline ID]:[Baseline ID]],$J$37:$J$1048576,0),MATCH(Tbl_BaselineSummary[[#Headers],[Baseline Propane Annual Consumption  (MMBtu)]],Tbl_BaselineSummary[[#Headers],[Baseline Annual Energy Cost (USD)]:[Code Oil Annual Consumption (MMBtu)]],0))</calculatedColumnFormula>
    </tableColumn>
    <tableColumn id="16" name="Baseline Oil Annual Consumption  (MMBtu)" dataDxfId="524" dataCellStyle="N_Calc1">
      <calculatedColumnFormula>INDEX($K$37:$AF$1048576,MATCH(Tbl_BaselineSummary[[#This Row],[Baseline ID]:[Baseline ID]],$J$37:$J$1048576,0),MATCH(Tbl_BaselineSummary[[#Headers],[Baseline Oil Annual Consumption  (MMBtu)]],Tbl_BaselineSummary[[#Headers],[Baseline Annual Energy Cost (USD)]:[Code Oil Annual Consumption (MMBtu)]],0))</calculatedColumnFormula>
    </tableColumn>
    <tableColumn id="17" name="Code Annual Energy Cost (USD)" dataDxfId="523" dataCellStyle="N_Calc2">
      <calculatedColumnFormula>INDEX($K$37:$AF$1048576,MATCH(Tbl_BaselineSummary[[#This Row],[Baseline ID]:[Baseline ID]],$J$37:$J$1048576,0),MATCH(Tbl_BaselineSummary[[#Headers],[Code Annual Energy Cost (USD)]],Tbl_BaselineSummary[[#Headers],[Baseline Annual Energy Cost (USD)]:[Code Oil Annual Consumption (MMBtu)]],0))</calculatedColumnFormula>
    </tableColumn>
    <tableColumn id="5" name="Code Installed Costs (USD)" dataDxfId="522" dataCellStyle="N_Calc1">
      <calculatedColumnFormula>INDEX($K$37:$AF$1048576,MATCH(Tbl_BaselineSummary[[#This Row],[Baseline ID]:[Baseline ID]],$J$37:$J$1048576,0),MATCH(Tbl_BaselineSummary[[#Headers],[Code Installed Costs (USD)]],Tbl_BaselineSummary[[#Headers],[Baseline Annual Energy Cost (USD)]:[Code Oil Annual Consumption (MMBtu)]],0))</calculatedColumnFormula>
    </tableColumn>
    <tableColumn id="11" name="Code A/C-only Installed Cost (USD)" dataDxfId="521" dataCellStyle="N_Calc1">
      <calculatedColumnFormula>INDEX($K$37:$AF$1048576,MATCH(Tbl_BaselineSummary[[#This Row],[Baseline ID]:[Baseline ID]],$J$37:$J$1048576,0),MATCH(Tbl_BaselineSummary[[#Headers],[Code A/C-only Installed Cost (USD)]],Tbl_BaselineSummary[[#Headers],[Baseline Annual Energy Cost (USD)]:[Code Oil Annual Consumption (MMBtu)]],0))</calculatedColumnFormula>
    </tableColumn>
    <tableColumn id="18" name="Deferred Replacement Credit (USD)" dataDxfId="520" dataCellStyle="N_Calc1">
      <calculatedColumnFormula>INDEX($K$37:$AF$1048576,MATCH(Tbl_BaselineSummary[[#This Row],[Baseline ID]:[Baseline ID]],$J$37:$J$1048576,0),MATCH(Tbl_BaselineSummary[[#Headers],[Deferred Replacement Credit (USD)]],Tbl_BaselineSummary[[#Headers],[Baseline Annual Energy Cost (USD)]:[Code Oil Annual Consumption (MMBtu)]],0))</calculatedColumnFormula>
    </tableColumn>
    <tableColumn id="24" name="A/C-only Deferred Replacement Credit (USD)" dataDxfId="519" dataCellStyle="N_Calc1">
      <calculatedColumnFormula>INDEX($K$37:$AF$1048576,MATCH(Tbl_BaselineSummary[[#This Row],[Baseline ID]:[Baseline ID]],$J$37:$J$1048576,0),MATCH(Tbl_BaselineSummary[[#Headers],[A/C-only Deferred Replacement Credit (USD)]],Tbl_BaselineSummary[[#Headers],[Baseline Annual Energy Cost (USD)]:[Code Oil Annual Consumption (MMBtu)]],0))</calculatedColumnFormula>
    </tableColumn>
    <tableColumn id="19" name="Code Electric Annual Consumption (kWh)" dataDxfId="518" dataCellStyle="N_Calc2">
      <calculatedColumnFormula>INDEX($K$37:$AF$1048576,MATCH(Tbl_BaselineSummary[[#This Row],[Baseline ID]:[Baseline ID]],$J$37:$J$1048576,0),MATCH(Tbl_BaselineSummary[[#Headers],[Code Electric Annual Consumption (kWh)]],Tbl_BaselineSummary[[#Headers],[Baseline Annual Energy Cost (USD)]:[Code Oil Annual Consumption (MMBtu)]],0))</calculatedColumnFormula>
    </tableColumn>
    <tableColumn id="29" name="Code Electric Winter Consumption (kWh)" dataDxfId="517" dataCellStyle="N_Calc1">
      <calculatedColumnFormula>INDEX($K$37:$AF$1048576,MATCH(Tbl_BaselineSummary[[#This Row],[Baseline ID]:[Baseline ID]],$J$37:$J$1048576,0),MATCH(Tbl_BaselineSummary[[#Headers],[Code Electric Winter Consumption (kWh)]],Tbl_BaselineSummary[[#Headers],[Baseline Annual Energy Cost (USD)]:[Code Oil Annual Consumption (MMBtu)]],0))</calculatedColumnFormula>
    </tableColumn>
    <tableColumn id="30" name="Code Electric Summer Consumption (kWh)" dataDxfId="516" dataCellStyle="N_Calc1">
      <calculatedColumnFormula>INDEX($K$37:$AF$1048576,MATCH(Tbl_BaselineSummary[[#This Row],[Baseline ID]:[Baseline ID]],$J$37:$J$1048576,0),MATCH(Tbl_BaselineSummary[[#Headers],[Code Electric Summer Consumption (kWh)]],Tbl_BaselineSummary[[#Headers],[Baseline Annual Energy Cost (USD)]:[Code Oil Annual Consumption (MMBtu)]],0))</calculatedColumnFormula>
    </tableColumn>
    <tableColumn id="20" name="Code Electric Winter Peak Demand (kW)" dataDxfId="515" dataCellStyle="N_Calc1">
      <calculatedColumnFormula>INDEX($K$37:$AF$1048576,MATCH(Tbl_BaselineSummary[[#This Row],[Baseline ID]:[Baseline ID]],$J$37:$J$1048576,0),MATCH(Tbl_BaselineSummary[[#Headers],[Code Electric Winter Peak Demand (kW)]],Tbl_BaselineSummary[[#Headers],[Baseline Annual Energy Cost (USD)]:[Code Oil Annual Consumption (MMBtu)]],0))</calculatedColumnFormula>
    </tableColumn>
    <tableColumn id="26" name="Code Electric Summer Peak Demand (kW)" dataDxfId="514" dataCellStyle="N_Calc1">
      <calculatedColumnFormula>INDEX($K$37:$AF$1048576,MATCH(Tbl_BaselineSummary[[#This Row],[Baseline ID]:[Baseline ID]],$J$37:$J$1048576,0),MATCH(Tbl_BaselineSummary[[#Headers],[Code Electric Summer Peak Demand (kW)]],Tbl_BaselineSummary[[#Headers],[Baseline Annual Energy Cost (USD)]:[Code Oil Annual Consumption (MMBtu)]],0))</calculatedColumnFormula>
    </tableColumn>
    <tableColumn id="21" name="Code Natural Gas Annual Consumption (therms)" dataDxfId="513" dataCellStyle="N_Calc2">
      <calculatedColumnFormula>INDEX($K$37:$AF$1048576,MATCH(Tbl_BaselineSummary[[#This Row],[Baseline ID]:[Baseline ID]],$J$37:$J$1048576,0),MATCH(Tbl_BaselineSummary[[#Headers],[Code Natural Gas Annual Consumption (therms)]],Tbl_BaselineSummary[[#Headers],[Baseline Annual Energy Cost (USD)]:[Code Oil Annual Consumption (MMBtu)]],0))</calculatedColumnFormula>
    </tableColumn>
    <tableColumn id="22" name="Code Propane Annual Consumption (MMBtu)" dataDxfId="512" dataCellStyle="N_Calc2">
      <calculatedColumnFormula>INDEX($K$37:$AF$1048576,MATCH(Tbl_BaselineSummary[[#This Row],[Baseline ID]:[Baseline ID]],$J$37:$J$1048576,0),MATCH(Tbl_BaselineSummary[[#Headers],[Code Propane Annual Consumption (MMBtu)]],Tbl_BaselineSummary[[#Headers],[Baseline Annual Energy Cost (USD)]:[Code Oil Annual Consumption (MMBtu)]],0))</calculatedColumnFormula>
    </tableColumn>
    <tableColumn id="23" name="Code Oil Annual Consumption (MMBtu)" dataDxfId="511" dataCellStyle="N_Calc2">
      <calculatedColumnFormula>INDEX($K$37:$AF$1048576,MATCH(Tbl_BaselineSummary[[#This Row],[Baseline ID]:[Baseline ID]],$J$37:$J$1048576,0),MATCH(Tbl_BaselineSummary[[#Headers],[Code Oil Annual Consumption (MMBtu)]],Tbl_BaselineSummary[[#Headers],[Baseline Annual Energy Cost (USD)]:[Code Oil Annual Consumption (MMBtu)]],0))</calculatedColumnFormula>
    </tableColumn>
  </tableColumns>
  <tableStyleInfo showFirstColumn="0" showLastColumn="0" showRowStripes="1" showColumnStripes="0"/>
</table>
</file>

<file path=xl/tables/table3.xml><?xml version="1.0" encoding="utf-8"?>
<table xmlns="http://schemas.openxmlformats.org/spreadsheetml/2006/main" id="5" name="Tbl_MeasureList" displayName="Tbl_MeasureList" ref="C11:KN40" totalsRowShown="0" headerRowDxfId="505" headerRowBorderDxfId="504" headerRowCellStyle="N_Table1_Header" dataCellStyle="N_Table1_Cell">
  <autoFilter ref="C11:KN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autoFilter>
  <tableColumns count="298">
    <tableColumn id="1" name="Measure ID" dataDxfId="503" dataCellStyle="N_Input"/>
    <tableColumn id="2" name="Baseline Equipment ID" dataCellStyle="N_Calc2">
      <calculatedColumnFormula>INDEX(Tbl_BaselineSummary[Equipment ID],MATCH(Tbl_MeasureList[[#This Row],[Baseline ID]],Tbl_BaselineSummary[Baseline ID],0))</calculatedColumnFormula>
    </tableColumn>
    <tableColumn id="3" name="Baseline Name" dataDxfId="502" dataCellStyle="N_Calc1">
      <calculatedColumnFormula>INDEX(Tbl_EquipmentDefinitions[Equipment Name],MATCH('Measure List'!$D12,Tbl_EquipmentDefinitions[Equipment ID],0))</calculatedColumnFormula>
    </tableColumn>
    <tableColumn id="30" name="Baseline ID" dataDxfId="501" dataCellStyle="N_InputList"/>
    <tableColumn id="4" name="Baseline Function" dataDxfId="500" dataCellStyle="N_Calc1">
      <calculatedColumnFormula>INDEX(Tbl_EquipmentDefinitions[Function],MATCH('Measure List'!$D12,Tbl_EquipmentDefinitions[Equipment ID],0))</calculatedColumnFormula>
    </tableColumn>
    <tableColumn id="5" name="Baseline Efficiency Level" dataDxfId="499" dataCellStyle="N_InputList"/>
    <tableColumn id="6" name="Replacement ID" dataDxfId="498" dataCellStyle="N_InputList"/>
    <tableColumn id="7" name="Replacement Name" dataDxfId="497" dataCellStyle="N_Calc1">
      <calculatedColumnFormula>INDEX(Tbl_EquipmentDefinitions[Equipment Name],MATCH('Measure List'!$I12,Tbl_EquipmentDefinitions[Equipment ID],0))</calculatedColumnFormula>
    </tableColumn>
    <tableColumn id="293" name="New Unit Equipment Life (years)" dataDxfId="496" dataCellStyle="N_Calc1">
      <calculatedColumnFormula>INDEX(Tbl_EquipmentDefinitions[],MATCH(Tbl_MeasureList[[#This Row],[Replacement ID]],Tbl_EquipmentDefinitions[[Equipment ID]:[Equipment ID]],0),MATCH(Tbl_MeasureList[[#Headers],[New Unit Equipment Life (years)]],Tbl_EquipmentDefinitions[#Headers],0))</calculatedColumnFormula>
    </tableColumn>
    <tableColumn id="294" name="Remaining Life for Early Replacement (years)" dataDxfId="495" dataCellStyle="N_Calc1">
      <calculatedColumnFormula>INDEX(Tbl_EquipmentDefinitions[],MATCH(Tbl_MeasureList[[#This Row],[Baseline Equipment ID]],Tbl_EquipmentDefinitions[[Equipment ID]:[Equipment ID]],0),MATCH(Tbl_MeasureList[[#Headers],[Remaining Life for Early Replacement (years)]],Tbl_EquipmentDefinitions[#Headers],0))</calculatedColumnFormula>
    </tableColumn>
    <tableColumn id="8" name="Replacement Function" dataDxfId="494" dataCellStyle="N_Calc2">
      <calculatedColumnFormula>INDEX(Tbl_EquipmentDefinitions[Function],MATCH('Measure List'!$I12,Tbl_EquipmentDefinitions[Equipment ID],0))</calculatedColumnFormula>
    </tableColumn>
    <tableColumn id="87" name="Keep Existing Heating Equipment?" dataDxfId="493" dataCellStyle="N_InputList"/>
    <tableColumn id="9" name="Type Check" dataDxfId="492" dataCellStyle="N_Table1_Cell">
      <calculatedColumnFormula>IF(G12=M12,"OK","Different")</calculatedColumnFormula>
    </tableColumn>
    <tableColumn id="28" name="Analysis Status" dataDxfId="491" dataCellStyle="N_Calc2">
      <calculatedColumnFormula>IFERROR(INDIRECT(Tbl_MeasureList[[#This Row],[Measure ID]]&amp;"!D5"),"No tab")</calculatedColumnFormula>
    </tableColumn>
    <tableColumn id="25" name="Baseline Fuel 1" dataDxfId="490" dataCellStyle="N_Calc1">
      <calculatedColumnFormula>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calculatedColumnFormula>
    </tableColumn>
    <tableColumn id="24" name="Baseline Fuel 2" dataDxfId="489" dataCellStyle="N_Calc2">
      <calculatedColumnFormula>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calculatedColumnFormula>
    </tableColumn>
    <tableColumn id="26" name="Replacement Fuel 1" dataDxfId="488" dataCellStyle="N_Calc1">
      <calculatedColumnFormula>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calculatedColumnFormula>
    </tableColumn>
    <tableColumn id="27" name="Replacement Fuel 2" dataDxfId="487" dataCellStyle="N_Calc2">
      <calculatedColumnFormula>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calculatedColumnFormula>
    </tableColumn>
    <tableColumn id="29" name="Baseline Energy Cost (USD/yr)" dataDxfId="486" dataCellStyle="N_Calc2">
      <calculatedColumnFormula>INDEX(Tbl_BaselineSummary[Baseline Annual Energy Cost (USD)],MATCH(Tbl_MeasureList[[#This Row],[Baseline ID]],Tbl_BaselineSummary[Baseline ID],0))</calculatedColumnFormula>
    </tableColumn>
    <tableColumn id="31" name="Baseline Electric Annual Consumption (kWh/yr)" dataDxfId="485" dataCellStyle="N_Calc2">
      <calculatedColumnFormula>INDEX(Tbl_BaselineSummary[Baseline Electric Annual Consumption  (kWh)],MATCH(Tbl_MeasureList[[#This Row],[Baseline ID]],Tbl_BaselineSummary[Baseline ID],0))</calculatedColumnFormula>
    </tableColumn>
    <tableColumn id="89" name="Baseline Electric Winter Consumption (kWh/yr)" dataDxfId="484" dataCellStyle="N_Calc2">
      <calculatedColumnFormula>INDEX(Tbl_BaselineSummary[Baseline Electric Winter Consumption (kWh)],MATCH(Tbl_MeasureList[[#This Row],[Baseline ID]],Tbl_BaselineSummary[Baseline ID],0))</calculatedColumnFormula>
    </tableColumn>
    <tableColumn id="90" name="Baseline Electric Summer Consumption (kWh/yr)" dataDxfId="483" dataCellStyle="N_Calc2">
      <calculatedColumnFormula>INDEX(Tbl_BaselineSummary[Baseline Electric Summer Consumption (kWh)],MATCH(Tbl_MeasureList[[#This Row],[Baseline ID]],Tbl_BaselineSummary[Baseline ID],0))</calculatedColumnFormula>
    </tableColumn>
    <tableColumn id="32" name="Baseline Electric Winter Peak Demand (kW)" dataDxfId="482" dataCellStyle="N_Calc2">
      <calculatedColumnFormula>INDEX(Tbl_BaselineSummary[Baseline Electric Baseline Winter Peak Demand (kW)],MATCH(Tbl_MeasureList[[#This Row],[Baseline ID]],Tbl_BaselineSummary[Baseline ID],0))</calculatedColumnFormula>
    </tableColumn>
    <tableColumn id="140" name="Baseline Electric Summer Peak Demand (kW)" dataDxfId="481" dataCellStyle="N_Calc2">
      <calculatedColumnFormula>INDEX(Tbl_BaselineSummary[Baseline Electric Baseline Summer Peak Demand (kW)],MATCH(Tbl_MeasureList[[#This Row],[Baseline ID]],Tbl_BaselineSummary[Baseline ID],0))</calculatedColumnFormula>
    </tableColumn>
    <tableColumn id="33" name="Baseline Natural Gas Annual Consumption (therms/yr)" dataDxfId="480" dataCellStyle="N_Calc2">
      <calculatedColumnFormula>INDEX(Tbl_BaselineSummary[Baseline Natural Gas Annual Consumption  (therms)],MATCH(Tbl_MeasureList[[#This Row],[Baseline ID]],Tbl_BaselineSummary[Baseline ID],0))</calculatedColumnFormula>
    </tableColumn>
    <tableColumn id="34" name="Baseline Propane Annual Consumption (MMBtu/yr)" dataDxfId="479" dataCellStyle="N_Calc2">
      <calculatedColumnFormula>INDEX(Tbl_BaselineSummary[Baseline Propane Annual Consumption  (MMBtu)],MATCH(Tbl_MeasureList[[#This Row],[Baseline ID]],Tbl_BaselineSummary[Baseline ID],0))</calculatedColumnFormula>
    </tableColumn>
    <tableColumn id="35" name="Baseline Oil Annual Consumption (MMBtu/yr)" dataDxfId="478" dataCellStyle="N_Calc2">
      <calculatedColumnFormula>INDEX(Tbl_BaselineSummary[Baseline Oil Annual Consumption  (MMBtu)],MATCH(Tbl_MeasureList[[#This Row],[Baseline ID]],Tbl_BaselineSummary[Baseline ID],0))</calculatedColumnFormula>
    </tableColumn>
    <tableColumn id="277" name="Baseline Energy Consumption on MMBtu Basis (MMBtu/yr)" dataDxfId="477" dataCellStyle="N_Calc2">
      <calculatedColumnFormula>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calculatedColumnFormula>
    </tableColumn>
    <tableColumn id="133" name="Baseline Carbon Emissions, Site (tons CO2/yr)" dataDxfId="476" dataCellStyle="N_Calc2">
      <calculatedColumnFormula>(lbCO2_per_Therm_Gas*Tbl_MeasureList[[#This Row],[Baseline Natural Gas Annual Consumption (therms/yr)]]+lbCO2_per_MMBtu_Prop*Tbl_MeasureList[[#This Row],[Baseline Propane Annual Consumption (MMBtu/yr)]]+lbCO2_per_MMBtu_Oil*Tbl_MeasureList[[#This Row],[Baseline Oil Annual Consumption (MMBtu/yr)]])*Lbs_per_ShortTon</calculatedColumnFormula>
    </tableColumn>
    <tableColumn id="36" name="Baseline Carbon Emissions, Source (tons CO2/yr)" dataDxfId="475" dataCellStyle="N_Calc2">
      <calculatedColumnFormula>(lbCO2_per_MWh_Elec*Tbl_MeasureList[[#This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calculatedColumnFormula>
    </tableColumn>
    <tableColumn id="44" name="Code (old fuel) Energy Cost (USD/yr)" dataDxfId="474" dataCellStyle="N_Calc2">
      <calculatedColumnFormula>INDEX(Tbl_BaselineSummary[Code Annual Energy Cost (USD)],MATCH(Tbl_MeasureList[[#This Row],[Baseline ID]],Tbl_BaselineSummary[Baseline ID],0))</calculatedColumnFormula>
    </tableColumn>
    <tableColumn id="37" name="Code (old fuel) Deferred Replacement Credit (USD)" dataDxfId="473" dataCellStyle="N_Calc1">
      <calculatedColumnFormula>INDEX(Tbl_BaselineSummary[Deferred Replacement Credit (USD)],MATCH(Tbl_MeasureList[[#This Row],[Baseline ID]],Tbl_BaselineSummary[Baseline ID],0))</calculatedColumnFormula>
    </tableColumn>
    <tableColumn id="88" name="Code (old fuel) A/C-only Deferred Replacement Credit (USD)" dataDxfId="472" dataCellStyle="N_Calc1">
      <calculatedColumnFormula>INDEX(Tbl_BaselineSummary[A/C-only Deferred Replacement Credit (USD)],MATCH(Tbl_MeasureList[[#This Row],[Baseline ID]],Tbl_BaselineSummary[Baseline ID],0))</calculatedColumnFormula>
    </tableColumn>
    <tableColumn id="211" name="Code (old fuel) Installed Costs (USD)" dataDxfId="471" dataCellStyle="N_Calc1">
      <calculatedColumnFormula>INDEX(Tbl_BaselineSummary[Code Installed Costs (USD)],MATCH(Tbl_MeasureList[[#This Row],[Baseline ID]],Tbl_BaselineSummary[Baseline ID],0))</calculatedColumnFormula>
    </tableColumn>
    <tableColumn id="212" name="Code (old fuel) AC-Only Installed Costs (USD)" dataDxfId="470" dataCellStyle="N_Calc1">
      <calculatedColumnFormula>INDEX(Tbl_BaselineSummary[Code A/C-only Installed Cost (USD)],MATCH(Tbl_MeasureList[[#This Row],[Baseline ID]],Tbl_BaselineSummary[Baseline ID],0))</calculatedColumnFormula>
    </tableColumn>
    <tableColumn id="45" name="Code (old fuel) Electric Annual Consumption (kWh/yr)" dataDxfId="469" dataCellStyle="N_Calc2">
      <calculatedColumnFormula>INDEX(Tbl_BaselineSummary[Code Electric Annual Consumption (kWh)],MATCH(Tbl_MeasureList[[#This Row],[Baseline ID]],Tbl_BaselineSummary[Baseline ID],0))</calculatedColumnFormula>
    </tableColumn>
    <tableColumn id="109" name="Code (old fuel) Electric Winter Consumption (kWh/yr)" dataDxfId="468" dataCellStyle="N_Calc2">
      <calculatedColumnFormula>INDEX(Tbl_BaselineSummary[Code Electric Winter Consumption (kWh)],MATCH(Tbl_MeasureList[[#This Row],[Baseline ID]],Tbl_BaselineSummary[Baseline ID],0))</calculatedColumnFormula>
    </tableColumn>
    <tableColumn id="110" name="Code (old fuel) Electric Summer Consumption (kWh/yr)" dataDxfId="467" dataCellStyle="N_Calc2">
      <calculatedColumnFormula>INDEX(Tbl_BaselineSummary[Code Electric Summer Consumption (kWh)],MATCH(Tbl_MeasureList[[#This Row],[Baseline ID]],Tbl_BaselineSummary[Baseline ID],0))</calculatedColumnFormula>
    </tableColumn>
    <tableColumn id="46" name="Code (old fuel) Electric Winter Peak Demand (kW)" dataDxfId="466" dataCellStyle="N_Calc1">
      <calculatedColumnFormula>INDEX(Tbl_BaselineSummary[Code Electric Winter Peak Demand (kW)],MATCH(Tbl_MeasureList[[#This Row],[Baseline ID]],Tbl_BaselineSummary[Baseline ID],0))</calculatedColumnFormula>
    </tableColumn>
    <tableColumn id="143" name="Code (old fuel) Electric Summer Peak Demand (kW)" dataDxfId="465" dataCellStyle="N_Calc1">
      <calculatedColumnFormula>INDEX(Tbl_BaselineSummary[Code Electric Summer Peak Demand (kW)],MATCH(Tbl_MeasureList[[#This Row],[Baseline ID]],Tbl_BaselineSummary[Baseline ID],0))</calculatedColumnFormula>
    </tableColumn>
    <tableColumn id="47" name="Code (old fuel) Natural Gas Annual Consumption (therms/yr)" dataDxfId="464" dataCellStyle="N_Calc2">
      <calculatedColumnFormula>INDEX(Tbl_BaselineSummary[Code Natural Gas Annual Consumption (therms)],MATCH(Tbl_MeasureList[[#This Row],[Baseline ID]],Tbl_BaselineSummary[Baseline ID],0))</calculatedColumnFormula>
    </tableColumn>
    <tableColumn id="48" name="Code (old fuel) Propane Annual Consumption (MMBtu/yr)" dataDxfId="463" dataCellStyle="N_Calc1">
      <calculatedColumnFormula>INDEX(Tbl_BaselineSummary[Code Propane Annual Consumption (MMBtu)],MATCH(Tbl_MeasureList[[#This Row],[Baseline ID]],Tbl_BaselineSummary[Baseline ID],0))</calculatedColumnFormula>
    </tableColumn>
    <tableColumn id="49" name="Code (old fuel) Oil Annual Consumption (MMBtu/yr)" dataDxfId="462" dataCellStyle="N_Calc2">
      <calculatedColumnFormula>INDEX(Tbl_BaselineSummary[Code Oil Annual Consumption (MMBtu)],MATCH(Tbl_MeasureList[[#This Row],[Baseline ID]],Tbl_BaselineSummary[Baseline ID],0))</calculatedColumnFormula>
    </tableColumn>
    <tableColumn id="278" name="Code (old fuel) Energy Consumption on MMBtu Basis (MMBtu/yr)" dataDxfId="461" dataCellStyle="N_Calc2">
      <calculatedColumnFormula>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calculatedColumnFormula>
    </tableColumn>
    <tableColumn id="134" name="Code (old fuel) Carbon Emissions, Site (tons CO2/yr)" dataDxfId="460" dataCellStyle="N_Calc2">
      <calculatedColumnFormula>(lbCO2_per_Therm_Gas*Tbl_MeasureList[[#This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calculatedColumnFormula>
    </tableColumn>
    <tableColumn id="50" name="Code (old fuel) Carbon Emissions, Source (tons CO2/yr)" dataDxfId="459" dataCellStyle="N_Calc1">
      <calculatedColumnFormula>(lbCO2_per_MWh_Elec*Tbl_MeasureList[[#This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calculatedColumnFormula>
    </tableColumn>
    <tableColumn id="38" name="Code (new fuel) Energy Cost (USD/yr)" dataDxfId="458" dataCellStyle="N_Calc2">
      <calculatedColumnFormula>INDIRECT(Tbl_MeasureList[[#This Row],[Measure ID]]&amp;"!L26")</calculatedColumnFormula>
    </tableColumn>
    <tableColumn id="39" name="Code (new fuel) Installed Costs (USD)" dataDxfId="457" dataCellStyle="N_Calc1">
      <calculatedColumnFormula>INDIRECT(Tbl_MeasureList[[#This Row],[Measure ID]]&amp;"!M26")</calculatedColumnFormula>
    </tableColumn>
    <tableColumn id="40" name="Code (new fuel) Electric Annual Consumption (kWh/yr)" dataDxfId="456" dataCellStyle="N_Calc2">
      <calculatedColumnFormula>INDIRECT(Tbl_MeasureList[[#This Row],[Measure ID]]&amp;"!D26")</calculatedColumnFormula>
    </tableColumn>
    <tableColumn id="111" name="Code (new fuel) Electric Winter Consumption (kWh/yr)" dataDxfId="455" dataCellStyle="N_Calc2">
      <calculatedColumnFormula>INDIRECT(Tbl_MeasureList[[#This Row],[Measure ID]]&amp;"!J26")</calculatedColumnFormula>
    </tableColumn>
    <tableColumn id="112" name="Code (new fuel) Electric Summer Consumption (kWh/yr)" dataDxfId="454" dataCellStyle="N_Calc2">
      <calculatedColumnFormula>INDIRECT(Tbl_MeasureList[[#This Row],[Measure ID]]&amp;"!I26")</calculatedColumnFormula>
    </tableColumn>
    <tableColumn id="41" name="Code (new fuel) Electric Winter Peak Demand (kW)" dataDxfId="453" dataCellStyle="N_Calc1">
      <calculatedColumnFormula>INDIRECT(Tbl_MeasureList[[#This Row],[Measure ID]]&amp;"!E26")</calculatedColumnFormula>
    </tableColumn>
    <tableColumn id="144" name="Code (new fuel) Electric Summer Peak Demand (kW)" dataDxfId="452" dataCellStyle="N_Calc1">
      <calculatedColumnFormula>INDIRECT(Tbl_MeasureList[[#This Row],[Measure ID]]&amp;"!H26")</calculatedColumnFormula>
    </tableColumn>
    <tableColumn id="42" name="Code (new fuel) Natural Gas Annual Consumption (therms/yr)" dataDxfId="451" dataCellStyle="N_Calc2">
      <calculatedColumnFormula>INDIRECT(Tbl_MeasureList[[#This Row],[Measure ID]]&amp;"!D32")</calculatedColumnFormula>
    </tableColumn>
    <tableColumn id="43" name="Code (new fuel) Propane Annual Consumption (MMBtu/yr)" dataDxfId="450" dataCellStyle="N_Calc1">
      <calculatedColumnFormula>INDIRECT(Tbl_MeasureList[[#This Row],[Measure ID]]&amp;"!D38")</calculatedColumnFormula>
    </tableColumn>
    <tableColumn id="51" name="Code (new fuel) Oil Annual Consumption (MMBtu/yr)" dataDxfId="449" dataCellStyle="N_Calc2">
      <calculatedColumnFormula>INDIRECT(Tbl_MeasureList[[#This Row],[Measure ID]]&amp;"!D44")</calculatedColumnFormula>
    </tableColumn>
    <tableColumn id="279" name="Code (new fuel) Energy Consumption on MMBtu Basis (MMBtu/yr)" dataDxfId="448" dataCellStyle="N_Calc2">
      <calculatedColumnFormula>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calculatedColumnFormula>
    </tableColumn>
    <tableColumn id="135" name="Code (new fuel) Carbon Emissions, Site (tons CO2/yr)" dataDxfId="447" dataCellStyle="N_Calc2">
      <calculatedColumnFormula>(lbCO2_per_Therm_Gas*Tbl_MeasureList[[#This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calculatedColumnFormula>
    </tableColumn>
    <tableColumn id="52" name="Code (new fuel) Carbon Emissions, Source (tons CO2/yr)" dataDxfId="446" dataCellStyle="N_Calc1">
      <calculatedColumnFormula>(lbCO2_per_MWh_Elec*Tbl_MeasureList[[#This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calculatedColumnFormula>
    </tableColumn>
    <tableColumn id="10" name="Low Measure Energy Cost (USD/yr)" dataDxfId="445" dataCellStyle="N_Calc2">
      <calculatedColumnFormula>INDIRECT(Tbl_MeasureList[[#This Row],[Measure ID]]&amp;"!L27")</calculatedColumnFormula>
    </tableColumn>
    <tableColumn id="11" name="Low Measure Installed Costs (USD)" dataDxfId="444" dataCellStyle="N_Calc1">
      <calculatedColumnFormula>INDIRECT(Tbl_MeasureList[[#This Row],[Measure ID]]&amp;"!M27")</calculatedColumnFormula>
    </tableColumn>
    <tableColumn id="12" name="Low Measure Electric Annual Consumption (kWh/yr)" dataDxfId="443" dataCellStyle="N_Calc2">
      <calculatedColumnFormula>INDIRECT(Tbl_MeasureList[[#This Row],[Measure ID]]&amp;"!D27")</calculatedColumnFormula>
    </tableColumn>
    <tableColumn id="113" name="Low Measure Electric Winter Consumption (kWh/yr)" dataDxfId="442" dataCellStyle="N_Calc2">
      <calculatedColumnFormula>INDIRECT(Tbl_MeasureList[[#This Row],[Measure ID]]&amp;"!J27")</calculatedColumnFormula>
    </tableColumn>
    <tableColumn id="114" name="Low Measure Electric Summer Consumption (kWh/yr)" dataDxfId="441" dataCellStyle="N_Calc2">
      <calculatedColumnFormula>INDIRECT(Tbl_MeasureList[[#This Row],[Measure ID]]&amp;"!I27")</calculatedColumnFormula>
    </tableColumn>
    <tableColumn id="13" name="Low Measure Electric Winter Peak Demand (kW)" dataDxfId="440" dataCellStyle="N_Calc1">
      <calculatedColumnFormula>INDIRECT(Tbl_MeasureList[[#This Row],[Measure ID]]&amp;"!E27")</calculatedColumnFormula>
    </tableColumn>
    <tableColumn id="145" name="Low Measure Electric Summer Peak Demand (kW)" dataDxfId="439" dataCellStyle="N_Calc1">
      <calculatedColumnFormula>INDIRECT(Tbl_MeasureList[[#This Row],[Measure ID]]&amp;"!H27")</calculatedColumnFormula>
    </tableColumn>
    <tableColumn id="14" name="Low Measure Natural Gas Annual Consumption (therms/yr)" dataDxfId="438" dataCellStyle="N_Calc2">
      <calculatedColumnFormula>INDIRECT(Tbl_MeasureList[[#This Row],[Measure ID]]&amp;"!D33")</calculatedColumnFormula>
    </tableColumn>
    <tableColumn id="15" name="Low Measure Propane Annual Consumption (MMBtu/yr)" dataDxfId="437" dataCellStyle="N_Calc1">
      <calculatedColumnFormula>INDIRECT(Tbl_MeasureList[[#This Row],[Measure ID]]&amp;"!D39")</calculatedColumnFormula>
    </tableColumn>
    <tableColumn id="16" name="Low Measure Oil Annual Consumption (MMBtu/yr)" dataDxfId="436" dataCellStyle="N_Calc2">
      <calculatedColumnFormula>INDIRECT(Tbl_MeasureList[[#This Row],[Measure ID]]&amp;"!D45")</calculatedColumnFormula>
    </tableColumn>
    <tableColumn id="280" name="Low Measure Energy Consumption on MMBtu Basis (MMBtu/yr)" dataDxfId="435" dataCellStyle="N_Calc2">
      <calculatedColumnFormula>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calculatedColumnFormula>
    </tableColumn>
    <tableColumn id="136" name="Low Measure Carbon Emissions, Site (tons CO2/yr)" dataDxfId="434" dataCellStyle="N_Calc2">
      <calculatedColumnFormula>(lbCO2_per_Therm_Gas*Tbl_MeasureList[[#This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calculatedColumnFormula>
    </tableColumn>
    <tableColumn id="53" name="Low Measure Carbon Emissions, Source (tons CO2/yr)" dataDxfId="433" dataCellStyle="N_Calc1">
      <calculatedColumnFormula>(lbCO2_per_MWh_Elec*Tbl_MeasureList[[#This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calculatedColumnFormula>
    </tableColumn>
    <tableColumn id="17" name="High Measure Energy Cost (USD/yr)" dataDxfId="432"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calculatedColumnFormula>
    </tableColumn>
    <tableColumn id="18" name="High Measure Installed Costs (USD)" dataDxfId="431" dataCellStyle="N_Calc1">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calculatedColumnFormula>
    </tableColumn>
    <tableColumn id="19" name="High Measure Electric Annual Consumption (kWh/yr)" dataDxfId="430"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calculatedColumnFormula>
    </tableColumn>
    <tableColumn id="115" name="High Measure Electric Winter Consumption (kWh/yr)" dataDxfId="429"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calculatedColumnFormula>
    </tableColumn>
    <tableColumn id="116" name="High Measure Electric Summer Consumption (kWh/yr)" dataDxfId="428"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calculatedColumnFormula>
    </tableColumn>
    <tableColumn id="20" name="High Measure Electric Winter Peak Demand (kW)" dataDxfId="427" dataCellStyle="N_Calc1">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calculatedColumnFormula>
    </tableColumn>
    <tableColumn id="146" name="High Measure Electric Summer Peak Demand (kW)" dataDxfId="426" dataCellStyle="N_Calc1">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calculatedColumnFormula>
    </tableColumn>
    <tableColumn id="21" name="High Measure Natural Gas Annual Consumption (therms/yr)" dataDxfId="425"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calculatedColumnFormula>
    </tableColumn>
    <tableColumn id="22" name="High Measure Propane Annual Consumption (MMBtu/yr)" dataDxfId="424" dataCellStyle="N_Calc1">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calculatedColumnFormula>
    </tableColumn>
    <tableColumn id="23" name="High Measure Oil Annual Consumption (MMBtu/yr)" dataDxfId="423"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calculatedColumnFormula>
    </tableColumn>
    <tableColumn id="281" name="High Measure Energy Consumption on MMBtu Basis (MMBtu/yr)" dataDxfId="422" dataCellStyle="N_Calc2">
      <calculatedColumnFormula>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calculatedColumnFormula>
    </tableColumn>
    <tableColumn id="137" name="High Measure Carbon Emissions, Site (tons CO2/yr)" dataDxfId="421"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calculatedColumnFormula>
    </tableColumn>
    <tableColumn id="54" name="High Measure Carbon Emissions, Source (tons CO2/yr)" dataDxfId="420" dataCellStyle="N_Calc1">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calculatedColumnFormula>
    </tableColumn>
    <tableColumn id="55" name="ER Total Low Measure Energy Cost Savings (USD/yr)" dataDxfId="419" dataCellStyle="N_Calc2">
      <calculatedColumnFormula>-Tbl_MeasureList[[#This Row],[Low Measure Energy Cost (USD/yr)]]+Tbl_MeasureList[[#This Row],[Baseline Energy Cost (USD/yr)]]</calculatedColumnFormula>
    </tableColumn>
    <tableColumn id="56" name="ER Total Low Measure Incremental Installed Cost, less Deferred Replacement Credit (USD)" dataDxfId="418" dataCellStyle="N_Calc1">
      <calculatedColumnFormula>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calculatedColumnFormula>
    </tableColumn>
    <tableColumn id="57" name="ER Total Low Measure Electric Annual Consumption Savings (kWh/yr)" dataDxfId="417" dataCellStyle="N_Calc2">
      <calculatedColumnFormula>-Tbl_MeasureList[[#This Row],[Low Measure Electric Annual Consumption (kWh/yr)]]+Tbl_MeasureList[[#This Row],[Baseline Electric Annual Consumption (kWh/yr)]]</calculatedColumnFormula>
    </tableColumn>
    <tableColumn id="117" name="ER Total Low Measure Electric Winter Consumption Savings (kWh/yr)" dataDxfId="416" dataCellStyle="N_Calc2">
      <calculatedColumnFormula>IF(OR(Tbl_MeasureList[[#This Row],[Low Measure Electric Winter Consumption (kWh/yr)]]="n/a",Tbl_MeasureList[[#This Row],[Baseline Electric Winter Consumption (kWh/yr)]]="n/a"),"-",-Tbl_MeasureList[[#This Row],[Low Measure Electric Winter Consumption (kWh/yr)]]+Tbl_MeasureList[[#This Row],[Baseline Electric Winter Consumption (kWh/yr)]])</calculatedColumnFormula>
    </tableColumn>
    <tableColumn id="118" name="ER Total Low Measure Electric Summer Consumption Savings (kWh/yr)" dataDxfId="415" dataCellStyle="N_Calc2">
      <calculatedColumnFormula>IF(OR(Tbl_MeasureList[[#This Row],[Low Measure Electric Summer Consumption (kWh/yr)]]="n/a",Tbl_MeasureList[[#This Row],[Baseline Electric Summer Consumption (kWh/yr)]]="n/a"),"-",-Tbl_MeasureList[[#This Row],[Low Measure Electric Summer Consumption (kWh/yr)]]+Tbl_MeasureList[[#This Row],[Baseline Electric Summer Consumption (kWh/yr)]])</calculatedColumnFormula>
    </tableColumn>
    <tableColumn id="58" name="ER Total Low Measure Electric Winter Peak Demand Savings (kW)" dataDxfId="414" dataCellStyle="N_Calc1">
      <calculatedColumnFormula>-Tbl_MeasureList[[#This Row],[Low Measure Electric Winter Peak Demand (kW)]]+Tbl_MeasureList[[#This Row],[Baseline Electric Winter Peak Demand (kW)]]</calculatedColumnFormula>
    </tableColumn>
    <tableColumn id="147" name="ER Total Low Measure Electric Summer Peak Demand Savings (kW)" dataDxfId="413" dataCellStyle="N_Calc1">
      <calculatedColumnFormula>-Tbl_MeasureList[[#This Row],[Low Measure Electric Summer Peak Demand (kW)]]+Tbl_MeasureList[[#This Row],[Baseline Electric Summer Peak Demand (kW)]]</calculatedColumnFormula>
    </tableColumn>
    <tableColumn id="59" name="ER Total Low Measure Natural Gas Annual Consumption Savings (therms/yr)" dataDxfId="412" dataCellStyle="N_Calc2">
      <calculatedColumnFormula>-Tbl_MeasureList[[#This Row],[Low Measure Natural Gas Annual Consumption (therms/yr)]]+Tbl_MeasureList[[#This Row],[Baseline Natural Gas Annual Consumption (therms/yr)]]</calculatedColumnFormula>
    </tableColumn>
    <tableColumn id="60" name="ER Total Low Measure Propane Annual Consumption Savings (MMBtu/yr)" dataDxfId="411" dataCellStyle="N_Calc1">
      <calculatedColumnFormula>-Tbl_MeasureList[[#This Row],[Low Measure Propane Annual Consumption (MMBtu/yr)]]+Tbl_MeasureList[[#This Row],[Baseline Propane Annual Consumption (MMBtu/yr)]]</calculatedColumnFormula>
    </tableColumn>
    <tableColumn id="61" name="ER Total Low Measure Oil Annual Consumption Savings (MMBtu/yr)" dataDxfId="410" dataCellStyle="N_Calc2">
      <calculatedColumnFormula>-Tbl_MeasureList[[#This Row],[Low Measure Oil Annual Consumption (MMBtu/yr)]]+Tbl_MeasureList[[#This Row],[Baseline Oil Annual Consumption (MMBtu/yr)]]</calculatedColumnFormula>
    </tableColumn>
    <tableColumn id="129" name="ER Total Low Measure Annual Energy Savings on MMBtu Basis (MMBtu/yr)" dataDxfId="409" dataCellStyle="N_Calc1">
      <calculatedColumnFormula>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calculatedColumnFormula>
    </tableColumn>
    <tableColumn id="141" name="ER Total Low Measure Carbon Emissions Reduction, Site (tons CO2/yr)" dataDxfId="408" dataCellStyle="N_Calc2">
      <calculatedColumnFormula>-Tbl_MeasureList[[#This Row],[Low Measure Carbon Emissions, Site (tons CO2/yr)]]+Tbl_MeasureList[[#This Row],[Baseline Carbon Emissions, Site (tons CO2/yr)]]</calculatedColumnFormula>
    </tableColumn>
    <tableColumn id="62" name="ER Total Low Measure Carbon Emissions Reduction, Source (tons CO2/yr)" dataDxfId="407" dataCellStyle="N_Calc1">
      <calculatedColumnFormula>-Tbl_MeasureList[[#This Row],[Low Measure Carbon Emissions, Source (tons CO2/yr)]]+Tbl_MeasureList[[#This Row],[Baseline Carbon Emissions, Source (tons CO2/yr)]]</calculatedColumnFormula>
    </tableColumn>
    <tableColumn id="63" name="ER Total High Measure Energy Cost Savings (USD/yr)" dataDxfId="406"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calculatedColumnFormula>
    </tableColumn>
    <tableColumn id="64" name="ER Total High Measure Incremental Installed Cost, Less Deferred Replacement Credit (USD)" dataDxfId="405" dataCellStyle="N_Calc1">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calculatedColumnFormula>
    </tableColumn>
    <tableColumn id="65" name="ER Total High Measure Electric Annual Consumption Savings (kWh/yr)" dataDxfId="404"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calculatedColumnFormula>
    </tableColumn>
    <tableColumn id="119" name="ER Total High Measure Electric Winter Consumption Savings (kWh/yr)" dataDxfId="403"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calculatedColumnFormula>
    </tableColumn>
    <tableColumn id="120" name="ER Total High Measure Electric Summer Consumption Savings (kWh/yr)" dataDxfId="402"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calculatedColumnFormula>
    </tableColumn>
    <tableColumn id="66" name="ER Total High Measure Electric Winter Peak Demand Savings (kW)" dataDxfId="401" dataCellStyle="N_Calc1">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calculatedColumnFormula>
    </tableColumn>
    <tableColumn id="148" name="ER Total High Measure Electric Summer Peak Demand Savings (kW)" dataDxfId="400" dataCellStyle="N_Calc1">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calculatedColumnFormula>
    </tableColumn>
    <tableColumn id="67" name="ER Total High Measure Natural Gas Annual Consumption Savings (therms/yr)" dataDxfId="399"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calculatedColumnFormula>
    </tableColumn>
    <tableColumn id="68" name="ER Total High Measure Propane Annual Consumption Savings (MMBtu/yr)" dataDxfId="398" dataCellStyle="N_Calc1">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calculatedColumnFormula>
    </tableColumn>
    <tableColumn id="69" name="ER Total High Measure Oil Annual Consumption Savings (MMBtu/yr)" dataDxfId="397"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calculatedColumnFormula>
    </tableColumn>
    <tableColumn id="130" name="ER Total High Measure Annual Energy Savings on MMBtu Basis (MMBtu/yr)" dataDxfId="396" dataCellStyle="N_Calc1">
      <calculatedColumnFormula>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calculatedColumnFormula>
    </tableColumn>
    <tableColumn id="142" name="ER Total High Measure Carbon Emissions Reduction, Site (tons CO2/yr)" dataDxfId="395"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calculatedColumnFormula>
    </tableColumn>
    <tableColumn id="70" name="ER Total High Measure Carbon Emissions Reduction, Source (tons CO2/yr)" dataDxfId="394" dataCellStyle="N_Calc1">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calculatedColumnFormula>
    </tableColumn>
    <tableColumn id="71" name="ROF Low Measure Energy Cost Savings (USD/yr)" dataDxfId="393" dataCellStyle="N_Calc2">
      <calculatedColumnFormula>-Tbl_MeasureList[[#This Row],[Low Measure Energy Cost (USD/yr)]]+Tbl_MeasureList[[#This Row],[Code (old fuel) Energy Cost (USD/yr)]]</calculatedColumnFormula>
    </tableColumn>
    <tableColumn id="72" name="ROF Low Measure Incremental Installed Cost (USD)" dataDxfId="392" dataCellStyle="N_Calc1">
      <calculatedColumnFormula>Tbl_MeasureList[[#This Row],[Low Measure Installed Costs (USD)]]-Tbl_MeasureList[[#This Row],[Code (old fuel) Installed Costs (USD)]]</calculatedColumnFormula>
    </tableColumn>
    <tableColumn id="73" name="ROF Low Measure Electric Annual Consumption Savings (kWh/yr)" dataDxfId="391" dataCellStyle="N_Calc2">
      <calculatedColumnFormula>-Tbl_MeasureList[[#This Row],[Low Measure Electric Annual Consumption (kWh/yr)]]+Tbl_MeasureList[[#This Row],[Code (old fuel) Electric Annual Consumption (kWh/yr)]]</calculatedColumnFormula>
    </tableColumn>
    <tableColumn id="121" name="ROF Low Measure Electric Winter Consumption Savings (kWh/yr)" dataDxfId="390" dataCellStyle="N_Calc2">
      <calculatedColumnFormula>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calculatedColumnFormula>
    </tableColumn>
    <tableColumn id="122" name="ROF Low Measure Electric Summer Consumption Savings (kWh/yr)" dataDxfId="389" dataCellStyle="N_Calc2">
      <calculatedColumnFormula>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calculatedColumnFormula>
    </tableColumn>
    <tableColumn id="74" name="ROF Low Measure Electric Winter Peak Demand Savings (kW)" dataDxfId="388" dataCellStyle="N_Calc1">
      <calculatedColumnFormula>-Tbl_MeasureList[[#This Row],[Low Measure Electric Winter Peak Demand (kW)]]+Tbl_MeasureList[[#This Row],[Code (old fuel) Electric Winter Peak Demand (kW)]]</calculatedColumnFormula>
    </tableColumn>
    <tableColumn id="149" name="ROF Low Measure Electric Summer Peak Demand Savings (kW)" dataDxfId="387" dataCellStyle="N_Calc1">
      <calculatedColumnFormula>-Tbl_MeasureList[[#This Row],[Low Measure Electric Summer Peak Demand (kW)]]+Tbl_MeasureList[[#This Row],[Code (old fuel) Electric Summer Peak Demand (kW)]]</calculatedColumnFormula>
    </tableColumn>
    <tableColumn id="75" name="ROF Low Measure Natural Gas Annual Consumption Savings (therms/yr)" dataDxfId="386" dataCellStyle="N_Calc2">
      <calculatedColumnFormula>-Tbl_MeasureList[[#This Row],[Low Measure Natural Gas Annual Consumption (therms/yr)]]+Tbl_MeasureList[[#This Row],[Code (old fuel) Natural Gas Annual Consumption (therms/yr)]]</calculatedColumnFormula>
    </tableColumn>
    <tableColumn id="76" name="ROF Low Measure Propane Annual Consumption Savings (MMBtu/yr)" dataDxfId="385" dataCellStyle="N_Calc1">
      <calculatedColumnFormula>-Tbl_MeasureList[[#This Row],[Low Measure Propane Annual Consumption (MMBtu/yr)]]+Tbl_MeasureList[[#This Row],[Code (old fuel) Propane Annual Consumption (MMBtu/yr)]]</calculatedColumnFormula>
    </tableColumn>
    <tableColumn id="77" name="ROF Low Measure Oil Annual Consumption Savings (MMBtu/yr)" dataDxfId="384" dataCellStyle="N_Calc2">
      <calculatedColumnFormula>-Tbl_MeasureList[[#This Row],[Low Measure Oil Annual Consumption (MMBtu/yr)]]+Tbl_MeasureList[[#This Row],[Code (old fuel) Oil Annual Consumption (MMBtu/yr)]]</calculatedColumnFormula>
    </tableColumn>
    <tableColumn id="131" name="ROF Low Measure Annual Energy Savings on MMBtu Basis (MMBtu/yr)" dataDxfId="383" dataCellStyle="N_Calc1">
      <calculatedColumnFormula>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calculatedColumnFormula>
    </tableColumn>
    <tableColumn id="138" name="ROF Low Measure Carbon Emissions Reduction, Site (tons CO2/yr)" dataDxfId="382" dataCellStyle="N_Calc2">
      <calculatedColumnFormula>-Tbl_MeasureList[[#This Row],[Low Measure Carbon Emissions, Site (tons CO2/yr)]]+Tbl_MeasureList[[#This Row],[Code (old fuel) Carbon Emissions, Site (tons CO2/yr)]]</calculatedColumnFormula>
    </tableColumn>
    <tableColumn id="78" name="ROF Low Measure Carbon Emissions Reduction, Source (tons CO2/yr)" dataDxfId="381" dataCellStyle="N_Calc1">
      <calculatedColumnFormula>-Tbl_MeasureList[[#This Row],[Low Measure Carbon Emissions, Source (tons CO2/yr)]]+Tbl_MeasureList[[#This Row],[Code (old fuel) Carbon Emissions, Source (tons CO2/yr)]]</calculatedColumnFormula>
    </tableColumn>
    <tableColumn id="79" name="ROF High Measure Energy Cost Savings (USD/yr)" dataDxfId="380"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(new fuel) Energy Cost (USD/yr)]],
        "-")</calculatedColumnFormula>
    </tableColumn>
    <tableColumn id="80" name="ROF High Measure Incremental Installed Cost (USD)" dataDxfId="379" dataCellStyle="N_Calc1">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calculatedColumnFormula>
    </tableColumn>
    <tableColumn id="81" name="ROF High Measure Electric Annual Consumption Savings (kWh/yr)" dataDxfId="378"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calculatedColumnFormula>
    </tableColumn>
    <tableColumn id="123" name="ROF High Measure Electric Winter Consumption Savings (kWh/yr)" dataDxfId="377"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calculatedColumnFormula>
    </tableColumn>
    <tableColumn id="124" name="ROF High Measure Electric Summer Consumption Savings (kWh/yr)" dataDxfId="376"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calculatedColumnFormula>
    </tableColumn>
    <tableColumn id="82" name="ROF High Measure Electric Winter Peak Demand Savings (kW)" dataDxfId="375" dataCellStyle="N_Calc1">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calculatedColumnFormula>
    </tableColumn>
    <tableColumn id="150" name="ROF High Measure Electric Summer Peak Demand Savings (kW)" dataDxfId="374" dataCellStyle="N_Calc1">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calculatedColumnFormula>
    </tableColumn>
    <tableColumn id="83" name="ROF High Measure Natural Gas Annual Consumption Savings (therms/yr)" dataDxfId="373"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calculatedColumnFormula>
    </tableColumn>
    <tableColumn id="84" name="ROF High Measure Propane Annual Consumption Savings (MMBtu/yr)" dataDxfId="372" dataCellStyle="N_Calc1">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calculatedColumnFormula>
    </tableColumn>
    <tableColumn id="85" name="ROF High Measure Oil Annual Consumption Savings (MMBtu/yr)" dataDxfId="371"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calculatedColumnFormula>
    </tableColumn>
    <tableColumn id="132" name="ROF High Measure Annual Energy Savings on MMBtu Basis (MMBtu/yr)" dataDxfId="370" dataCellStyle="N_Calc1">
      <calculatedColumnFormula>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calculatedColumnFormula>
    </tableColumn>
    <tableColumn id="139" name="ROF High Measure Carbon Emissions Reduction, Site (tons CO2/yr)" dataDxfId="369"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calculatedColumnFormula>
    </tableColumn>
    <tableColumn id="86" name="ROF High Measure Carbon Emissions Reduction, Source (tons CO2/yr)" dataDxfId="368" dataCellStyle="N_Calc1">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calculatedColumnFormula>
    </tableColumn>
    <tableColumn id="295" name="Fuel Switch Energy Cost Savings (USD/yr)" dataDxfId="367" dataCellStyle="N_Calc1">
      <calculatedColumnFormula>Tbl_MeasureList[[#This Row],[Code (old fuel) Energy Cost (USD/yr)]]-Tbl_MeasureList[[#This Row],[Code (new fuel) Energy Cost (USD/yr)]]</calculatedColumnFormula>
    </tableColumn>
    <tableColumn id="296" name="Fuel Switch Electric Annual Consumption Savings (kWh/yr)" dataDxfId="366" dataCellStyle="N_Calc1">
      <calculatedColumnFormula>Tbl_MeasureList[[#This Row],[Code (old fuel) Electric Annual Consumption (kWh/yr)]]-Tbl_MeasureList[[#This Row],[Code (new fuel) Electric Annual Consumption (kWh/yr)]]</calculatedColumnFormula>
    </tableColumn>
    <tableColumn id="125" name="Fuel Switch Electric Winter Consumption Savings (kWh/yr)" dataDxfId="365" dataCellStyle="N_Calc1">
      <calculatedColumnFormula>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calculatedColumnFormula>
    </tableColumn>
    <tableColumn id="126" name="Fuel Switch Electric Summer Consumption Savings (kWh/yr)" dataDxfId="364" dataCellStyle="N_Calc1">
      <calculatedColumnFormula>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calculatedColumnFormula>
    </tableColumn>
    <tableColumn id="304" name="Fuel Switch Electric Winter Peak Demand Savings (kW)" dataDxfId="363" dataCellStyle="N_Calc1">
      <calculatedColumnFormula>Tbl_MeasureList[[#This Row],[Code (old fuel) Electric Winter Peak Demand (kW)]]-Tbl_MeasureList[[#This Row],[Code (new fuel) Electric Winter Peak Demand (kW)]]</calculatedColumnFormula>
    </tableColumn>
    <tableColumn id="297" name="Fuel Switch Electric Summer Peak Demand Savings (kW)" dataDxfId="362" dataCellStyle="N_Calc1">
      <calculatedColumnFormula>Tbl_MeasureList[[#This Row],[Code (old fuel) Electric Summer Peak Demand (kW)]]-Tbl_MeasureList[[#This Row],[Code (new fuel) Electric Summer Peak Demand (kW)]]</calculatedColumnFormula>
    </tableColumn>
    <tableColumn id="298" name="Fuel Switch Natural Gas Annual Consumption Savings (therms/yr)" dataDxfId="361" dataCellStyle="N_Calc1">
      <calculatedColumnFormula>Tbl_MeasureList[[#This Row],[Code (old fuel) Natural Gas Annual Consumption (therms/yr)]]-Tbl_MeasureList[[#This Row],[Code (new fuel) Natural Gas Annual Consumption (therms/yr)]]</calculatedColumnFormula>
    </tableColumn>
    <tableColumn id="299" name="Fuel Switch Propane Annual Consumption Savings (MMBtu/yr)" dataDxfId="360" dataCellStyle="N_Calc1">
      <calculatedColumnFormula>Tbl_MeasureList[[#This Row],[Code (old fuel) Propane Annual Consumption (MMBtu/yr)]]-Tbl_MeasureList[[#This Row],[Code (new fuel) Propane Annual Consumption (MMBtu/yr)]]</calculatedColumnFormula>
    </tableColumn>
    <tableColumn id="300" name="Fuel Switch Oil Annual Consumption Savings (MMBtu/yr)" dataDxfId="359" dataCellStyle="N_Calc1">
      <calculatedColumnFormula>Tbl_MeasureList[[#This Row],[Code (old fuel) Oil Annual Consumption (MMBtu/yr)]]-Tbl_MeasureList[[#This Row],[Code (new fuel) Oil Annual Consumption (MMBtu/yr)]]</calculatedColumnFormula>
    </tableColumn>
    <tableColumn id="301" name="Fuel Switch Annual Energy Savings on MMBtu Basis (MMBtu/yr)" dataDxfId="358" dataCellStyle="N_Calc1">
      <calculatedColumnFormula>Tbl_MeasureList[[#This Row],[Code (old fuel) Energy Consumption on MMBtu Basis (MMBtu/yr)]]-Tbl_MeasureList[[#This Row],[Code (new fuel) Energy Consumption on MMBtu Basis (MMBtu/yr)]]</calculatedColumnFormula>
    </tableColumn>
    <tableColumn id="302" name="Fuel Switch Carbon Emissions Reduction, Site (tons CO2/yr)" dataDxfId="357" dataCellStyle="N_Calc1">
      <calculatedColumnFormula>Tbl_MeasureList[[#This Row],[Code (old fuel) Carbon Emissions, Site (tons CO2/yr)]]-Tbl_MeasureList[[#This Row],[Code (new fuel) Carbon Emissions, Site (tons CO2/yr)]]</calculatedColumnFormula>
    </tableColumn>
    <tableColumn id="303" name="Fuel Switch Carbon Emissions Reduction, Source (tons CO2/yr)" dataDxfId="356" dataCellStyle="N_Calc1">
      <calculatedColumnFormula>Tbl_MeasureList[[#This Row],[Code (old fuel) Carbon Emissions, Source (tons CO2/yr)]]-Tbl_MeasureList[[#This Row],[Code (new fuel) Carbon Emissions, Source (tons CO2/yr)]]</calculatedColumnFormula>
    </tableColumn>
    <tableColumn id="213" name="Current ER Total Low Measure Coal Source Heat Savings (MMBtu/year)" dataDxfId="355" dataCellStyle="N_Calc1">
      <calculatedColumnFormula>Tbl_MeasureList[[#This Row],[ER Total Low Measure Electric Annual Consumption Savings (kWh/yr)]]*COAL_BTU_PER_SITE_KWH/Btu_per_MMBtu</calculatedColumnFormula>
    </tableColumn>
    <tableColumn id="214" name="Current ER Total Low Measure Coal Source Fuel Savings (lbs coal/year)" dataDxfId="354" dataCellStyle="N_Calc1">
      <calculatedColumnFormula>Tbl_MeasureList[[#This Row],[ER Total Low Measure Electric Annual Consumption Savings (kWh/yr)]]*COAL_LBS_PER_SITE_KWH</calculatedColumnFormula>
    </tableColumn>
    <tableColumn id="91" name="Current ER Total Low Measure Oil Source Heat Savings (MMBtu/year)" dataDxfId="353" dataCellStyle="N_Table1_Cell">
      <calculatedColumnFormula>Tbl_MeasureList[[#This Row],[ER Total Low Measure Electric Annual Consumption Savings (kWh/yr)]]*OIL_BTU_PER_SITE_KWH/Btu_per_MMBtu</calculatedColumnFormula>
    </tableColumn>
    <tableColumn id="92" name="Current ER Total Low Measure Oil Source Fuel Savings (gallons oil/year)" dataDxfId="352" dataCellStyle="N_Table1_Cell">
      <calculatedColumnFormula>Tbl_MeasureList[[#This Row],[ER Total Low Measure Electric Annual Consumption Savings (kWh/yr)]]*OIL_GAL_PER_SITE_KWH</calculatedColumnFormula>
    </tableColumn>
    <tableColumn id="93" name="Current ER Total Low Measure Oil Site Fuel Savings (gallons oil/year)" dataDxfId="351" dataCellStyle="N_Table1_Cell">
      <calculatedColumnFormula>Tbl_MeasureList[[#This Row],[ER Total Low Measure Oil Annual Consumption Savings (MMBtu/yr)]]*Btu_per_MMBtu/OIL_BTU_PER_GAL</calculatedColumnFormula>
    </tableColumn>
    <tableColumn id="94" name="Current ER Total Low Measure Oil Total Fuel Savings (gallons oil/year)" dataDxfId="350" dataCellStyle="N_Table1_Cell">
      <calculatedColumnFormula>Tbl_MeasureList[[#This Row],[Current ER Total Low Measure Oil Source Fuel Savings (gallons oil/year)]]+Tbl_MeasureList[[#This Row],[Current ER Total Low Measure Oil Site Fuel Savings (gallons oil/year)]]</calculatedColumnFormula>
    </tableColumn>
    <tableColumn id="95" name="Current ER Total Low Measure Gas Source Heat Savings (MMBtu/year)" dataDxfId="349" dataCellStyle="N_Table1_Cell">
      <calculatedColumnFormula>Tbl_MeasureList[[#This Row],[ER Total Low Measure Electric Annual Consumption Savings (kWh/yr)]]*GAS_BTU_PER_SITE_KWH/Btu_per_MMBtu</calculatedColumnFormula>
    </tableColumn>
    <tableColumn id="96" name="Current ER Total Low Measure Gas Source Fuel Savings (1,000 cu.ft. gas/year)" dataDxfId="348" dataCellStyle="N_Table1_Cell">
      <calculatedColumnFormula>Tbl_MeasureList[[#This Row],[ER Total Low Measure Electric Annual Consumption Savings (kWh/yr)]]*GAS_CUFT_PER_SITE_KWH/1000</calculatedColumnFormula>
    </tableColumn>
    <tableColumn id="97" name="Current ER Total Low Measure Gas Site Fuel Savings (1,000 cu.ft gas/year)" dataDxfId="347" dataCellStyle="N_Table1_Cell">
      <calculatedColumnFormula>Tbl_MeasureList[[#This Row],[ER Total Low Measure Natural Gas Annual Consumption Savings (therms/yr)]]*Btu_per_MMBtu/(GAS_BTU_PER_CUFT*Therm_per_MMBtu*1000)</calculatedColumnFormula>
    </tableColumn>
    <tableColumn id="98" name="Current ER Total Low Measure Gas Total Fuel Savings (1,000 cu.ft. gas/year)" dataDxfId="346" dataCellStyle="N_Table1_Cell">
      <calculatedColumnFormula>Tbl_MeasureList[[#This Row],[Current ER Total Low Measure Gas Source Fuel Savings (1,000 cu.ft. gas/year)]]+Tbl_MeasureList[[#This Row],[Current ER Total Low Measure Gas Site Fuel Savings (1,000 cu.ft gas/year)]]</calculatedColumnFormula>
    </tableColumn>
    <tableColumn id="99" name="Current ER Total High Measure Coal Source Heat Savings (MMBtu/year)" dataDxfId="345" dataCellStyle="N_Table1_Cell">
      <calculatedColumnFormula>IFERROR(Tbl_MeasureList[[#This Row],[ER Total High Measure Electric Annual Consumption Savings (kWh/yr)]]*COAL_BTU_PER_SITE_KWH/Btu_per_MMBtu,"-")</calculatedColumnFormula>
    </tableColumn>
    <tableColumn id="100" name="Current ER Total High Measure Coal Source Fuel Savings (lbs coal/year)" dataDxfId="344" dataCellStyle="N_Table1_Cell">
      <calculatedColumnFormula>IFERROR(Tbl_MeasureList[[#This Row],[ER Total High Measure Electric Annual Consumption Savings (kWh/yr)]]*COAL_LBS_PER_SITE_KWH,"-")</calculatedColumnFormula>
    </tableColumn>
    <tableColumn id="101" name="Current ER Total High Measure Oil Source Heat Savings (MMBtu/year)" dataDxfId="343" dataCellStyle="N_Table1_Cell">
      <calculatedColumnFormula>IFERROR(Tbl_MeasureList[[#This Row],[ER Total High Measure Electric Annual Consumption Savings (kWh/yr)]]*OIL_BTU_PER_SITE_KWH/Btu_per_MMBtu,"-")</calculatedColumnFormula>
    </tableColumn>
    <tableColumn id="102" name="Current ER Total High Measure Oil Source Fuel Savings (gallons oil/year)" dataDxfId="342" dataCellStyle="N_Table1_Cell">
      <calculatedColumnFormula>IFERROR(Tbl_MeasureList[[#This Row],[ER Total High Measure Electric Annual Consumption Savings (kWh/yr)]]*OIL_GAL_PER_SITE_KWH,"-")</calculatedColumnFormula>
    </tableColumn>
    <tableColumn id="103" name="Current ER Total High Measure Oil Site Fuel Savings (gallons oil/year)" dataDxfId="341" dataCellStyle="N_Table1_Cell">
      <calculatedColumnFormula>IFERROR(Tbl_MeasureList[[#This Row],[ER Total High Measure Oil Annual Consumption Savings (MMBtu/yr)]]*Btu_per_MMBtu/OIL_BTU_PER_GAL,"-")</calculatedColumnFormula>
    </tableColumn>
    <tableColumn id="104" name="Current ER Total High Measure Oil Total Fuel Savings (gallons oil/year)" dataDxfId="340" dataCellStyle="N_Table1_Cell">
      <calculatedColumnFormula>IFERROR(Tbl_MeasureList[[#This Row],[Current ER Total High Measure Oil Source Fuel Savings (gallons oil/year)]]+Tbl_MeasureList[[#This Row],[Current ER Total High Measure Oil Site Fuel Savings (gallons oil/year)]],"-")</calculatedColumnFormula>
    </tableColumn>
    <tableColumn id="105" name="Current ER Total High Measure Gas Source Heat Savings (MMBtu/year)" dataDxfId="339" dataCellStyle="N_Table1_Cell">
      <calculatedColumnFormula>IFERROR(Tbl_MeasureList[[#This Row],[ER Total High Measure Electric Annual Consumption Savings (kWh/yr)]]*GAS_BTU_PER_SITE_KWH/Btu_per_MMBtu,"-")</calculatedColumnFormula>
    </tableColumn>
    <tableColumn id="106" name="Current ER Total High Measure Gas Source Fuel Savings (1,000 cu.ft. gas/year)" dataDxfId="338" dataCellStyle="N_Table1_Cell">
      <calculatedColumnFormula>IFERROR(Tbl_MeasureList[[#This Row],[ER Total High Measure Electric Annual Consumption Savings (kWh/yr)]]*GAS_CUFT_PER_SITE_KWH/1000,"-")</calculatedColumnFormula>
    </tableColumn>
    <tableColumn id="107" name="Current ER Total High Measure Gas Site Fuel Savings (1,000 cu.ft gas/year)" dataDxfId="337" dataCellStyle="N_Table1_Cell">
      <calculatedColumnFormula>IFERROR(Tbl_MeasureList[[#This Row],[ER Total High Measure Natural Gas Annual Consumption Savings (therms/yr)]]*Btu_per_MMBtu/(GAS_BTU_PER_CUFT*Therm_per_MMBtu*1000),"-")</calculatedColumnFormula>
    </tableColumn>
    <tableColumn id="108" name="Current ER Total High Measure Gas Total Fuel Savings (1,000 cu.ft. gas/year)" dataDxfId="336" dataCellStyle="N_Table1_Cell">
      <calculatedColumnFormula>IFERROR(Tbl_MeasureList[[#This Row],[Current ER Total High Measure Gas Source Fuel Savings (1,000 cu.ft. gas/year)]]+Tbl_MeasureList[[#This Row],[Current ER Total High Measure Gas Site Fuel Savings (1,000 cu.ft gas/year)]],"-")</calculatedColumnFormula>
    </tableColumn>
    <tableColumn id="215" name="Current ROF Low Measure Coal Source Heat Savings (MMBtu/year)" dataDxfId="335" dataCellStyle="N_Calc2">
      <calculatedColumnFormula>Tbl_MeasureList[[#This Row],[ROF Low Measure Electric Annual Consumption Savings (kWh/yr)]]*COAL_BTU_PER_SITE_KWH/Btu_per_MMBtu</calculatedColumnFormula>
    </tableColumn>
    <tableColumn id="216" name="Current ROF Low Measure Coal Source Fuel Savings (lbs coal/year)" dataDxfId="334" dataCellStyle="N_Table1_Cell">
      <calculatedColumnFormula>Tbl_MeasureList[[#This Row],[ROF Low Measure Electric Annual Consumption Savings (kWh/yr)]]*COAL_LBS_PER_SITE_KWH</calculatedColumnFormula>
    </tableColumn>
    <tableColumn id="217" name="Current ROF Low Measure Oil Source Heat Savings (MMBtu/year)" dataDxfId="333" dataCellStyle="N_Calc2">
      <calculatedColumnFormula>Tbl_MeasureList[[#This Row],[ROF Low Measure Electric Annual Consumption Savings (kWh/yr)]]*OIL_BTU_PER_SITE_KWH/Btu_per_MMBtu</calculatedColumnFormula>
    </tableColumn>
    <tableColumn id="218" name="Current ROF Low Measure Oil Source Fuel Savings (gallons oil/year)" dataDxfId="332" dataCellStyle="N_Table1_Cell">
      <calculatedColumnFormula>Tbl_MeasureList[[#This Row],[ROF Low Measure Electric Annual Consumption Savings (kWh/yr)]]*OIL_GAL_PER_SITE_KWH</calculatedColumnFormula>
    </tableColumn>
    <tableColumn id="219" name="Current ROF Low Measure Oil Site Fuel Savings (gallons oil/year)" dataDxfId="331" dataCellStyle="N_Calc2">
      <calculatedColumnFormula>Tbl_MeasureList[[#This Row],[ROF Low Measure Oil Annual Consumption Savings (MMBtu/yr)]]*Btu_per_MMBtu/OIL_BTU_PER_GAL</calculatedColumnFormula>
    </tableColumn>
    <tableColumn id="220" name="Current ROF Low Measure Oil Total Fuel Savings (gallons oil/year)" dataDxfId="330" dataCellStyle="N_Table1_Cell">
      <calculatedColumnFormula>Tbl_MeasureList[[#This Row],[Current ROF Low Measure Oil Source Fuel Savings (gallons oil/year)]]+Tbl_MeasureList[[#This Row],[Current ROF Low Measure Oil Site Fuel Savings (gallons oil/year)]]</calculatedColumnFormula>
    </tableColumn>
    <tableColumn id="221" name="Current ROF Low Measure Gas Source Heat Savings (MMBtu/year)" dataDxfId="329" dataCellStyle="N_Calc2">
      <calculatedColumnFormula>Tbl_MeasureList[[#This Row],[ROF Low Measure Electric Annual Consumption Savings (kWh/yr)]]*GAS_BTU_PER_SITE_KWH/Btu_per_MMBtu</calculatedColumnFormula>
    </tableColumn>
    <tableColumn id="222" name="Current ROF Low Measure Gas Source Fuel Savings (1,000 cu.ft. gas/year)" dataDxfId="328" dataCellStyle="N_Table1_Cell">
      <calculatedColumnFormula>Tbl_MeasureList[[#This Row],[ROF Low Measure Electric Annual Consumption Savings (kWh/yr)]]*GAS_CUFT_PER_SITE_KWH/1000</calculatedColumnFormula>
    </tableColumn>
    <tableColumn id="223" name="Current ROF Low Measure Gas Site Fuel Savings (1,000 cu.ft gas/year)" dataDxfId="327" dataCellStyle="N_Calc2">
      <calculatedColumnFormula>Tbl_MeasureList[[#This Row],[ROF Low Measure Natural Gas Annual Consumption Savings (therms/yr)]]*Btu_per_MMBtu/(GAS_BTU_PER_CUFT*Therm_per_MMBtu*1000)</calculatedColumnFormula>
    </tableColumn>
    <tableColumn id="224" name="Current ROF Low Measure Gas Total Fuel Savings (1,000 cu.ft. gas/year)" dataDxfId="326" dataCellStyle="N_Table1_Cell">
      <calculatedColumnFormula>Tbl_MeasureList[[#This Row],[Current ROF Low Measure Gas Source Fuel Savings (1,000 cu.ft. gas/year)]]+Tbl_MeasureList[[#This Row],[Current ROF Low Measure Gas Site Fuel Savings (1,000 cu.ft gas/year)]]</calculatedColumnFormula>
    </tableColumn>
    <tableColumn id="225" name="Current ROF High Measure Coal Source Heat Savings (MMBtu/year)" dataDxfId="325" dataCellStyle="N_Calc2">
      <calculatedColumnFormula>IFERROR(Tbl_MeasureList[[#This Row],[ROF High Measure Electric Annual Consumption Savings (kWh/yr)]]*COAL_BTU_PER_SITE_KWH/Btu_per_MMBtu,"-")</calculatedColumnFormula>
    </tableColumn>
    <tableColumn id="226" name="Current ROF High Measure Coal Source Fuel Savings (lbs coal/year)" dataDxfId="324" dataCellStyle="N_Table1_Cell">
      <calculatedColumnFormula>IFERROR(Tbl_MeasureList[[#This Row],[ROF High Measure Electric Annual Consumption Savings (kWh/yr)]]*COAL_LBS_PER_SITE_KWH,"-")</calculatedColumnFormula>
    </tableColumn>
    <tableColumn id="227" name="Current ROF High Measure Oil Source Heat Savings (MMBtu/year)" dataDxfId="323" dataCellStyle="N_Calc2">
      <calculatedColumnFormula>IFERROR(Tbl_MeasureList[[#This Row],[ROF High Measure Electric Annual Consumption Savings (kWh/yr)]]*OIL_BTU_PER_SITE_KWH/Btu_per_MMBtu,"-")</calculatedColumnFormula>
    </tableColumn>
    <tableColumn id="228" name="Current ROF High Measure Oil Source Fuel Savings (gallons oil/year)" dataDxfId="322" dataCellStyle="N_Table1_Cell">
      <calculatedColumnFormula>IFERROR(Tbl_MeasureList[[#This Row],[ROF High Measure Electric Annual Consumption Savings (kWh/yr)]]*OIL_GAL_PER_SITE_KWH,"-")</calculatedColumnFormula>
    </tableColumn>
    <tableColumn id="229" name="Current ROF High Measure Oil Site Fuel Savings (gallons oil/year)" dataDxfId="321" dataCellStyle="N_Calc2">
      <calculatedColumnFormula>IFERROR(Tbl_MeasureList[[#This Row],[ROF High Measure Oil Annual Consumption Savings (MMBtu/yr)]]*Btu_per_MMBtu/OIL_BTU_PER_GAL,"-")</calculatedColumnFormula>
    </tableColumn>
    <tableColumn id="230" name="Current ROF High Measure Oil Total Fuel Savings (gallons oil/year)" dataDxfId="320" dataCellStyle="N_Table1_Cell">
      <calculatedColumnFormula>IFERROR(Tbl_MeasureList[[#This Row],[Current ROF High Measure Oil Source Fuel Savings (gallons oil/year)]]+Tbl_MeasureList[[#This Row],[Current ROF High Measure Oil Site Fuel Savings (gallons oil/year)]],"-")</calculatedColumnFormula>
    </tableColumn>
    <tableColumn id="231" name="Current ROF High Measure Gas Source Heat Savings (MMBtu/year)" dataDxfId="319" dataCellStyle="N_Calc2">
      <calculatedColumnFormula>IFERROR(Tbl_MeasureList[[#This Row],[ROF High Measure Electric Annual Consumption Savings (kWh/yr)]]*GAS_BTU_PER_SITE_KWH/Btu_per_MMBtu,"-")</calculatedColumnFormula>
    </tableColumn>
    <tableColumn id="232" name="Current ROF High Measure Gas Source Fuel Savings (1,000 cu.ft. gas/year)" dataDxfId="318" dataCellStyle="N_Table1_Cell">
      <calculatedColumnFormula>IFERROR(Tbl_MeasureList[[#This Row],[ROF High Measure Electric Annual Consumption Savings (kWh/yr)]]*GAS_CUFT_PER_SITE_KWH/1000,"-")</calculatedColumnFormula>
    </tableColumn>
    <tableColumn id="233" name="Current ROF High Measure Gas Site Fuel Savings (1,000 cu.ft gas/year)" dataDxfId="317" dataCellStyle="N_Calc2">
      <calculatedColumnFormula>IFERROR(Tbl_MeasureList[[#This Row],[ROF High Measure Natural Gas Annual Consumption Savings (therms/yr)]]*Btu_per_MMBtu/(GAS_BTU_PER_CUFT*Therm_per_MMBtu*1000),"-")</calculatedColumnFormula>
    </tableColumn>
    <tableColumn id="234" name="Current ROF High Measure Gas Total Fuel Savings (1,000 cu.ft. gas/year)" dataDxfId="316" dataCellStyle="N_Table1_Cell">
      <calculatedColumnFormula>IFERROR(Tbl_MeasureList[[#This Row],[Current ROF High Measure Gas Source Fuel Savings (1,000 cu.ft. gas/year)]]+Tbl_MeasureList[[#This Row],[Current ROF High Measure Gas Site Fuel Savings (1,000 cu.ft gas/year)]],"-")</calculatedColumnFormula>
    </tableColumn>
    <tableColumn id="151" name="CES ER Low Measure Coal Source Heat Savings (MMBtu/year)" dataDxfId="315" dataCellStyle="N_Table1_Cell">
      <calculatedColumnFormula>Tbl_MeasureList[[#This Row],[ER Total Low Measure Electric Annual Consumption Savings (kWh/yr)]]*COAL_BTU_PER_SITE_KWH_CES/Btu_per_MMBtu</calculatedColumnFormula>
    </tableColumn>
    <tableColumn id="152" name="CES ER Low Measure Coal Source Fuel Savings (lbs coal/year)" dataDxfId="314" dataCellStyle="N_Table1_Cell">
      <calculatedColumnFormula>Tbl_MeasureList[[#This Row],[ER Total Low Measure Electric Annual Consumption Savings (kWh/yr)]]*COAL_LBS_PER_SITE_KWH_CES</calculatedColumnFormula>
    </tableColumn>
    <tableColumn id="153" name="CES ER Low Measure Oil Source Heat Savings (MMBtu/year)" dataDxfId="313" dataCellStyle="N_Table1_Cell">
      <calculatedColumnFormula>Tbl_MeasureList[[#This Row],[ER Total Low Measure Electric Annual Consumption Savings (kWh/yr)]]*OIL_BTU_PER_SITE_KWH_CES/Btu_per_MMBtu</calculatedColumnFormula>
    </tableColumn>
    <tableColumn id="154" name="CES ER Low Measure Oil Source Fuel Savings (gallons oil/year)" dataDxfId="312" dataCellStyle="N_Table1_Cell">
      <calculatedColumnFormula>Tbl_MeasureList[[#This Row],[ER Total Low Measure Electric Annual Consumption Savings (kWh/yr)]]*OIL_GAL_PER_SITE_KWH_CES</calculatedColumnFormula>
    </tableColumn>
    <tableColumn id="155" name="CES ER Low Measure Oil Site Fuel Savings (gallons oil/year)" dataDxfId="311" dataCellStyle="N_Table1_Cell">
      <calculatedColumnFormula>Tbl_MeasureList[[#This Row],[ER Total Low Measure Oil Annual Consumption Savings (MMBtu/yr)]]*Btu_per_MMBtu/OIL_BTU_PER_GAL_CES</calculatedColumnFormula>
    </tableColumn>
    <tableColumn id="156" name="CES ER Low Measure Oil Total Fuel Savings (gallons oil/year)" dataDxfId="310" dataCellStyle="N_Table1_Cell">
      <calculatedColumnFormula>Tbl_MeasureList[[#This Row],[CES ER Low Measure Oil Source Fuel Savings (gallons oil/year)]]+Tbl_MeasureList[[#This Row],[CES ER Low Measure Oil Site Fuel Savings (gallons oil/year)]]</calculatedColumnFormula>
    </tableColumn>
    <tableColumn id="157" name="CES ER Low Measure Gas Source Heat Savings (MMBtu/year)" dataDxfId="309" dataCellStyle="N_Table1_Cell">
      <calculatedColumnFormula>Tbl_MeasureList[[#This Row],[ER Total Low Measure Electric Annual Consumption Savings (kWh/yr)]]*GAS_BTU_PER_SITE_KWH_CES/Btu_per_MMBtu</calculatedColumnFormula>
    </tableColumn>
    <tableColumn id="158" name="CES ER Low Measure Gas Source Fuel Savings (1,000 cu.ft. gas/year)" dataDxfId="308" dataCellStyle="N_Table1_Cell">
      <calculatedColumnFormula>Tbl_MeasureList[[#This Row],[ER Total Low Measure Electric Annual Consumption Savings (kWh/yr)]]*GAS_CUFT_PER_SITE_KWH_CES/1000</calculatedColumnFormula>
    </tableColumn>
    <tableColumn id="159" name="CES ER Low Measure Gas Site Fuel Savings (1,000 cu.ft gas/year)" dataDxfId="307" dataCellStyle="N_Table1_Cell">
      <calculatedColumnFormula>Tbl_MeasureList[[#This Row],[ER Total Low Measure Natural Gas Annual Consumption Savings (therms/yr)]]*Btu_per_MMBtu/(GAS_BTU_PER_CUFT_CES*Therm_per_MMBtu*1000)</calculatedColumnFormula>
    </tableColumn>
    <tableColumn id="160" name="CES ER Low Measure Gas Total Fuel Savings (1,000 cu.ft. gas/year)" dataDxfId="306" dataCellStyle="N_Table1_Cell">
      <calculatedColumnFormula>Tbl_MeasureList[[#This Row],[CES ER Low Measure Gas Source Fuel Savings (1,000 cu.ft. gas/year)]]+Tbl_MeasureList[[#This Row],[CES ER Low Measure Gas Site Fuel Savings (1,000 cu.ft gas/year)]]</calculatedColumnFormula>
    </tableColumn>
    <tableColumn id="161" name="CES ER High Measure Coal Source Heat Savings (MMBtu/year)" dataDxfId="305" dataCellStyle="N_Table1_Cell">
      <calculatedColumnFormula>IFERROR(Tbl_MeasureList[[#This Row],[ER Total High Measure Electric Annual Consumption Savings (kWh/yr)]]*COAL_BTU_PER_SITE_KWH_CES/Btu_per_MMBtu,"-")</calculatedColumnFormula>
    </tableColumn>
    <tableColumn id="162" name="CES ER High Measure Coal Source Fuel Savings (lbs coal/year)" dataDxfId="304" dataCellStyle="N_Table1_Cell">
      <calculatedColumnFormula>IFERROR(Tbl_MeasureList[[#This Row],[ER Total High Measure Electric Annual Consumption Savings (kWh/yr)]]*COAL_LBS_PER_SITE_KWH_CES,"-")</calculatedColumnFormula>
    </tableColumn>
    <tableColumn id="163" name="CES ER High Measure Oil Source Heat Savings (MMBtu/year)" dataDxfId="303" dataCellStyle="N_Table1_Cell">
      <calculatedColumnFormula>IFERROR(Tbl_MeasureList[[#This Row],[ER Total High Measure Electric Annual Consumption Savings (kWh/yr)]]*OIL_BTU_PER_SITE_KWH_CES/Btu_per_MMBtu,"-")</calculatedColumnFormula>
    </tableColumn>
    <tableColumn id="164" name="CES ER High Measure Oil Source Fuel Savings (gallons oil/year)" dataDxfId="302" dataCellStyle="N_Table1_Cell">
      <calculatedColumnFormula>IFERROR(Tbl_MeasureList[[#This Row],[ER Total High Measure Electric Annual Consumption Savings (kWh/yr)]]*OIL_GAL_PER_SITE_KWH_CES,"-")</calculatedColumnFormula>
    </tableColumn>
    <tableColumn id="165" name="CES ER High Measure Oil Site Fuel Savings (gallons oil/year)" dataDxfId="301" dataCellStyle="N_Table1_Cell">
      <calculatedColumnFormula>IFERROR(Tbl_MeasureList[[#This Row],[ER Total High Measure Oil Annual Consumption Savings (MMBtu/yr)]]*Btu_per_MMBtu/OIL_BTU_PER_GAL_CES,"-")</calculatedColumnFormula>
    </tableColumn>
    <tableColumn id="166" name="CES ER High Measure Oil Total Fuel Savings (gallons oil/year)" dataDxfId="300" dataCellStyle="N_Table1_Cell">
      <calculatedColumnFormula>IFERROR(Tbl_MeasureList[[#This Row],[CES ER High Measure Oil Source Fuel Savings (gallons oil/year)]]+Tbl_MeasureList[[#This Row],[CES ER High Measure Oil Site Fuel Savings (gallons oil/year)]],"-")</calculatedColumnFormula>
    </tableColumn>
    <tableColumn id="167" name="CES ER High Measure Gas Source Heat Savings (MMBtu/year)" dataDxfId="299" dataCellStyle="N_Table1_Cell">
      <calculatedColumnFormula>IFERROR(Tbl_MeasureList[[#This Row],[ER Total High Measure Electric Annual Consumption Savings (kWh/yr)]]*GAS_BTU_PER_SITE_KWH_CES/Btu_per_MMBtu,"-")</calculatedColumnFormula>
    </tableColumn>
    <tableColumn id="168" name="CES ER High Measure Gas Source Fuel Savings (1,000 cu.ft. gas/year)" dataDxfId="298" dataCellStyle="N_Table1_Cell">
      <calculatedColumnFormula>IFERROR(Tbl_MeasureList[[#This Row],[ER Total High Measure Electric Annual Consumption Savings (kWh/yr)]]*GAS_CUFT_PER_SITE_KWH_CES/1000,"-")</calculatedColumnFormula>
    </tableColumn>
    <tableColumn id="169" name="CES ER High Measure Gas Site Fuel Savings (1,000 cu.ft gas/year)" dataDxfId="297" dataCellStyle="N_Table1_Cell">
      <calculatedColumnFormula>IFERROR(Tbl_MeasureList[[#This Row],[ER Total High Measure Natural Gas Annual Consumption Savings (therms/yr)]]*Btu_per_MMBtu/(GAS_BTU_PER_CUFT_CES*Therm_per_MMBtu*1000),"-")</calculatedColumnFormula>
    </tableColumn>
    <tableColumn id="170" name="CES ER High Measure Gas Total Fuel Savings (1,000 cu.ft. gas/year)" dataDxfId="296" dataCellStyle="N_Table1_Cell">
      <calculatedColumnFormula>IFERROR(Tbl_MeasureList[[#This Row],[CES ER High Measure Gas Source Fuel Savings (1,000 cu.ft. gas/year)]]+Tbl_MeasureList[[#This Row],[CES ER High Measure Gas Site Fuel Savings (1,000 cu.ft gas/year)]],"-")</calculatedColumnFormula>
    </tableColumn>
    <tableColumn id="171" name="CES ROF Low Measure Coal Source Heat Savings (MMBtu/year)" dataDxfId="295" dataCellStyle="N_Table1_Cell">
      <calculatedColumnFormula>Tbl_MeasureList[[#This Row],[ROF Low Measure Electric Annual Consumption Savings (kWh/yr)]]*COAL_BTU_PER_SITE_KWH_CES/Btu_per_MMBtu</calculatedColumnFormula>
    </tableColumn>
    <tableColumn id="172" name="CES ROF Low Measure Coal Source Fuel Savings (lbs coal/year)" dataDxfId="294" dataCellStyle="N_Table1_Cell">
      <calculatedColumnFormula>Tbl_MeasureList[[#This Row],[ROF Low Measure Electric Annual Consumption Savings (kWh/yr)]]*COAL_LBS_PER_SITE_KWH_CES</calculatedColumnFormula>
    </tableColumn>
    <tableColumn id="173" name="CES ROF Low Measure Oil Source Heat Savings (MMBtu/year)" dataDxfId="293" dataCellStyle="N_Table1_Cell">
      <calculatedColumnFormula>Tbl_MeasureList[[#This Row],[ROF Low Measure Electric Annual Consumption Savings (kWh/yr)]]*OIL_BTU_PER_SITE_KWH_CES/Btu_per_MMBtu</calculatedColumnFormula>
    </tableColumn>
    <tableColumn id="174" name="CES ROF Low Measure Oil Source Fuel Savings (gallons oil/year)" dataDxfId="292" dataCellStyle="N_Table1_Cell">
      <calculatedColumnFormula>Tbl_MeasureList[[#This Row],[ROF Low Measure Electric Annual Consumption Savings (kWh/yr)]]*OIL_GAL_PER_SITE_KWH_CES</calculatedColumnFormula>
    </tableColumn>
    <tableColumn id="175" name="CES ROF Low Measure Oil Site Fuel Savings (gallons oil/year)" dataDxfId="291" dataCellStyle="N_Table1_Cell">
      <calculatedColumnFormula>Tbl_MeasureList[[#This Row],[ROF Low Measure Oil Annual Consumption Savings (MMBtu/yr)]]*Btu_per_MMBtu/OIL_BTU_PER_GAL_CES</calculatedColumnFormula>
    </tableColumn>
    <tableColumn id="176" name="CES ROF Low Measure Oil Total Fuel Savings (gallons oil/year)" dataDxfId="290" dataCellStyle="N_Table1_Cell">
      <calculatedColumnFormula>Tbl_MeasureList[[#This Row],[CES ROF Low Measure Oil Source Fuel Savings (gallons oil/year)]]+Tbl_MeasureList[[#This Row],[CES ROF Low Measure Oil Site Fuel Savings (gallons oil/year)]]</calculatedColumnFormula>
    </tableColumn>
    <tableColumn id="177" name="CES ROF Low Measure Gas Source Heat Savings (MMBtu/year)" dataDxfId="289" dataCellStyle="N_Table1_Cell">
      <calculatedColumnFormula>Tbl_MeasureList[[#This Row],[ROF Low Measure Electric Annual Consumption Savings (kWh/yr)]]*GAS_BTU_PER_SITE_KWH_CES/Btu_per_MMBtu</calculatedColumnFormula>
    </tableColumn>
    <tableColumn id="178" name="CES ROF Low Measure Gas Source Fuel Savings (1,000 cu.ft. gas/year)" dataDxfId="288" dataCellStyle="N_Table1_Cell">
      <calculatedColumnFormula>Tbl_MeasureList[[#This Row],[ROF Low Measure Electric Annual Consumption Savings (kWh/yr)]]*GAS_CUFT_PER_SITE_KWH_CES/1000</calculatedColumnFormula>
    </tableColumn>
    <tableColumn id="179" name="CES ROF Low Measure Gas Site Fuel Savings (1,000 cu.ft gas/year)" dataDxfId="287" dataCellStyle="N_Table1_Cell">
      <calculatedColumnFormula>Tbl_MeasureList[[#This Row],[ROF Low Measure Natural Gas Annual Consumption Savings (therms/yr)]]*Btu_per_MMBtu/(GAS_BTU_PER_CUFT_CES*Therm_per_MMBtu*1000)</calculatedColumnFormula>
    </tableColumn>
    <tableColumn id="180" name="CES ROF Low Measure Gas Total Fuel Savings (1,000 cu.ft. gas/year)" dataDxfId="286" dataCellStyle="N_Table1_Cell">
      <calculatedColumnFormula>Tbl_MeasureList[[#This Row],[CES ROF Low Measure Gas Source Fuel Savings (1,000 cu.ft. gas/year)]]+Tbl_MeasureList[[#This Row],[CES ROF Low Measure Gas Site Fuel Savings (1,000 cu.ft gas/year)]]</calculatedColumnFormula>
    </tableColumn>
    <tableColumn id="181" name="CES ROF High Measure Coal Source Heat Savings (MMBtu/year)" dataDxfId="285" dataCellStyle="N_Table1_Cell">
      <calculatedColumnFormula>IFERROR(Tbl_MeasureList[[#This Row],[ROF High Measure Electric Annual Consumption Savings (kWh/yr)]]*COAL_BTU_PER_SITE_KWH_CES/Btu_per_MMBtu,"-")</calculatedColumnFormula>
    </tableColumn>
    <tableColumn id="182" name="CES ROF High Measure Coal Source Fuel Savings (lbs coal/year)" dataDxfId="284" dataCellStyle="N_Table1_Cell">
      <calculatedColumnFormula>IFERROR(Tbl_MeasureList[[#This Row],[ROF High Measure Electric Annual Consumption Savings (kWh/yr)]]*COAL_LBS_PER_SITE_KWH_CES,"-")</calculatedColumnFormula>
    </tableColumn>
    <tableColumn id="183" name="CES ROF High Measure Oil Source Heat Savings (MMBtu/year)" dataDxfId="283" dataCellStyle="N_Table1_Cell">
      <calculatedColumnFormula>IFERROR(Tbl_MeasureList[[#This Row],[ROF High Measure Electric Annual Consumption Savings (kWh/yr)]]*OIL_BTU_PER_SITE_KWH_CES/Btu_per_MMBtu,"-")</calculatedColumnFormula>
    </tableColumn>
    <tableColumn id="184" name="CES ROF High Measure Oil Source Fuel Savings (gallons oil/year)" dataDxfId="282" dataCellStyle="N_Table1_Cell">
      <calculatedColumnFormula>IFERROR(Tbl_MeasureList[[#This Row],[ROF High Measure Electric Annual Consumption Savings (kWh/yr)]]*OIL_GAL_PER_SITE_KWH_CES,"-")</calculatedColumnFormula>
    </tableColumn>
    <tableColumn id="185" name="CES ROF High Measure Oil Site Fuel Savings (gallons oil/year)" dataDxfId="281" dataCellStyle="N_Table1_Cell">
      <calculatedColumnFormula>IFERROR(Tbl_MeasureList[[#This Row],[ROF High Measure Oil Annual Consumption Savings (MMBtu/yr)]]*Btu_per_MMBtu/OIL_BTU_PER_GAL_CES,"-")</calculatedColumnFormula>
    </tableColumn>
    <tableColumn id="186" name="CES ROF High Measure Oil Total Fuel Savings (gallons oil/year)" dataDxfId="280" dataCellStyle="N_Table1_Cell">
      <calculatedColumnFormula>IFERROR(Tbl_MeasureList[[#This Row],[CES ROF High Measure Oil Source Fuel Savings (gallons oil/year)]]+Tbl_MeasureList[[#This Row],[CES ROF High Measure Oil Site Fuel Savings (gallons oil/year)]],"-")</calculatedColumnFormula>
    </tableColumn>
    <tableColumn id="187" name="CES ROF High Measure Gas Source Heat Savings (MMBtu/year)" dataDxfId="279" dataCellStyle="N_Table1_Cell">
      <calculatedColumnFormula>IFERROR(Tbl_MeasureList[[#This Row],[ROF High Measure Electric Annual Consumption Savings (kWh/yr)]]*GAS_BTU_PER_SITE_KWH_CES/Btu_per_MMBtu,"-")</calculatedColumnFormula>
    </tableColumn>
    <tableColumn id="188" name="CES ROF High Measure Gas Source Fuel Savings (1,000 cu.ft. gas/year)" dataDxfId="278" dataCellStyle="N_Table1_Cell">
      <calculatedColumnFormula>IFERROR(Tbl_MeasureList[[#This Row],[ROF High Measure Electric Annual Consumption Savings (kWh/yr)]]*GAS_CUFT_PER_SITE_KWH_CES/1000,"-")</calculatedColumnFormula>
    </tableColumn>
    <tableColumn id="189" name="CES ROF High Measure Gas Site Fuel Savings (1,000 cu.ft gas/year)" dataDxfId="277" dataCellStyle="N_Table1_Cell">
      <calculatedColumnFormula>IFERROR(Tbl_MeasureList[[#This Row],[ROF High Measure Natural Gas Annual Consumption Savings (therms/yr)]]*Btu_per_MMBtu/(GAS_BTU_PER_CUFT_CES*Therm_per_MMBtu*1000),"-")</calculatedColumnFormula>
    </tableColumn>
    <tableColumn id="190" name="CES ROF High Measure Gas Total Fuel Savings (1,000 cu.ft. gas/year)" dataDxfId="276" dataCellStyle="N_Table1_Cell">
      <calculatedColumnFormula>IFERROR(Tbl_MeasureList[[#This Row],[CES ROF High Measure Gas Source Fuel Savings (1,000 cu.ft. gas/year)]]+Tbl_MeasureList[[#This Row],[CES ROF High Measure Gas Site Fuel Savings (1,000 cu.ft gas/year)]],"-")</calculatedColumnFormula>
    </tableColumn>
    <tableColumn id="255" name="ER (Retire) Energy Cost Savings (USD/yr)" dataDxfId="275" dataCellStyle="N_Calc2">
      <calculatedColumnFormula>Tbl_MeasureList[[#This Row],[Baseline Energy Cost (USD/yr)]]-Tbl_MeasureList[[#This Row],[Code (old fuel) Energy Cost (USD/yr)]]</calculatedColumnFormula>
    </tableColumn>
    <tableColumn id="256" name="ER (Retire) Incremental Installed Cost (USD)" dataDxfId="274" dataCellStyle="N_Calc1">
      <calculatedColumnFormula>0</calculatedColumnFormula>
    </tableColumn>
    <tableColumn id="257" name="ER (Retire) Electric Annual Consumption Savings (kWh/yr)" dataDxfId="273" dataCellStyle="N_Calc2">
      <calculatedColumnFormula>Tbl_MeasureList[[#This Row],[Baseline Electric Annual Consumption (kWh/yr)]]-Tbl_MeasureList[[#This Row],[Code (old fuel) Electric Annual Consumption (kWh/yr)]]</calculatedColumnFormula>
    </tableColumn>
    <tableColumn id="127" name="ER (Retire) Electric Winter Consumption Savings (kWh/yr)" dataDxfId="272" dataCellStyle="N_Calc2">
      <calculatedColumnFormula>IF(OR(Tbl_MeasureList[[#This Row],[Baseline Electric Winter Consumption (kWh/yr)]]="n/a",Tbl_MeasureList[[#This Row],[Code (old fuel) Electric Winter Consumption (kWh/yr)]]="n/a"),"-",Tbl_MeasureList[[#This Row],[Baseline Electric Winter Consumption (kWh/yr)]]-Tbl_MeasureList[[#This Row],[Code (old fuel) Electric Winter Consumption (kWh/yr)]])</calculatedColumnFormula>
    </tableColumn>
    <tableColumn id="128" name="ER (Retire) Electric Summer Consumption Savings (kWh/yr)" dataDxfId="271" dataCellStyle="N_Calc2">
      <calculatedColumnFormula>IF(OR(Tbl_MeasureList[[#This Row],[Baseline Electric Summer Consumption (kWh/yr)]]="n/a",Tbl_MeasureList[[#This Row],[Code (old fuel) Electric Summer Consumption (kWh/yr)]]="n/a"),"-",Tbl_MeasureList[[#This Row],[Baseline Electric Summer Consumption (kWh/yr)]]-Tbl_MeasureList[[#This Row],[Code (old fuel) Electric Summer Consumption (kWh/yr)]])</calculatedColumnFormula>
    </tableColumn>
    <tableColumn id="258" name="ER (Retire) Electric Winter Peak Demand Savings (kW)" dataDxfId="270" dataCellStyle="N_Calc1">
      <calculatedColumnFormula>Tbl_MeasureList[[#This Row],[Baseline Electric Winter Peak Demand (kW)]]-Tbl_MeasureList[[#This Row],[Code (old fuel) Electric Winter Peak Demand (kW)]]</calculatedColumnFormula>
    </tableColumn>
    <tableColumn id="259" name="ER (Retire) Electric Summer Peak Demand Savings (kW)" dataDxfId="269" dataCellStyle="N_Calc1">
      <calculatedColumnFormula>Tbl_MeasureList[[#This Row],[Baseline Electric Summer Peak Demand (kW)]]-Tbl_MeasureList[[#This Row],[Code (old fuel) Electric Summer Peak Demand (kW)]]</calculatedColumnFormula>
    </tableColumn>
    <tableColumn id="260" name="ER (Retire) Natural Gas Annual Consumption Savings (therms/yr)" dataDxfId="268" dataCellStyle="N_Calc2">
      <calculatedColumnFormula>Tbl_MeasureList[[#This Row],[Baseline Natural Gas Annual Consumption (therms/yr)]]-Tbl_MeasureList[[#This Row],[Code (old fuel) Natural Gas Annual Consumption (therms/yr)]]</calculatedColumnFormula>
    </tableColumn>
    <tableColumn id="261" name="ER (Retire) Propane Annual Consumption Savings (MMBtu/yr)" dataDxfId="267" dataCellStyle="N_Calc2">
      <calculatedColumnFormula>Tbl_MeasureList[[#This Row],[Baseline Propane Annual Consumption (MMBtu/yr)]]-Tbl_MeasureList[[#This Row],[Code (old fuel) Propane Annual Consumption (MMBtu/yr)]]</calculatedColumnFormula>
    </tableColumn>
    <tableColumn id="262" name="ER (Retire) Oil Annual Consumption Savings (MMBtu/yr)" dataDxfId="266" dataCellStyle="N_Calc2">
      <calculatedColumnFormula>Tbl_MeasureList[[#This Row],[Baseline Oil Annual Consumption (MMBtu/yr)]]-Tbl_MeasureList[[#This Row],[Code (old fuel) Oil Annual Consumption (MMBtu/yr)]]</calculatedColumnFormula>
    </tableColumn>
    <tableColumn id="263" name="ER (Retire) Annual Energy Savings on MMBtu Basis (MMBtu/yr)" dataDxfId="265" dataCellStyle="N_Calc2">
      <calculatedColumnFormula>Tbl_MeasureList[[#This Row],[Baseline Energy Consumption on MMBtu Basis (MMBtu/yr)]]-Tbl_MeasureList[[#This Row],[Code (old fuel) Energy Consumption on MMBtu Basis (MMBtu/yr)]]</calculatedColumnFormula>
    </tableColumn>
    <tableColumn id="264" name="ER (Retire) Carbon Emissions Reduction, Site (tons CO2/yr)" dataDxfId="264" dataCellStyle="N_Calc2">
      <calculatedColumnFormula>Tbl_MeasureList[[#This Row],[Baseline Carbon Emissions, Site (tons CO2/yr)]]-Tbl_MeasureList[[#This Row],[Code (old fuel) Carbon Emissions, Site (tons CO2/yr)]]</calculatedColumnFormula>
    </tableColumn>
    <tableColumn id="265" name="ER (Retire) Carbon Emissions Reduction, Source (tons CO2/yr)" dataDxfId="263" dataCellStyle="N_Calc2">
      <calculatedColumnFormula>Tbl_MeasureList[[#This Row],[Baseline Carbon Emissions, Source (tons CO2/yr)]]-Tbl_MeasureList[[#This Row],[Code (old fuel) Carbon Emissions, Source (tons CO2/yr)]]</calculatedColumnFormula>
    </tableColumn>
    <tableColumn id="266" name="ER (EE) Low Measure Energy Cost Savings (USD/yr)" dataDxfId="262" dataCellStyle="N_Calc2">
      <calculatedColumnFormula>Tbl_MeasureList[[#This Row],[Code (new fuel) Energy Cost (USD/yr)]]-Tbl_MeasureList[[#This Row],[Low Measure Energy Cost (USD/yr)]]</calculatedColumnFormula>
    </tableColumn>
    <tableColumn id="267" name="ER (EE) Low Measure Incremental Installed Cost, Less Deferred Replacement Credit (USD)" dataDxfId="261" dataCellStyle="N_Calc1">
      <calculatedColumnFormula>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calculatedColumnFormula>
    </tableColumn>
    <tableColumn id="268" name="ER (EE) Low Measure Electric Annual Consumption Savings (kWh/yr)" dataDxfId="260" dataCellStyle="N_Calc2">
      <calculatedColumnFormula>Tbl_MeasureList[[#This Row],[Code (old fuel) Electric Annual Consumption (kWh/yr)]]-Tbl_MeasureList[[#This Row],[Low Measure Electric Annual Consumption (kWh/yr)]]</calculatedColumnFormula>
    </tableColumn>
    <tableColumn id="191" name="ER (EE) Low Measure Electric Winter Consumption Savings (kWh/yr)" dataDxfId="259" dataCellStyle="N_Calc2">
      <calculatedColumnFormula>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calculatedColumnFormula>
    </tableColumn>
    <tableColumn id="192" name="ER (EE) Low Measure Electric Summer Consumption Savings (kWh/yr)" dataDxfId="258" dataCellStyle="N_Calc2">
      <calculatedColumnFormula>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calculatedColumnFormula>
    </tableColumn>
    <tableColumn id="269" name="ER (EE) Low Measure Electric Winter Peak Demand Savings (kW)" dataDxfId="257" dataCellStyle="N_Calc1">
      <calculatedColumnFormula>Tbl_MeasureList[[#This Row],[Code (old fuel) Electric Winter Peak Demand (kW)]]-Tbl_MeasureList[[#This Row],[Low Measure Electric Winter Peak Demand (kW)]]</calculatedColumnFormula>
    </tableColumn>
    <tableColumn id="270" name="ER (EE) Low Measure Electric Summer Peak Demand Savings (kW)" dataDxfId="256" dataCellStyle="N_Calc1">
      <calculatedColumnFormula>Tbl_MeasureList[[#This Row],[Code (old fuel) Electric Summer Peak Demand (kW)]]-Tbl_MeasureList[[#This Row],[Low Measure Electric Summer Peak Demand (kW)]]</calculatedColumnFormula>
    </tableColumn>
    <tableColumn id="271" name="ER (EE) Low Measure Natural Gas Annual Consumption Savings (therms/yr)" dataDxfId="255" dataCellStyle="N_Calc2">
      <calculatedColumnFormula>Tbl_MeasureList[[#This Row],[Code (old fuel) Natural Gas Annual Consumption (therms/yr)]]-Tbl_MeasureList[[#This Row],[Low Measure Natural Gas Annual Consumption (therms/yr)]]</calculatedColumnFormula>
    </tableColumn>
    <tableColumn id="272" name="ER (EE) Low Measure Propane Annual Consumption Savings (MMBtu/yr)" dataDxfId="254" dataCellStyle="N_Calc1">
      <calculatedColumnFormula>Tbl_MeasureList[[#This Row],[Code (old fuel) Propane Annual Consumption (MMBtu/yr)]]-Tbl_MeasureList[[#This Row],[Low Measure Propane Annual Consumption (MMBtu/yr)]]</calculatedColumnFormula>
    </tableColumn>
    <tableColumn id="273" name="ER (EE) Low Measure Oil Annual Consumption Savings (MMBtu/yr)" dataDxfId="253" dataCellStyle="N_Calc2">
      <calculatedColumnFormula>Tbl_MeasureList[[#This Row],[Code (old fuel) Oil Annual Consumption (MMBtu/yr)]]-Tbl_MeasureList[[#This Row],[Low Measure Oil Annual Consumption (MMBtu/yr)]]</calculatedColumnFormula>
    </tableColumn>
    <tableColumn id="274" name="ER (EE) Low Measure Annual Energy Savings on MMBtu Basis (MMBtu/yr)" dataDxfId="252" dataCellStyle="N_Calc2">
      <calculatedColumnFormula>Tbl_MeasureList[[#This Row],[Code (old fuel) Energy Consumption on MMBtu Basis (MMBtu/yr)]]-Tbl_MeasureList[[#This Row],[Low Measure Energy Consumption on MMBtu Basis (MMBtu/yr)]]</calculatedColumnFormula>
    </tableColumn>
    <tableColumn id="275" name="ER (EE) Low Measure Carbon Emissions Reduction, Site (tons CO2/yr)" dataDxfId="251" dataCellStyle="N_Calc2">
      <calculatedColumnFormula>Tbl_MeasureList[[#This Row],[Code (old fuel) Carbon Emissions, Site (tons CO2/yr)]]-Tbl_MeasureList[[#This Row],[Low Measure Carbon Emissions, Site (tons CO2/yr)]]</calculatedColumnFormula>
    </tableColumn>
    <tableColumn id="276" name="ER (EE) Low Measure Carbon Emissions Reduction, Source (tons CO2/yr)" dataDxfId="250" dataCellStyle="N_Calc1">
      <calculatedColumnFormula>Tbl_MeasureList[[#This Row],[Code (old fuel) Carbon Emissions, Source (tons CO2/yr)]]-Tbl_MeasureList[[#This Row],[Low Measure Carbon Emissions, Source (tons CO2/yr)]]</calculatedColumnFormula>
    </tableColumn>
    <tableColumn id="282" name="ER (EE) High Measure Energy Cost Savings (USD/yr)" dataDxfId="249"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calculatedColumnFormula>
    </tableColumn>
    <tableColumn id="283" name="ER (EE) High Measure Incremental Installed Cost, Less Deferred Replacement Credit (USD)" dataDxfId="248" dataCellStyle="N_Calc1">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calculatedColumnFormula>
    </tableColumn>
    <tableColumn id="284" name="ER (EE) High Measure Electric Annual Consumption Savings (kWh/yr)" dataDxfId="247"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calculatedColumnFormula>
    </tableColumn>
    <tableColumn id="193" name="ER (EE) High Measure Electric Winter Consumption Savings (kWh/yr)" dataDxfId="246"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calculatedColumnFormula>
    </tableColumn>
    <tableColumn id="194" name="ER (EE) High Measure Electric Summer Consumption Savings (kWh/yr)" dataDxfId="245"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calculatedColumnFormula>
    </tableColumn>
    <tableColumn id="285" name="ER (EE) High Measure Electric Winter Peak Demand Savings (kW)" dataDxfId="244" dataCellStyle="N_Calc1">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calculatedColumnFormula>
    </tableColumn>
    <tableColumn id="286" name="ER (EE) High Measure Electric Summer Peak Demand Savings (kW)" dataDxfId="243" dataCellStyle="N_Calc1">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calculatedColumnFormula>
    </tableColumn>
    <tableColumn id="287" name="ER (EE) High Measure Natural Gas Annual Consumption Savings (therms/yr)" dataDxfId="242"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calculatedColumnFormula>
    </tableColumn>
    <tableColumn id="288" name="ER (EE) High Measure Propane Annual Consumption Savings (MMBtu/yr)" dataDxfId="241" dataCellStyle="N_Calc1">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calculatedColumnFormula>
    </tableColumn>
    <tableColumn id="289" name="ER (EE) High Measure Oil Annual Consumption Savings (MMBtu/yr)" dataDxfId="240"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calculatedColumnFormula>
    </tableColumn>
    <tableColumn id="290" name="ER (EE) High Measure Annual Energy Savings on MMBtu Basis (MMBtu/yr)" dataDxfId="239"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calculatedColumnFormula>
    </tableColumn>
    <tableColumn id="291" name="ER (EE) High Measure Carbon Emissions Reduction, Site (tons CO2/yr)" dataDxfId="238" dataCellStyle="N_Calc2">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calculatedColumnFormula>
    </tableColumn>
    <tableColumn id="292" name="ER (EE) High Measure Carbon Emissions Reduction, Source (tons CO2/yr)" dataDxfId="237" dataCellStyle="N_Calc1">
      <calculatedColumnFormula>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calculatedColumnFormula>
    </tableColumn>
    <tableColumn id="305" name="Current ER (Retire) Coal Source Heat Savings (MMBtu/year)" dataDxfId="236" dataCellStyle="N_Table1_Cell">
      <calculatedColumnFormula>Tbl_MeasureList[[#This Row],[ER (Retire) Electric Annual Consumption Savings (kWh/yr)]]*COAL_BTU_PER_SITE_KWH/Btu_per_MMBtu</calculatedColumnFormula>
    </tableColumn>
    <tableColumn id="306" name="Current ER (Retire) Coal Source Fuel Savings (lbs coal/year)" dataDxfId="235" dataCellStyle="N_Table1_Cell">
      <calculatedColumnFormula>Tbl_MeasureList[[#This Row],[ER (Retire) Electric Annual Consumption Savings (kWh/yr)]]*COAL_LBS_PER_SITE_KWH</calculatedColumnFormula>
    </tableColumn>
    <tableColumn id="307" name="Current ER (Retire) Oil Source Heat Savings (MMBtu/year)" dataDxfId="234" dataCellStyle="N_Table1_Cell">
      <calculatedColumnFormula>Tbl_MeasureList[[#This Row],[ER (Retire) Electric Annual Consumption Savings (kWh/yr)]]*OIL_BTU_PER_SITE_KWH/Btu_per_MMBtu</calculatedColumnFormula>
    </tableColumn>
    <tableColumn id="308" name="Current ER (Retire) Oil Source Fuel Savings (gallons oil/year)" dataDxfId="233" dataCellStyle="N_Table1_Cell">
      <calculatedColumnFormula>Tbl_MeasureList[[#This Row],[ER (Retire) Electric Annual Consumption Savings (kWh/yr)]]*OIL_GAL_PER_SITE_KWH</calculatedColumnFormula>
    </tableColumn>
    <tableColumn id="309" name="Current ER (Retire) Oil Site Fuel Savings (gallons oil/year)" dataDxfId="232" dataCellStyle="N_Table1_Cell">
      <calculatedColumnFormula>Tbl_MeasureList[[#This Row],[ER (Retire) Oil Annual Consumption Savings (MMBtu/yr)]]*Btu_per_MMBtu/OIL_BTU_PER_GAL</calculatedColumnFormula>
    </tableColumn>
    <tableColumn id="310" name="Current ER (Retire) Oil Total Fuel Savings (gallons oil/year)" dataDxfId="231" dataCellStyle="N_Table1_Cell">
      <calculatedColumnFormula>Tbl_MeasureList[[#This Row],[Current ER (Retire) Oil Source Fuel Savings (gallons oil/year)]]+Tbl_MeasureList[[#This Row],[Current ER Total Low Measure Oil Site Fuel Savings (gallons oil/year)]]</calculatedColumnFormula>
    </tableColumn>
    <tableColumn id="311" name="Current ER (Retire) Gas Source Heat Savings (MMBtu/year)" dataDxfId="230" dataCellStyle="N_Table1_Cell">
      <calculatedColumnFormula>Tbl_MeasureList[[#This Row],[ER (Retire) Electric Annual Consumption Savings (kWh/yr)]]*GAS_BTU_PER_SITE_KWH/Btu_per_MMBtu</calculatedColumnFormula>
    </tableColumn>
    <tableColumn id="312" name="Current ER (Retire) Gas Source Fuel Savings (1,000 cu.ft. gas/year)" dataDxfId="229" dataCellStyle="N_Table1_Cell">
      <calculatedColumnFormula>Tbl_MeasureList[[#This Row],[ER (Retire) Electric Annual Consumption Savings (kWh/yr)]]*GAS_CUFT_PER_SITE_KWH/1000</calculatedColumnFormula>
    </tableColumn>
    <tableColumn id="313" name="Current ER (Retire) Gas Site Fuel Savings (1,000 cu.ft gas/year)" dataDxfId="228" dataCellStyle="N_Table1_Cell">
      <calculatedColumnFormula>Tbl_MeasureList[[#This Row],[ER (Retire) Natural Gas Annual Consumption Savings (therms/yr)]]*Btu_per_MMBtu/(GAS_BTU_PER_CUFT*Therm_per_MMBtu*1000)</calculatedColumnFormula>
    </tableColumn>
    <tableColumn id="314" name="Current ER (Retire) Gas Total Fuel Savings (1,000 cu.ft. gas/year)" dataDxfId="227" dataCellStyle="N_Table1_Cell">
      <calculatedColumnFormula>Tbl_MeasureList[[#This Row],[Current ER (Retire) Gas Source Fuel Savings (1,000 cu.ft. gas/year)]]+Tbl_MeasureList[[#This Row],[Current ER Total Low Measure Gas Site Fuel Savings (1,000 cu.ft gas/year)]]</calculatedColumnFormula>
    </tableColumn>
    <tableColumn id="325" name="Current ER (EE) Low Measure Coal Source Heat Savings (MMBtu/year)" dataDxfId="226" dataCellStyle="N_Table1_Cell">
      <calculatedColumnFormula>Tbl_MeasureList[[#This Row],[ER (EE) Low Measure Electric Annual Consumption Savings (kWh/yr)]]*COAL_BTU_PER_SITE_KWH/Btu_per_MMBtu</calculatedColumnFormula>
    </tableColumn>
    <tableColumn id="326" name="Current ER (EE) Low Measure Coal Source Fuel Savings (lbs coal/year)" dataDxfId="225" dataCellStyle="N_Table1_Cell">
      <calculatedColumnFormula>Tbl_MeasureList[[#This Row],[ER (EE) Low Measure Electric Annual Consumption Savings (kWh/yr)]]*COAL_LBS_PER_SITE_KWH</calculatedColumnFormula>
    </tableColumn>
    <tableColumn id="327" name="Current ER (EE) Low Measure Oil Source Heat Savings (MMBtu/year)" dataDxfId="224" dataCellStyle="N_Table1_Cell">
      <calculatedColumnFormula>Tbl_MeasureList[[#This Row],[ER (EE) Low Measure Electric Annual Consumption Savings (kWh/yr)]]*OIL_BTU_PER_SITE_KWH/Btu_per_MMBtu</calculatedColumnFormula>
    </tableColumn>
    <tableColumn id="328" name="Current ER (EE) Low Measure Oil Source Fuel Savings (gallons oil/year)" dataDxfId="223" dataCellStyle="N_Table1_Cell">
      <calculatedColumnFormula>Tbl_MeasureList[[#This Row],[ER (EE) Low Measure Electric Annual Consumption Savings (kWh/yr)]]*OIL_GAL_PER_SITE_KWH</calculatedColumnFormula>
    </tableColumn>
    <tableColumn id="329" name="Current ER (EE) Low Measure Oil Site Fuel Savings (gallons oil/year)" dataDxfId="222" dataCellStyle="N_Table1_Cell">
      <calculatedColumnFormula>Tbl_MeasureList[[#This Row],[ER (EE) Low Measure Oil Annual Consumption Savings (MMBtu/yr)]]*Btu_per_MMBtu/OIL_BTU_PER_GAL</calculatedColumnFormula>
    </tableColumn>
    <tableColumn id="330" name="Current ER (EE) Low Measure Oil Fuel Savings (gallons oil/year)" dataDxfId="221" dataCellStyle="N_Table1_Cell">
      <calculatedColumnFormula>Tbl_MeasureList[[#This Row],[Current ER (EE) Low Measure Oil Source Fuel Savings (gallons oil/year)]]+Tbl_MeasureList[[#This Row],[Current ER (EE) Low Measure Oil Site Fuel Savings (gallons oil/year)]]</calculatedColumnFormula>
    </tableColumn>
    <tableColumn id="331" name="Current ER (EE) Low Measure Gas Source Heat Savings (MMBtu/year)" dataDxfId="220" dataCellStyle="N_Table1_Cell">
      <calculatedColumnFormula>Tbl_MeasureList[[#This Row],[ER (EE) Low Measure Electric Annual Consumption Savings (kWh/yr)]]*GAS_BTU_PER_SITE_KWH/Btu_per_MMBtu</calculatedColumnFormula>
    </tableColumn>
    <tableColumn id="332" name="Current ER (EE) Low Measure Gas Source Fuel Savings (1,000 cu.ft. gas/year)" dataDxfId="219" dataCellStyle="N_Table1_Cell">
      <calculatedColumnFormula>Tbl_MeasureList[[#This Row],[ER (EE) Low Measure Electric Annual Consumption Savings (kWh/yr)]]*GAS_CUFT_PER_SITE_KWH/1000</calculatedColumnFormula>
    </tableColumn>
    <tableColumn id="333" name="Current ER (EE) Low Measure Gas Site Fuel Savings (1,000 cu.ft gas/year)" dataDxfId="218" dataCellStyle="N_Table1_Cell">
      <calculatedColumnFormula>Tbl_MeasureList[[#This Row],[ER (EE) Low Measure Natural Gas Annual Consumption Savings (therms/yr)]]*Btu_per_MMBtu/(GAS_BTU_PER_CUFT*Therm_per_MMBtu*1000)</calculatedColumnFormula>
    </tableColumn>
    <tableColumn id="334" name="Current ER (EE) Low Measure Gas Fuel Savings (1,000 cu.ft. gas/year)" dataDxfId="217" dataCellStyle="N_Table1_Cell">
      <calculatedColumnFormula>Tbl_MeasureList[[#This Row],[Current ER (EE) Low Measure Gas Source Fuel Savings (1,000 cu.ft. gas/year)]]+Tbl_MeasureList[[#This Row],[Current ER (EE) Low Measure Gas Site Fuel Savings (1,000 cu.ft gas/year)]]</calculatedColumnFormula>
    </tableColumn>
    <tableColumn id="335" name="Current ER (EE) High Measure Coal Source Heat Savings (MMBtu/year)" dataDxfId="216" dataCellStyle="N_Table1_Cell">
      <calculatedColumnFormula>IFERROR(Tbl_MeasureList[[#This Row],[ER (EE) High Measure Electric Annual Consumption Savings (kWh/yr)]]*COAL_BTU_PER_SITE_KWH/Btu_per_MMBtu,"-")</calculatedColumnFormula>
    </tableColumn>
    <tableColumn id="336" name="Current ER (EE) High Measure Coal Source Fuel Savings (lbs coal/year)" dataDxfId="215" dataCellStyle="N_Table1_Cell">
      <calculatedColumnFormula>IFERROR(Tbl_MeasureList[[#This Row],[ER (EE) High Measure Electric Annual Consumption Savings (kWh/yr)]]*COAL_LBS_PER_SITE_KWH,"-")</calculatedColumnFormula>
    </tableColumn>
    <tableColumn id="337" name="Current ER (EE) High Measure Oil Source Heat Savings (MMBtu/year)" dataDxfId="214" dataCellStyle="N_Table1_Cell">
      <calculatedColumnFormula>IFERROR(Tbl_MeasureList[[#This Row],[ER (EE) High Measure Electric Annual Consumption Savings (kWh/yr)]]*OIL_BTU_PER_SITE_KWH/Btu_per_MMBtu,"-")</calculatedColumnFormula>
    </tableColumn>
    <tableColumn id="338" name="Current ER (EE) High Measure Oil Source Fuel Savings (gallons oil/year)" dataDxfId="213" dataCellStyle="N_Table1_Cell">
      <calculatedColumnFormula>IFERROR(Tbl_MeasureList[[#This Row],[ER (EE) High Measure Electric Annual Consumption Savings (kWh/yr)]]*OIL_GAL_PER_SITE_KWH,"-")</calculatedColumnFormula>
    </tableColumn>
    <tableColumn id="339" name="Current ER (EE) High Measure Oil Site Fuel Savings (gallons oil/year)" dataDxfId="212" dataCellStyle="N_Table1_Cell">
      <calculatedColumnFormula>IFERROR(Tbl_MeasureList[[#This Row],[ER (EE) High Measure Oil Annual Consumption Savings (MMBtu/yr)]]*Btu_per_MMBtu/OIL_BTU_PER_GAL,"-")</calculatedColumnFormula>
    </tableColumn>
    <tableColumn id="340" name="Current ER (EE) High Measure Oil Fuel Savings (gallons oil/year)" dataDxfId="211" dataCellStyle="N_Table1_Cell">
      <calculatedColumnFormula>IFERROR(Tbl_MeasureList[[#This Row],[Current ER (EE) High Measure Oil Source Fuel Savings (gallons oil/year)]]+Tbl_MeasureList[[#This Row],[Current ER (EE) High Measure Oil Site Fuel Savings (gallons oil/year)]],"-")</calculatedColumnFormula>
    </tableColumn>
    <tableColumn id="341" name="Current ER (EE) High Measure Gas Source Heat Savings (MMBtu/year)" dataDxfId="210" dataCellStyle="N_Table1_Cell">
      <calculatedColumnFormula>IFERROR(Tbl_MeasureList[[#This Row],[ER (EE) High Measure Electric Annual Consumption Savings (kWh/yr)]]*GAS_BTU_PER_SITE_KWH/Btu_per_MMBtu,"-")</calculatedColumnFormula>
    </tableColumn>
    <tableColumn id="342" name="Current ER (EE) High Measure Gas Source Fuel Savings (1,000 cu.ft. gas/year)" dataDxfId="209" dataCellStyle="N_Table1_Cell">
      <calculatedColumnFormula>IFERROR(Tbl_MeasureList[[#This Row],[ER (EE) High Measure Electric Annual Consumption Savings (kWh/yr)]]*GAS_CUFT_PER_SITE_KWH/1000,"-")</calculatedColumnFormula>
    </tableColumn>
    <tableColumn id="343" name="Current ER (EE) High Measure Gas Site Fuel Savings (1,000 cu.ft gas/year)" dataDxfId="208" dataCellStyle="N_Table1_Cell">
      <calculatedColumnFormula>IFERROR(Tbl_MeasureList[[#This Row],[ER (EE) High Measure Natural Gas Annual Consumption Savings (therms/yr)]]*Btu_per_MMBtu/(GAS_BTU_PER_CUFT*Therm_per_MMBtu*1000),"-")</calculatedColumnFormula>
    </tableColumn>
    <tableColumn id="344" name="Current ER (EE) High Measure Gas Fuel Savings (1,000 cu.ft. gas/year)" dataDxfId="207" dataCellStyle="N_Table1_Cell">
      <calculatedColumnFormula>IFERROR(Tbl_MeasureList[[#This Row],[Current ER (EE) High Measure Gas Source Fuel Savings (1,000 cu.ft. gas/year)]]+Tbl_MeasureList[[#This Row],[Current ER (EE) High Measure Gas Site Fuel Savings (1,000 cu.ft gas/year)]],"-")</calculatedColumnFormula>
    </tableColumn>
  </tableColumns>
  <tableStyleInfo showFirstColumn="0" showLastColumn="0" showRowStripes="1" showColumnStripes="0"/>
</table>
</file>

<file path=xl/tables/table4.xml><?xml version="1.0" encoding="utf-8"?>
<table xmlns="http://schemas.openxmlformats.org/spreadsheetml/2006/main" id="9" name="Tbl_ER_MeasureSummary" displayName="Tbl_ER_MeasureSummary" ref="C14:AV58" totalsRowShown="0" headerRowDxfId="206" dataDxfId="205">
  <autoFilter ref="C14:AV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8" hiddenButton="1"/>
    <filterColumn colId="19" hiddenButton="1"/>
    <filterColumn colId="20" hiddenButton="1"/>
    <filterColumn colId="21" hiddenButton="1"/>
    <filterColumn colId="22"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name="Measure ID" dataDxfId="204" dataCellStyle="N_Input"/>
    <tableColumn id="2" name="Baseline Equipment ID" dataDxfId="203" dataCellStyle="N_Calc1">
      <calculatedColumnFormula>INDEX(Tbl_MeasureList[],MATCH(Tbl_ER_MeasureSummary[[#This Row],[Measure ID]:[Measure ID]],Tbl_MeasureList[[Measure ID]:[Measure ID]],0),MATCH(Tbl_ER_MeasureSummary[[#Headers],[Baseline Equipment ID]],Tbl_MeasureList[#Headers],0))</calculatedColumnFormula>
    </tableColumn>
    <tableColumn id="5" name="Replacement ID" dataDxfId="202" dataCellStyle="N_Calc1">
      <calculatedColumnFormula>INDEX(Tbl_MeasureList[],MATCH(Tbl_ER_MeasureSummary[[#This Row],[Measure ID]:[Measure ID]],Tbl_MeasureList[[Measure ID]:[Measure ID]],0),MATCH(Tbl_ER_MeasureSummary[[#Headers],[Replacement ID]],Tbl_MeasureList[#Headers],0))</calculatedColumnFormula>
    </tableColumn>
    <tableColumn id="23" name="Savings Stream" dataDxfId="201" dataCellStyle="N_Input"/>
    <tableColumn id="3" name="Baseline Name" dataDxfId="200" dataCellStyle="N_Calc1">
      <calculatedColumnFormula>INDEX(Tbl_MeasureList[],MATCH(Tbl_ER_MeasureSummary[[#This Row],[Measure ID]:[Measure ID]],Tbl_MeasureList[[Measure ID]:[Measure ID]],0),MATCH(Tbl_ER_MeasureSummary[[#Headers],[Baseline Name]],Tbl_MeasureList[#Headers],0))</calculatedColumnFormula>
    </tableColumn>
    <tableColumn id="6" name="Replacement Name" dataDxfId="199" dataCellStyle="N_Calc1">
      <calculatedColumnFormula>INDEX(Tbl_MeasureList[],MATCH(Tbl_ER_MeasureSummary[[#This Row],[Measure ID]:[Measure ID]],Tbl_MeasureList[[Measure ID]:[Measure ID]],0),MATCH(Tbl_ER_MeasureSummary[[#Headers],[Replacement Name]],Tbl_MeasureList[#Headers],0))</calculatedColumnFormula>
    </tableColumn>
    <tableColumn id="11" name="Measure Definition" dataDxfId="198" dataCellStyle="N_Calc1">
      <calculatedColumnFormula>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calculatedColumnFormula>
    </tableColumn>
    <tableColumn id="24" name="Measure Life" dataDxfId="197" dataCellStyle="N_Calc1">
      <calculatedColumnFormula>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calculatedColumnFormula>
    </tableColumn>
    <tableColumn id="4" name="Baseline Function" dataDxfId="196" dataCellStyle="N_Calc1">
      <calculatedColumnFormula>INDEX(Tbl_MeasureList[],MATCH(Tbl_ER_MeasureSummary[[#This Row],[Measure ID]:[Measure ID]],Tbl_MeasureList[[Measure ID]:[Measure ID]],0),MATCH(Tbl_ER_MeasureSummary[[#Headers],[Baseline Function]],Tbl_MeasureList[#Headers],0))</calculatedColumnFormula>
    </tableColumn>
    <tableColumn id="7" name="Replacement Function" dataDxfId="195" dataCellStyle="N_Calc1">
      <calculatedColumnFormula>INDEX(Tbl_MeasureList[],MATCH(Tbl_ER_MeasureSummary[[#This Row],[Measure ID]:[Measure ID]],Tbl_MeasureList[[Measure ID]:[Measure ID]],0),MATCH(Tbl_ER_MeasureSummary[[#Headers],[Replacement Function]],Tbl_MeasureList[#Headers],0))</calculatedColumnFormula>
    </tableColumn>
    <tableColumn id="8" name="Keep Existing Heating Equipment?" dataDxfId="194" dataCellStyle="N_Calc1">
      <calculatedColumnFormula>INDEX(Tbl_MeasureList[],MATCH(Tbl_ER_MeasureSummary[[#This Row],[Measure ID]:[Measure ID]],Tbl_MeasureList[[Measure ID]:[Measure ID]],0),MATCH(Tbl_ER_MeasureSummary[[#Headers],[Keep Existing Heating Equipment?]],Tbl_MeasureList[#Headers],0))</calculatedColumnFormula>
    </tableColumn>
    <tableColumn id="9" name="Baseline Fuel" dataDxfId="193" dataCellStyle="N_Calc2">
      <calculatedColumnFormula>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calculatedColumnFormula>
    </tableColumn>
    <tableColumn id="10" name="Replacement Fuel" dataDxfId="192" dataCellStyle="N_Calc2">
      <calculatedColumnFormula>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calculatedColumnFormula>
    </tableColumn>
    <tableColumn id="13" name="Original Fuel Baseline Efficiency" dataDxfId="191" dataCellStyle="N_Calc1">
      <calculatedColumnFormula>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calculatedColumnFormula>
    </tableColumn>
    <tableColumn id="14" name="Original Fuel Code Efficiency" dataDxfId="190" dataCellStyle="N_Calc2">
      <calculatedColumnFormula>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calculatedColumnFormula>
    </tableColumn>
    <tableColumn id="15" name="Replacement Fuel Low Tier Efficiency" dataDxfId="189" dataCellStyle="N_Calc1">
      <calculatedColumnFormula>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calculatedColumnFormula>
    </tableColumn>
    <tableColumn id="16" name="Replacement Fuel High Tier Efficiency" dataDxfId="188" dataCellStyle="N_Calc2">
      <calculatedColumnFormula>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calculatedColumnFormula>
    </tableColumn>
    <tableColumn id="33" name="Fuel Switch Annual Energy Savings on MMBtu Basis (MMBtu/yr)" dataDxfId="187" dataCellStyle="N_Calc2">
      <calculatedColumnFormula>IF(Tbl_ER_MeasureSummary[[#This Row],[Savings Stream]]="Retire","-",
INDEX(Tbl_MeasureList[],MATCH(Tbl_ER_MeasureSummary[[#This Row],[Measure ID]:[Measure ID]],Tbl_MeasureList[[Measure ID]:[Measure ID]],0),MATCH(Tbl_ER_MeasureSummary[[#Headers],[Fuel Switch Annual Energy Savings on MMBtu Basis (MMBtu/yr)]],Tbl_MeasureList[#Headers],0)))</calculatedColumnFormula>
    </tableColumn>
    <tableColumn id="17" name="ER Low Measure Energy Cost Savings (USD/yr)" dataDxfId="186" dataCellStyle="N_Calc1">
      <calculatedColumnFormula>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calculatedColumnFormula>
    </tableColumn>
    <tableColumn id="18" name="ER Total Low Measure Incremental Installed Cost, less Deferred Replacement Credit (USD)" dataDxfId="185" dataCellStyle="N_Calc1">
      <calculatedColumnFormula>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calculatedColumnFormula>
    </tableColumn>
    <tableColumn id="19" name="ER Low Measure Electric Annual Consumption Savings (kWh/yr)" dataDxfId="184" dataCellStyle="N_Calc1">
      <calculatedColumnFormula>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calculatedColumnFormula>
    </tableColumn>
    <tableColumn id="20" name="ER Low Measure Electric Winter Peak Demand Savings (kW)" dataDxfId="183" dataCellStyle="N_Calc1">
      <calculatedColumnFormula>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calculatedColumnFormula>
    </tableColumn>
    <tableColumn id="21" name="ER Low Measure Electric Summer Peak Demand Savings (kW)" dataDxfId="182" dataCellStyle="N_Calc1">
      <calculatedColumnFormula>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calculatedColumnFormula>
    </tableColumn>
    <tableColumn id="12" name="ER Low Measure Natural Gas Annual Consumption Savings (therms/yr)" dataDxfId="181" dataCellStyle="N_Calc1">
      <calculatedColumnFormula>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calculatedColumnFormula>
    </tableColumn>
    <tableColumn id="22" name="ER Low Measure Propane Annual Consumption Savings (MMBtu/yr)" dataDxfId="180" dataCellStyle="N_Calc1">
      <calculatedColumnFormula>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calculatedColumnFormula>
    </tableColumn>
    <tableColumn id="34" name="ER Low Measure Oil Annual Consumption Savings (MMBtu/yr)" dataDxfId="179" dataCellStyle="N_Calc1">
      <calculatedColumnFormula>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calculatedColumnFormula>
    </tableColumn>
    <tableColumn id="25" name="ER Low Measure Annual Energy Savings on MMBtu Basis (MMBtu/yr)" dataDxfId="178" dataCellStyle="N_Calc1">
      <calculatedColumnFormula>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calculatedColumnFormula>
    </tableColumn>
    <tableColumn id="26" name="ER Low Measure Carbon Emissions Reduction, Site (tons CO2/yr)" dataDxfId="177" dataCellStyle="N_Calc1">
      <calculatedColumnFormula>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calculatedColumnFormula>
    </tableColumn>
    <tableColumn id="27" name="ER Low Measure Carbon Emissions Reduction, Source (tons CO2/yr)" dataDxfId="176" dataCellStyle="N_Calc1">
      <calculatedColumnFormula>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calculatedColumnFormula>
    </tableColumn>
    <tableColumn id="28" name="ER High Measure Energy Cost Savings (USD/yr)" dataDxfId="175" dataCellStyle="N_Calc1">
      <calculatedColumnFormula>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calculatedColumnFormula>
    </tableColumn>
    <tableColumn id="29" name="ER High Measure Incremental Installed Cost, less Deferred Replacement Credit (USD)" dataDxfId="174" dataCellStyle="N_Calc1">
      <calculatedColumnFormula>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calculatedColumnFormula>
    </tableColumn>
    <tableColumn id="30" name="ER High Measure Electric Annual Consumption Savings (kWh/yr)" dataDxfId="173" dataCellStyle="N_Calc1">
      <calculatedColumnFormula>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calculatedColumnFormula>
    </tableColumn>
    <tableColumn id="31" name="ER High Measure Electric Winter Peak Demand Savings (kW)" dataDxfId="172" dataCellStyle="N_Calc1">
      <calculatedColumnFormula>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calculatedColumnFormula>
    </tableColumn>
    <tableColumn id="32" name="ER High Measure Electric Summer Peak Demand Savings (kW)" dataDxfId="171" dataCellStyle="N_Calc1">
      <calculatedColumnFormula>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calculatedColumnFormula>
    </tableColumn>
    <tableColumn id="35" name="ER High Measure Natural Gas Annual Consumption Savings (therms/yr)" dataDxfId="170" dataCellStyle="N_Calc1">
      <calculatedColumnFormula>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calculatedColumnFormula>
    </tableColumn>
    <tableColumn id="39" name="ER High Measure Propane Annual Consumption Savings (MMBtu/yr)" dataDxfId="169" dataCellStyle="N_Calc1">
      <calculatedColumnFormula>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calculatedColumnFormula>
    </tableColumn>
    <tableColumn id="40" name="ER High Measure Oil Annual Consumption Savings (MMBtu/yr)" dataDxfId="168" dataCellStyle="N_Calc1">
      <calculatedColumnFormula>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calculatedColumnFormula>
    </tableColumn>
    <tableColumn id="36" name="ER High Measure Annual Energy Savings on MMBtu Basis (MMBtu/yr)" dataDxfId="167" dataCellStyle="N_Calc1">
      <calculatedColumnFormula>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calculatedColumnFormula>
    </tableColumn>
    <tableColumn id="37" name="ER High Measure Carbon Emissions Reduction, Site (tons CO2/yr)" dataDxfId="166" dataCellStyle="N_Calc1">
      <calculatedColumnFormula>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calculatedColumnFormula>
    </tableColumn>
    <tableColumn id="38" name="ER High Measure Carbon Emissions Reduction, Source (tons CO2/yr)" dataDxfId="165" dataCellStyle="N_Calc1">
      <calculatedColumnFormula>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calculatedColumnFormula>
    </tableColumn>
    <tableColumn id="62" name="Current ER Low Measure Coal Source Fuel Savings (lbs coal/year)" dataDxfId="164" dataCellStyle="N_Calc1">
      <calculatedColumnFormula>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calculatedColumnFormula>
    </tableColumn>
    <tableColumn id="66" name="Current ER Low Measure Oil Total Fuel Savings (gallons oil/year)" dataDxfId="163" dataCellStyle="N_Calc1">
      <calculatedColumnFormula>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calculatedColumnFormula>
    </tableColumn>
    <tableColumn id="70" name="Current ER Low Measure Gas Total Fuel Savings (1,000 cu.ft. gas/year)" dataDxfId="162" dataCellStyle="N_Calc1">
      <calculatedColumnFormula>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calculatedColumnFormula>
    </tableColumn>
    <tableColumn id="72" name="Current ER High Measure Coal Source Fuel Savings (lbs coal/year)" dataDxfId="161" dataCellStyle="N_Calc1">
      <calculatedColumnFormula>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calculatedColumnFormula>
    </tableColumn>
    <tableColumn id="76" name="Current ER High Measure Oil Total Fuel Savings (gallons oil/year)" dataDxfId="160" dataCellStyle="N_Calc1">
      <calculatedColumnFormula>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calculatedColumnFormula>
    </tableColumn>
    <tableColumn id="80" name="Current ER High Measure Gas Total Fuel Savings (1,000 cu.ft. gas/year)" dataDxfId="159" dataCellStyle="N_Calc1">
      <calculatedColumnFormula>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calculatedColumnFormula>
    </tableColumn>
  </tableColumns>
  <tableStyleInfo name="Navigant_02" showFirstColumn="0" showLastColumn="0" showRowStripes="1" showColumnStripes="0"/>
</table>
</file>

<file path=xl/tables/table5.xml><?xml version="1.0" encoding="utf-8"?>
<table xmlns="http://schemas.openxmlformats.org/spreadsheetml/2006/main" id="2" name="Tbl_PD_MeasureSummary" displayName="Tbl_PD_MeasureSummary" ref="C88:AT95" totalsRowShown="0" headerRowDxfId="158" dataDxfId="157">
  <autoFilter ref="C88:AT9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autoFilter>
  <sortState ref="C89:AT95">
    <sortCondition ref="C88:C95"/>
  </sortState>
  <tableColumns count="44">
    <tableColumn id="1" name="Measure ID" dataDxfId="156" dataCellStyle="N_Input"/>
    <tableColumn id="2" name="Baseline Equipment ID" dataDxfId="155" dataCellStyle="N_Calc1">
      <calculatedColumnFormula>INDEX(Tbl_MeasureList[],MATCH(Tbl_PD_MeasureSummary[[#This Row],[Measure ID]:[Measure ID]],Tbl_MeasureList[[Measure ID]:[Measure ID]],0),MATCH(Tbl_PD_MeasureSummary[[#Headers],[Baseline Equipment ID]],Tbl_MeasureList[#Headers],0))</calculatedColumnFormula>
    </tableColumn>
    <tableColumn id="5" name="Replacement ID" dataDxfId="154" dataCellStyle="N_Calc1">
      <calculatedColumnFormula>INDEX(Tbl_MeasureList[],MATCH(Tbl_PD_MeasureSummary[[#This Row],[Measure ID]:[Measure ID]],Tbl_MeasureList[[Measure ID]:[Measure ID]],0),MATCH(Tbl_PD_MeasureSummary[[#Headers],[Replacement ID]],Tbl_MeasureList[#Headers],0))</calculatedColumnFormula>
    </tableColumn>
    <tableColumn id="3" name="Baseline Name" dataDxfId="153" dataCellStyle="N_Calc1">
      <calculatedColumnFormula>INDEX(Tbl_MeasureList[],MATCH(Tbl_PD_MeasureSummary[[#This Row],[Measure ID]:[Measure ID]],Tbl_MeasureList[[Measure ID]:[Measure ID]],0),MATCH(Tbl_PD_MeasureSummary[[#Headers],[Baseline Name]],Tbl_MeasureList[#Headers],0))</calculatedColumnFormula>
    </tableColumn>
    <tableColumn id="6" name="Replacement Name" dataDxfId="152" dataCellStyle="N_Calc1">
      <calculatedColumnFormula>INDEX(Tbl_MeasureList[],MATCH(Tbl_PD_MeasureSummary[[#This Row],[Measure ID]:[Measure ID]],Tbl_MeasureList[[Measure ID]:[Measure ID]],0),MATCH(Tbl_PD_MeasureSummary[[#Headers],[Replacement Name]],Tbl_MeasureList[#Headers],0))</calculatedColumnFormula>
    </tableColumn>
    <tableColumn id="11" name="Measure Definition" dataDxfId="151" dataCellStyle="N_Calc1">
      <calculatedColumnFormula>INDEX(Tbl_MeasureList[],MATCH(Tbl_PD_MeasureSummary[[#This Row],[Measure ID]:[Measure ID]],Tbl_MeasureList[[Measure ID]:[Measure ID]],0),MATCH(Tbl_PD_MeasureSummary[[#Headers],[Baseline Name]],Tbl_MeasureList[#Headers],0))&amp;" to "&amp;INDEX(Tbl_MeasureList[],MATCH(Tbl_PD_MeasureSummary[[#This Row],[Measure ID]:[Measure ID]],Tbl_MeasureList[[Measure ID]:[Measure ID]],0),MATCH(Tbl_PD_MeasureSummary[[#Headers],[Replacement Name]],Tbl_MeasureList[#Headers],0))</calculatedColumnFormula>
    </tableColumn>
    <tableColumn id="22" name="New Unit Equipment Life (years)" dataDxfId="150" dataCellStyle="N_Calc1">
      <calculatedColumnFormula>INDEX(Tbl_MeasureList[],MATCH(Tbl_PD_MeasureSummary[[#This Row],[Measure ID]:[Measure ID]],Tbl_MeasureList[[Measure ID]:[Measure ID]],0),MATCH(Tbl_PD_MeasureSummary[[#Headers],[New Unit Equipment Life (years)]],Tbl_MeasureList[#Headers],0))</calculatedColumnFormula>
    </tableColumn>
    <tableColumn id="4" name="Baseline Function" dataDxfId="149" dataCellStyle="N_Calc1">
      <calculatedColumnFormula>INDEX(Tbl_MeasureList[],MATCH(Tbl_PD_MeasureSummary[[#This Row],[Measure ID]:[Measure ID]],Tbl_MeasureList[[Measure ID]:[Measure ID]],0),MATCH(Tbl_PD_MeasureSummary[[#Headers],[Baseline Function]],Tbl_MeasureList[#Headers],0))</calculatedColumnFormula>
    </tableColumn>
    <tableColumn id="7" name="Replacement Function" dataDxfId="148" dataCellStyle="N_Calc1">
      <calculatedColumnFormula>INDEX(Tbl_MeasureList[],MATCH(Tbl_PD_MeasureSummary[[#This Row],[Measure ID]:[Measure ID]],Tbl_MeasureList[[Measure ID]:[Measure ID]],0),MATCH(Tbl_PD_MeasureSummary[[#Headers],[Replacement Function]],Tbl_MeasureList[#Headers],0))</calculatedColumnFormula>
    </tableColumn>
    <tableColumn id="8" name="Keep Existing Heating Equipment?" dataDxfId="147" dataCellStyle="N_Calc1">
      <calculatedColumnFormula>INDEX(Tbl_MeasureList[],MATCH(Tbl_PD_MeasureSummary[[#This Row],[Measure ID]:[Measure ID]],Tbl_MeasureList[[Measure ID]:[Measure ID]],0),MATCH(Tbl_PD_MeasureSummary[[#Headers],[Keep Existing Heating Equipment?]],Tbl_MeasureList[#Headers],0))</calculatedColumnFormula>
    </tableColumn>
    <tableColumn id="9" name="Baseline Fuel" dataDxfId="146" dataCellStyle="N_Calc2">
      <calculatedColumnFormula>INDEX(Tbl_MeasureList[Baseline Fuel 1],MATCH(Tbl_PD_MeasureSummary[[#This Row],[Measure ID]],Tbl_MeasureList[Measure ID],0))&amp;
  IF(INDEX(Tbl_MeasureList[Baseline Fuel 2],MATCH(Tbl_PD_MeasureSummary[[#This Row],[Measure ID]],Tbl_MeasureList[Measure ID],0))&lt;&gt;"-",
       "+"&amp;INDEX(Tbl_MeasureList[Baseline Fuel 2],MATCH(Tbl_PD_MeasureSummary[[#This Row],[Measure ID]],Tbl_MeasureList[Measure ID],0)),"")</calculatedColumnFormula>
    </tableColumn>
    <tableColumn id="10" name="Replacement Fuel" dataDxfId="145" dataCellStyle="N_Calc2">
      <calculatedColumnFormula>INDEX(Tbl_MeasureList[Replacement Fuel 1],MATCH(Tbl_PD_MeasureSummary[[#This Row],[Measure ID]],Tbl_MeasureList[Measure ID],0))&amp;
  IF(INDEX(Tbl_MeasureList[Replacement Fuel 2],MATCH(Tbl_PD_MeasureSummary[[#This Row],[Measure ID]],Tbl_MeasureList[Measure ID],0))&lt;&gt;"-",
       "+"&amp;INDEX(Tbl_MeasureList[Replacement Fuel 2],MATCH(Tbl_PD_MeasureSummary[[#This Row],[Measure ID]],Tbl_MeasureList[Measure ID],0)),"")</calculatedColumnFormula>
    </tableColumn>
    <tableColumn id="13" name="Original Fuel Baseline Efficiency" dataDxfId="144" dataCellStyle="N_Calc1">
      <calculatedColumnFormula>IF(Tbl_PD_MeasureSummary[[#This Row],[Baseline Fuel]]="Oil",INDEX(Tbl_EquipmentDefinitions[Oil Baseline Efficiency],MATCH(Tbl_PD_MeasureSummary[[#This Row],[Baseline Equipment ID]:[Baseline Equipment ID]],Tbl_EquipmentDefinitions[Equipment ID],0)),
  IF(Tbl_PD_MeasureSummary[[#This Row],[Baseline Fuel]]="Propane",INDEX(Tbl_EquipmentDefinitions[Propane Baseline Efficiency],MATCH(Tbl_PD_MeasureSummary[[#This Row],[Baseline Equipment ID]:[Baseline Equipment ID]],Tbl_EquipmentDefinitions[Equipment ID],0)),
  IF(Tbl_PD_MeasureSummary[[#This Row],[Baseline Fuel]]="Electric+Oil",
        INDEX(Tbl_EquipmentDefinitions[Electricity Baseline Efficiency],MATCH(Tbl_PD_MeasureSummary[[#This Row],[Baseline Equipment ID]:[Baseline Equipment ID]],Tbl_EquipmentDefinitions[Equipment ID],0))&amp;CHAR(10)&amp;
        INDEX(Tbl_EquipmentDefinitions[Oil Baseline Efficiency],MATCH(Tbl_PD_MeasureSummary[[#This Row],[Baseline Equipment ID]:[Baseline Equipment ID]],Tbl_EquipmentDefinitions[Equipment ID],0)),
  IF(Tbl_PD_MeasureSummary[[#This Row],[Baseline Fuel]]="Electric+Propane",
        INDEX(Tbl_EquipmentDefinitions[Electricity Baseline Efficiency],MATCH(Tbl_PD_MeasureSummary[[#This Row],[Baseline Equipment ID]:[Baseline Equipment ID]],Tbl_EquipmentDefinitions[Equipment ID],0))&amp;CHAR(10)&amp;
        INDEX(Tbl_EquipmentDefinitions[Propane Baseline Efficiency],MATCH(Tbl_PD_MeasureSummary[[#This Row],[Baseline Equipment ID]:[Baseline Equipment ID]],Tbl_EquipmentDefinitions[Equipment ID],0)),
  IF(Tbl_PD_MeasureSummary[[#This Row],[Baseline Fuel]]="Electric+Electric",INDEX(Tbl_EquipmentDefinitions[Electricity Baseline Efficiency],MATCH(Tbl_PD_MeasureSummary[[#This Row],[Baseline Equipment ID]:[Baseline Equipment ID]],Tbl_EquipmentDefinitions[Equipment ID],0)),
)))))</calculatedColumnFormula>
    </tableColumn>
    <tableColumn id="14" name="Original Fuel Code Efficiency" dataDxfId="143" dataCellStyle="N_Calc2">
      <calculatedColumnFormula>IF(Tbl_PD_MeasureSummary[[#This Row],[Baseline Fuel]]="Oil",INDEX(Tbl_EquipmentDefinitions[Oil Baseline Efficiency],MATCH(Tbl_PD_MeasureSummary[[#This Row],[Baseline Equipment ID]:[Baseline Equipment ID]],Tbl_EquipmentDefinitions[Equipment ID],0)),
  IF(Tbl_PD_MeasureSummary[[#This Row],[Baseline Fuel]]="Propane",INDEX(Tbl_EquipmentDefinitions[Propane Baseline Efficiency],MATCH(Tbl_PD_MeasureSummary[[#This Row],[Baseline Equipment ID]:[Baseline Equipment ID]],Tbl_EquipmentDefinitions[Equipment ID],0)),
  IF(Tbl_PD_MeasureSummary[[#This Row],[Baseline Fuel]]="Electric+Oil",
        INDEX(Tbl_EquipmentDefinitions[Electricity Baseline Efficiency],MATCH(Tbl_PD_MeasureSummary[[#This Row],[Baseline Equipment ID]:[Baseline Equipment ID]],Tbl_EquipmentDefinitions[Equipment ID],0))&amp;CHAR(10)&amp;
        INDEX(Tbl_EquipmentDefinitions[Oil Baseline Efficiency],MATCH(Tbl_PD_MeasureSummary[[#This Row],[Baseline Equipment ID]:[Baseline Equipment ID]],Tbl_EquipmentDefinitions[Equipment ID],0)),
  IF(Tbl_PD_MeasureSummary[[#This Row],[Baseline Fuel]]="Electric+Propane",
        INDEX(Tbl_EquipmentDefinitions[Electricity Baseline Efficiency],MATCH(Tbl_PD_MeasureSummary[[#This Row],[Baseline Equipment ID]:[Baseline Equipment ID]],Tbl_EquipmentDefinitions[Equipment ID],0))&amp;CHAR(10)&amp;
        INDEX(Tbl_EquipmentDefinitions[Propane Baseline Efficiency],MATCH(Tbl_PD_MeasureSummary[[#This Row],[Baseline Equipment ID]:[Baseline Equipment ID]],Tbl_EquipmentDefinitions[Equipment ID],0)),
  IF(Tbl_PD_MeasureSummary[[#This Row],[Baseline Fuel]]="Electric+Electric",INDEX(Tbl_EquipmentDefinitions[Electricity Baseline Efficiency],MATCH(Tbl_PD_MeasureSummary[[#This Row],[Baseline Equipment ID]:[Baseline Equipment ID]],Tbl_EquipmentDefinitions[Equipment ID],0)),
)))))</calculatedColumnFormula>
    </tableColumn>
    <tableColumn id="15" name="Replacement Fuel Low Tier Efficiency" dataDxfId="142" dataCellStyle="N_Calc1">
      <calculatedColumnFormula>IF(Tbl_PD_MeasureSummary[[#This Row],[Replacement Fuel]]="Natural Gas",INDEX(Tbl_EquipmentDefinitions[Natural Gas Low Measure Efficiency],MATCH(Tbl_PD_MeasureSummary[[#This Row],[Replacement ID]:[Replacement ID]],Tbl_EquipmentDefinitions[Equipment ID],0)),
  IF(Tbl_PD_MeasureSummary[[#This Row],[Replacement Fuel]]="Electric",INDEX(Tbl_EquipmentDefinitions[Electricity Low Measure Efficiency],MATCH(Tbl_PD_MeasureSummary[[#This Row],[Replacement ID]:[Replacement ID]],Tbl_EquipmentDefinitions[Equipment ID],0)),
  IF(Tbl_PD_MeasureSummary[[#This Row],[Replacement Fuel]]="Electric+Oil",
        INDEX(Tbl_EquipmentDefinitions[Electricity Low Measure Efficiency],MATCH(Tbl_PD_MeasureSummary[[#This Row],[Replacement ID]:[Replacement ID]],Tbl_EquipmentDefinitions[Equipment ID],0))&amp;CHAR(10)&amp;
        INDEX(Tbl_EquipmentDefinitions[Oil Baseline Efficiency],MATCH(Tbl_PD_MeasureSummary[[#This Row],[Replacement ID]:[Replacement ID]],Tbl_EquipmentDefinitions[Equipment ID],0)),
  IF(Tbl_PD_MeasureSummary[[#This Row],[Replacement Fuel]]="Electric+Propane",
        INDEX(Tbl_EquipmentDefinitions[Electricity Low Measure Efficiency],MATCH(Tbl_PD_MeasureSummary[[#This Row],[Replacement ID]:[Replacement ID]],Tbl_EquipmentDefinitions[Equipment ID],0))&amp;CHAR(10)&amp;
        INDEX(Tbl_EquipmentDefinitions[Propane Baseline Efficiency],MATCH(Tbl_PD_MeasureSummary[[#This Row],[Replacement ID]:[Replacement ID]],Tbl_EquipmentDefinitions[Equipment ID],0)),
  IF(Tbl_PD_MeasureSummary[[#This Row],[Replacement Fuel]]="Electric+Electric",INDEX(Tbl_EquipmentDefinitions[Electricity Low Measure Efficiency],MATCH(Tbl_PD_MeasureSummary[[#This Row],[Replacement ID]:[Replacement ID]],Tbl_EquipmentDefinitions[Equipment ID],0)),
)))))</calculatedColumnFormula>
    </tableColumn>
    <tableColumn id="16" name="Replacement Fuel High Tier Efficiency" dataDxfId="141" dataCellStyle="N_Calc2">
      <calculatedColumnFormula>IF(Tbl_PD_MeasureSummary[[#This Row],[Replacement Fuel]]="Natural Gas",INDEX(Tbl_EquipmentDefinitions[Natural Gas Low Measure Efficiency],MATCH(Tbl_PD_MeasureSummary[[#This Row],[Replacement ID]:[Replacement ID]],Tbl_EquipmentDefinitions[Equipment ID],0)),
  IF(Tbl_PD_MeasureSummary[[#This Row],[Replacement Fuel]]="Electric",INDEX(Tbl_EquipmentDefinitions[Electricity Low Measure Efficiency],MATCH(Tbl_PD_MeasureSummary[[#This Row],[Replacement ID]:[Replacement ID]],Tbl_EquipmentDefinitions[Equipment ID],0)),
  IF(Tbl_PD_MeasureSummary[[#This Row],[Replacement Fuel]]="Electric+Oil",
        INDEX(Tbl_EquipmentDefinitions[Electricity Low Measure Efficiency],MATCH(Tbl_PD_MeasureSummary[[#This Row],[Replacement ID]:[Replacement ID]],Tbl_EquipmentDefinitions[Equipment ID],0))&amp;CHAR(10)&amp;
        INDEX(Tbl_EquipmentDefinitions[Oil Baseline Efficiency],MATCH(Tbl_PD_MeasureSummary[[#This Row],[Replacement ID]:[Replacement ID]],Tbl_EquipmentDefinitions[Equipment ID],0)),
  IF(Tbl_PD_MeasureSummary[[#This Row],[Replacement Fuel]]="Electric+Propane",
        INDEX(Tbl_EquipmentDefinitions[Electricity Low Measure Efficiency],MATCH(Tbl_PD_MeasureSummary[[#This Row],[Replacement ID]:[Replacement ID]],Tbl_EquipmentDefinitions[Equipment ID],0))&amp;CHAR(10)&amp;
        INDEX(Tbl_EquipmentDefinitions[Propane Baseline Efficiency],MATCH(Tbl_PD_MeasureSummary[[#This Row],[Replacement ID]:[Replacement ID]],Tbl_EquipmentDefinitions[Equipment ID],0)),
  IF(Tbl_PD_MeasureSummary[[#This Row],[Replacement Fuel]]="Electric+Electric",INDEX(Tbl_EquipmentDefinitions[Electricity Low Measure Efficiency],MATCH(Tbl_PD_MeasureSummary[[#This Row],[Replacement ID]:[Replacement ID]],Tbl_EquipmentDefinitions[Equipment ID],0)),
)))))</calculatedColumnFormula>
    </tableColumn>
    <tableColumn id="17" name="PD Low Measure Energy Cost Savings (USD/yr)" dataDxfId="140" dataCellStyle="N_Calc1">
      <calculatedColumnFormula>INDEX(Tbl_MeasureList[],MATCH(Tbl_PD_MeasureSummary[[#This Row],[Measure ID]:[Measure ID]],Tbl_MeasureList[[Measure ID]:[Measure ID]],0),MATCH(S$97,Tbl_MeasureList[#Headers],0))</calculatedColumnFormula>
    </tableColumn>
    <tableColumn id="18" name="PD Total Low Measure Incremental Installed Cost, less Deferred Replacement Credit (USD)" dataDxfId="139" dataCellStyle="N_Calc1">
      <calculatedColumnFormula>INDEX(Tbl_MeasureList[],MATCH(Tbl_PD_MeasureSummary[[#This Row],[Measure ID]:[Measure ID]],Tbl_MeasureList[[Measure ID]:[Measure ID]],0),MATCH(T$97,Tbl_MeasureList[#Headers],0))</calculatedColumnFormula>
    </tableColumn>
    <tableColumn id="19" name="PD Low Measure Electric Annual Consumption Savings (kWh/yr)" dataDxfId="138" dataCellStyle="N_Calc1">
      <calculatedColumnFormula>INDEX(Tbl_MeasureList[],MATCH(Tbl_PD_MeasureSummary[[#This Row],[Measure ID]:[Measure ID]],Tbl_MeasureList[[Measure ID]:[Measure ID]],0),MATCH(U$97,Tbl_MeasureList[#Headers],0))</calculatedColumnFormula>
    </tableColumn>
    <tableColumn id="20" name="PD Low Measure Electric Winter Peak Demand Savings (kW)" dataDxfId="137" dataCellStyle="N_Calc1">
      <calculatedColumnFormula>INDEX(Tbl_MeasureList[],MATCH(Tbl_PD_MeasureSummary[[#This Row],[Measure ID]:[Measure ID]],Tbl_MeasureList[[Measure ID]:[Measure ID]],0),MATCH(V$97,Tbl_MeasureList[#Headers],0))</calculatedColumnFormula>
    </tableColumn>
    <tableColumn id="21" name="PD Low Measure Electric Summer Peak Demand Savings (kW)" dataDxfId="136" dataCellStyle="N_Calc1">
      <calculatedColumnFormula>INDEX(Tbl_MeasureList[],MATCH(Tbl_PD_MeasureSummary[[#This Row],[Measure ID]:[Measure ID]],Tbl_MeasureList[[Measure ID]:[Measure ID]],0),MATCH(W$97,Tbl_MeasureList[#Headers],0))</calculatedColumnFormula>
    </tableColumn>
    <tableColumn id="12" name="PD Low Measure Natural Gas Annual Consumption Savings (therms/yr)" dataDxfId="135" dataCellStyle="N_Calc1">
      <calculatedColumnFormula>INDEX(Tbl_MeasureList[],MATCH(Tbl_PD_MeasureSummary[[#This Row],[Measure ID]:[Measure ID]],Tbl_MeasureList[[Measure ID]:[Measure ID]],0),MATCH(X$97,Tbl_MeasureList[#Headers],0))</calculatedColumnFormula>
    </tableColumn>
    <tableColumn id="23" name="PD Low Measure Propane Annual Consumption Savings (MMBtu/yr)" dataDxfId="134" dataCellStyle="N_Calc1">
      <calculatedColumnFormula>INDEX(Tbl_MeasureList[],MATCH(Tbl_PD_MeasureSummary[[#This Row],[Measure ID]:[Measure ID]],Tbl_MeasureList[[Measure ID]:[Measure ID]],0),MATCH(Y$97,Tbl_MeasureList[#Headers],0))</calculatedColumnFormula>
    </tableColumn>
    <tableColumn id="24" name="PD Low Measure Oil Annual Consumption Savings (MMBtu/yr)" dataDxfId="133" dataCellStyle="N_Calc1">
      <calculatedColumnFormula>INDEX(Tbl_MeasureList[],MATCH(Tbl_PD_MeasureSummary[[#This Row],[Measure ID]:[Measure ID]],Tbl_MeasureList[[Measure ID]:[Measure ID]],0),MATCH(Z$97,Tbl_MeasureList[#Headers],0))</calculatedColumnFormula>
    </tableColumn>
    <tableColumn id="25" name="PD Low Measure Annual Energy Savings on MMBtu Basis (MMBtu/yr)" dataDxfId="132" dataCellStyle="N_Calc1">
      <calculatedColumnFormula>INDEX(Tbl_MeasureList[],MATCH(Tbl_PD_MeasureSummary[[#This Row],[Measure ID]:[Measure ID]],Tbl_MeasureList[[Measure ID]:[Measure ID]],0),MATCH(AA$97,Tbl_MeasureList[#Headers],0))</calculatedColumnFormula>
    </tableColumn>
    <tableColumn id="26" name="PD Low Measure Carbon Emissions Reduction, Site (tons CO2/yr)" dataDxfId="131" dataCellStyle="N_Calc1">
      <calculatedColumnFormula>INDEX(Tbl_MeasureList[],MATCH(Tbl_PD_MeasureSummary[[#This Row],[Measure ID]:[Measure ID]],Tbl_MeasureList[[Measure ID]:[Measure ID]],0),MATCH(AB$97,Tbl_MeasureList[#Headers],0))</calculatedColumnFormula>
    </tableColumn>
    <tableColumn id="27" name="PD Low Measure Carbon Emissions Reduction, Source (tons CO2/yr)" dataDxfId="130" dataCellStyle="N_Calc1">
      <calculatedColumnFormula>INDEX(Tbl_MeasureList[],MATCH(Tbl_PD_MeasureSummary[[#This Row],[Measure ID]:[Measure ID]],Tbl_MeasureList[[Measure ID]:[Measure ID]],0),MATCH(AC$97,Tbl_MeasureList[#Headers],0))</calculatedColumnFormula>
    </tableColumn>
    <tableColumn id="28" name="PD High Measure Energy Cost Savings (USD/yr)" dataDxfId="129" dataCellStyle="N_Calc1">
      <calculatedColumnFormula>INDEX(Tbl_MeasureList[],MATCH(Tbl_PD_MeasureSummary[[#This Row],[Measure ID]:[Measure ID]],Tbl_MeasureList[[Measure ID]:[Measure ID]],0),MATCH(AD$97,Tbl_MeasureList[#Headers],0))</calculatedColumnFormula>
    </tableColumn>
    <tableColumn id="29" name="PD High Measure Incremental Installed Cost (USD)" dataDxfId="128" dataCellStyle="N_Calc1">
      <calculatedColumnFormula>INDEX(Tbl_MeasureList[],MATCH(Tbl_PD_MeasureSummary[[#This Row],[Measure ID]:[Measure ID]],Tbl_MeasureList[[Measure ID]:[Measure ID]],0),MATCH(AE$97,Tbl_MeasureList[#Headers],0))</calculatedColumnFormula>
    </tableColumn>
    <tableColumn id="30" name="PD High Measure Electric Annual Consumption Savings (kWh/yr)" dataDxfId="127" dataCellStyle="N_Calc1">
      <calculatedColumnFormula>INDEX(Tbl_MeasureList[],MATCH(Tbl_PD_MeasureSummary[[#This Row],[Measure ID]:[Measure ID]],Tbl_MeasureList[[Measure ID]:[Measure ID]],0),MATCH(AF$97,Tbl_MeasureList[#Headers],0))</calculatedColumnFormula>
    </tableColumn>
    <tableColumn id="31" name="PD High Measure Electric Winter Peak Demand Savings (kW)" dataDxfId="126" dataCellStyle="N_Calc1">
      <calculatedColumnFormula>INDEX(Tbl_MeasureList[],MATCH(Tbl_PD_MeasureSummary[[#This Row],[Measure ID]:[Measure ID]],Tbl_MeasureList[[Measure ID]:[Measure ID]],0),MATCH(AG$97,Tbl_MeasureList[#Headers],0))</calculatedColumnFormula>
    </tableColumn>
    <tableColumn id="32" name="PD High Measure Electric Summer Peak Demand Savings (kW)" dataDxfId="125" dataCellStyle="N_Calc1">
      <calculatedColumnFormula>INDEX(Tbl_MeasureList[],MATCH(Tbl_PD_MeasureSummary[[#This Row],[Measure ID]:[Measure ID]],Tbl_MeasureList[[Measure ID]:[Measure ID]],0),MATCH(AH$97,Tbl_MeasureList[#Headers],0))</calculatedColumnFormula>
    </tableColumn>
    <tableColumn id="33" name="PD High Measure Natural Gas Annual Consumption Savings (therms/yr)" dataDxfId="124" dataCellStyle="N_Calc1">
      <calculatedColumnFormula>INDEX(Tbl_MeasureList[],MATCH(Tbl_PD_MeasureSummary[[#This Row],[Measure ID]:[Measure ID]],Tbl_MeasureList[[Measure ID]:[Measure ID]],0),MATCH(AI$97,Tbl_MeasureList[#Headers],0))</calculatedColumnFormula>
    </tableColumn>
    <tableColumn id="34" name="PD High Measure Propane Annual Consumption Savings (MMBtu/yr)" dataDxfId="123" dataCellStyle="N_Calc1">
      <calculatedColumnFormula>INDEX(Tbl_MeasureList[],MATCH(Tbl_PD_MeasureSummary[[#This Row],[Measure ID]:[Measure ID]],Tbl_MeasureList[[Measure ID]:[Measure ID]],0),MATCH(AJ$97,Tbl_MeasureList[#Headers],0))</calculatedColumnFormula>
    </tableColumn>
    <tableColumn id="35" name="PD High Measure Oil Annual Consumption Savings (MMBtu/yr)" dataDxfId="122" dataCellStyle="N_Calc1">
      <calculatedColumnFormula>INDEX(Tbl_MeasureList[],MATCH(Tbl_PD_MeasureSummary[[#This Row],[Measure ID]:[Measure ID]],Tbl_MeasureList[[Measure ID]:[Measure ID]],0),MATCH(AK$97,Tbl_MeasureList[#Headers],0))</calculatedColumnFormula>
    </tableColumn>
    <tableColumn id="36" name="PD High Measure Annual Energy Savings on MMBtu Basis (MMBtu/yr)" dataDxfId="121" dataCellStyle="N_Calc1">
      <calculatedColumnFormula>INDEX(Tbl_MeasureList[],MATCH(Tbl_PD_MeasureSummary[[#This Row],[Measure ID]:[Measure ID]],Tbl_MeasureList[[Measure ID]:[Measure ID]],0),MATCH(AL$97,Tbl_MeasureList[#Headers],0))</calculatedColumnFormula>
    </tableColumn>
    <tableColumn id="37" name="PD High Measure Carbon Emissions Reduction, Site (tons CO2/yr)" dataDxfId="120" dataCellStyle="N_Calc1">
      <calculatedColumnFormula>INDEX(Tbl_MeasureList[],MATCH(Tbl_PD_MeasureSummary[[#This Row],[Measure ID]:[Measure ID]],Tbl_MeasureList[[Measure ID]:[Measure ID]],0),MATCH(AM$97,Tbl_MeasureList[#Headers],0))</calculatedColumnFormula>
    </tableColumn>
    <tableColumn id="38" name="PD High Measure Carbon Emissions Reduction, Source (tons CO2/yr)" dataDxfId="119" dataCellStyle="N_Calc1">
      <calculatedColumnFormula>INDEX(Tbl_MeasureList[],MATCH(Tbl_PD_MeasureSummary[[#This Row],[Measure ID]:[Measure ID]],Tbl_MeasureList[[Measure ID]:[Measure ID]],0),MATCH(AN$97,Tbl_MeasureList[#Headers],0))</calculatedColumnFormula>
    </tableColumn>
    <tableColumn id="62" name="Current PD Low Measure Coal Source Fuel Savings (lbs coal/year)" dataDxfId="118" dataCellStyle="N_Calc1">
      <calculatedColumnFormula>INDEX(Tbl_MeasureList[],MATCH(Tbl_PD_MeasureSummary[[#This Row],[Measure ID]:[Measure ID]],Tbl_MeasureList[[Measure ID]:[Measure ID]],0),MATCH(AO$97,Tbl_MeasureList[#Headers],0))</calculatedColumnFormula>
    </tableColumn>
    <tableColumn id="66" name="Current PD Low Measure Oil Total Fuel Savings (gallons oil/year)" dataDxfId="117" dataCellStyle="N_Calc1">
      <calculatedColumnFormula>INDEX(Tbl_MeasureList[],MATCH(Tbl_PD_MeasureSummary[[#This Row],[Measure ID]:[Measure ID]],Tbl_MeasureList[[Measure ID]:[Measure ID]],0),MATCH(AP$97,Tbl_MeasureList[#Headers],0))</calculatedColumnFormula>
    </tableColumn>
    <tableColumn id="70" name="Current PD Low Measure Gas Total Fuel Savings (1,000 cu.ft. gas/year)" dataDxfId="116" dataCellStyle="N_Calc1">
      <calculatedColumnFormula>INDEX(Tbl_MeasureList[],MATCH(Tbl_PD_MeasureSummary[[#This Row],[Measure ID]:[Measure ID]],Tbl_MeasureList[[Measure ID]:[Measure ID]],0),MATCH(AQ$97,Tbl_MeasureList[#Headers],0))</calculatedColumnFormula>
    </tableColumn>
    <tableColumn id="72" name="Current PD High Measure Coal Source Fuel Savings (lbs coal/year)" dataDxfId="115" dataCellStyle="N_Calc1">
      <calculatedColumnFormula>INDEX(Tbl_MeasureList[],MATCH(Tbl_PD_MeasureSummary[[#This Row],[Measure ID]:[Measure ID]],Tbl_MeasureList[[Measure ID]:[Measure ID]],0),MATCH(AR$97,Tbl_MeasureList[#Headers],0))</calculatedColumnFormula>
    </tableColumn>
    <tableColumn id="76" name="Current PD High Measure Oil Total Fuel Savings (gallons oil/year)" dataDxfId="114" dataCellStyle="N_Calc1">
      <calculatedColumnFormula>INDEX(Tbl_MeasureList[],MATCH(Tbl_PD_MeasureSummary[[#This Row],[Measure ID]:[Measure ID]],Tbl_MeasureList[[Measure ID]:[Measure ID]],0),MATCH(AS$97,Tbl_MeasureList[#Headers],0))</calculatedColumnFormula>
    </tableColumn>
    <tableColumn id="80" name="Current PD High Measure Gas Total Fuel Savings (1,000 cu.ft. gas/year)" dataDxfId="113" dataCellStyle="N_Calc1">
      <calculatedColumnFormula>INDEX(Tbl_MeasureList[],MATCH(Tbl_PD_MeasureSummary[[#This Row],[Measure ID]:[Measure ID]],Tbl_MeasureList[[Measure ID]:[Measure ID]],0),MATCH(AT$97,Tbl_MeasureList[#Headers],0))</calculatedColumnFormula>
    </tableColumn>
  </tableColumns>
  <tableStyleInfo name="Navigant_02" showFirstColumn="0" showLastColumn="0" showRowStripes="1" showColumnStripes="0"/>
</table>
</file>

<file path=xl/tables/table6.xml><?xml version="1.0" encoding="utf-8"?>
<table xmlns="http://schemas.openxmlformats.org/spreadsheetml/2006/main" id="10" name="Tbl_ROF_MeasureSummary" displayName="Tbl_ROF_MeasureSummary" ref="C84:AT113" totalsRowShown="0" headerRowDxfId="112" dataDxfId="111">
  <autoFilter ref="C84:AT11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autoFilter>
  <sortState ref="C85:AT110">
    <sortCondition ref="C84:C110"/>
  </sortState>
  <tableColumns count="44">
    <tableColumn id="1" name="Measure ID" dataDxfId="110" dataCellStyle="N_Input"/>
    <tableColumn id="2" name="Baseline Equipment ID" dataDxfId="109" dataCellStyle="N_Calc1">
      <calculatedColumnFormula>INDEX(Tbl_MeasureList[],MATCH(Tbl_ROF_MeasureSummary[[#This Row],[Measure ID]:[Measure ID]],Tbl_MeasureList[[Measure ID]:[Measure ID]],0),MATCH(Tbl_ROF_MeasureSummary[[#Headers],[Baseline Equipment ID]],Tbl_MeasureList[#Headers],0))</calculatedColumnFormula>
    </tableColumn>
    <tableColumn id="5" name="Replacement ID" dataDxfId="108" dataCellStyle="N_Calc1">
      <calculatedColumnFormula>INDEX(Tbl_MeasureList[],MATCH(Tbl_ROF_MeasureSummary[[#This Row],[Measure ID]:[Measure ID]],Tbl_MeasureList[[Measure ID]:[Measure ID]],0),MATCH(Tbl_ROF_MeasureSummary[[#Headers],[Replacement ID]],Tbl_MeasureList[#Headers],0))</calculatedColumnFormula>
    </tableColumn>
    <tableColumn id="3" name="Baseline Name" dataDxfId="107" dataCellStyle="N_Calc1">
      <calculatedColumnFormula>INDEX(Tbl_MeasureList[],MATCH(Tbl_ROF_MeasureSummary[[#This Row],[Measure ID]:[Measure ID]],Tbl_MeasureList[[Measure ID]:[Measure ID]],0),MATCH(Tbl_ROF_MeasureSummary[[#Headers],[Baseline Name]],Tbl_MeasureList[#Headers],0))</calculatedColumnFormula>
    </tableColumn>
    <tableColumn id="6" name="Replacement Name" dataDxfId="106" dataCellStyle="N_Calc1">
      <calculatedColumnFormula>INDEX(Tbl_MeasureList[],MATCH(Tbl_ROF_MeasureSummary[[#This Row],[Measure ID]:[Measure ID]],Tbl_MeasureList[[Measure ID]:[Measure ID]],0),MATCH(Tbl_ROF_MeasureSummary[[#Headers],[Replacement Name]],Tbl_MeasureList[#Headers],0))</calculatedColumnFormula>
    </tableColumn>
    <tableColumn id="11" name="Measure Definition" dataDxfId="105" dataCellStyle="N_Calc1">
      <calculatedColumnFormula>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calculatedColumnFormula>
    </tableColumn>
    <tableColumn id="17" name="New Unit Equipment Life (years)" dataDxfId="104" dataCellStyle="N_Calc1">
      <calculatedColumnFormula>INDEX(Tbl_MeasureList[],MATCH(Tbl_ROF_MeasureSummary[[#This Row],[Measure ID]:[Measure ID]],Tbl_MeasureList[[Measure ID]:[Measure ID]],0),MATCH(Tbl_ROF_MeasureSummary[[#Headers],[New Unit Equipment Life (years)]],Tbl_MeasureList[#Headers],0))</calculatedColumnFormula>
    </tableColumn>
    <tableColumn id="4" name="Baseline Function" dataDxfId="103" dataCellStyle="N_Calc1">
      <calculatedColumnFormula>INDEX(Tbl_MeasureList[],MATCH(Tbl_ROF_MeasureSummary[[#This Row],[Measure ID]:[Measure ID]],Tbl_MeasureList[[Measure ID]:[Measure ID]],0),MATCH(Tbl_ROF_MeasureSummary[[#Headers],[Baseline Function]],Tbl_MeasureList[#Headers],0))</calculatedColumnFormula>
    </tableColumn>
    <tableColumn id="7" name="Replacement Function" dataDxfId="102" dataCellStyle="N_Calc1">
      <calculatedColumnFormula>INDEX(Tbl_MeasureList[],MATCH(Tbl_ROF_MeasureSummary[[#This Row],[Measure ID]:[Measure ID]],Tbl_MeasureList[[Measure ID]:[Measure ID]],0),MATCH(Tbl_ROF_MeasureSummary[[#Headers],[Replacement Function]],Tbl_MeasureList[#Headers],0))</calculatedColumnFormula>
    </tableColumn>
    <tableColumn id="8" name="Keep Existing Heating Equipment?" dataDxfId="101" dataCellStyle="N_Calc1">
      <calculatedColumnFormula>INDEX(Tbl_MeasureList[],MATCH(Tbl_ROF_MeasureSummary[[#This Row],[Measure ID]:[Measure ID]],Tbl_MeasureList[[Measure ID]:[Measure ID]],0),MATCH(Tbl_ROF_MeasureSummary[[#Headers],[Keep Existing Heating Equipment?]],Tbl_MeasureList[#Headers],0))</calculatedColumnFormula>
    </tableColumn>
    <tableColumn id="9" name="Baseline Fuel" dataDxfId="100" dataCellStyle="N_Calc2">
      <calculatedColumnFormula>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calculatedColumnFormula>
    </tableColumn>
    <tableColumn id="10" name="Replacement Fuel" dataDxfId="99" dataCellStyle="N_Calc2">
      <calculatedColumnFormula>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calculatedColumnFormula>
    </tableColumn>
    <tableColumn id="13" name="Original Fuel Baseline Efficiency" dataDxfId="98" dataCellStyle="N_Calc1">
      <calculatedColumnFormula>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calculatedColumnFormula>
    </tableColumn>
    <tableColumn id="14" name="Original Fuel Code Efficiency" dataDxfId="97" dataCellStyle="N_Calc2">
      <calculatedColumnFormula>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calculatedColumnFormula>
    </tableColumn>
    <tableColumn id="15" name="Replacement Fuel Low Tier Efficiency" dataDxfId="96" dataCellStyle="N_Calc1">
      <calculatedColumnFormula>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calculatedColumnFormula>
    </tableColumn>
    <tableColumn id="16" name="Replacement Fuel High Tier Efficiency" dataDxfId="95" dataCellStyle="N_Calc2">
      <calculatedColumnFormula>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calculatedColumnFormula>
    </tableColumn>
    <tableColumn id="39" name="ROF Low Measure Energy Cost Savings (USD/yr)" dataDxfId="94" dataCellStyle="N_Calc1">
      <calculatedColumnFormula>INDEX(Tbl_MeasureList[],MATCH(Tbl_ROF_MeasureSummary[[#This Row],[Measure ID]:[Measure ID]],Tbl_MeasureList[[Measure ID]:[Measure ID]],0),MATCH(Tbl_ROF_MeasureSummary[[#Headers],[ROF Low Measure Energy Cost Savings (USD/yr)]],Tbl_MeasureList[#Headers],0))</calculatedColumnFormula>
    </tableColumn>
    <tableColumn id="40" name="ROF Low Measure Incremental Installed Cost (USD)" dataDxfId="93" dataCellStyle="N_Calc1">
      <calculatedColumnFormula>INDEX(Tbl_MeasureList[],MATCH(Tbl_ROF_MeasureSummary[[#This Row],[Measure ID]:[Measure ID]],Tbl_MeasureList[[Measure ID]:[Measure ID]],0),MATCH(T$84,Tbl_MeasureList[#Headers],0))</calculatedColumnFormula>
    </tableColumn>
    <tableColumn id="41" name="ROF Low Measure Electric Annual Consumption Savings (kWh/yr)" dataDxfId="92" dataCellStyle="N_Calc1">
      <calculatedColumnFormula>INDEX(Tbl_MeasureList[],MATCH(Tbl_ROF_MeasureSummary[[#This Row],[Measure ID]:[Measure ID]],Tbl_MeasureList[[Measure ID]:[Measure ID]],0),MATCH(Tbl_ROF_MeasureSummary[[#Headers],[ROF Low Measure Electric Annual Consumption Savings (kWh/yr)]],Tbl_MeasureList[#Headers],0))</calculatedColumnFormula>
    </tableColumn>
    <tableColumn id="42" name="ROF Low Measure Electric Winter Peak Demand Savings (kW)" dataDxfId="91" dataCellStyle="N_Calc1">
      <calculatedColumnFormula>INDEX(Tbl_MeasureList[],MATCH(Tbl_ROF_MeasureSummary[[#This Row],[Measure ID]:[Measure ID]],Tbl_MeasureList[[Measure ID]:[Measure ID]],0),MATCH(Tbl_ROF_MeasureSummary[[#Headers],[ROF Low Measure Electric Winter Peak Demand Savings (kW)]],Tbl_MeasureList[#Headers],0))</calculatedColumnFormula>
    </tableColumn>
    <tableColumn id="43" name="ROF Low Measure Electric Summer Peak Demand Savings (kW)" dataDxfId="90" dataCellStyle="N_Calc1">
      <calculatedColumnFormula>INDEX(Tbl_MeasureList[],MATCH(Tbl_ROF_MeasureSummary[[#This Row],[Measure ID]:[Measure ID]],Tbl_MeasureList[[Measure ID]:[Measure ID]],0),MATCH(Tbl_ROF_MeasureSummary[[#Headers],[ROF Low Measure Electric Summer Peak Demand Savings (kW)]],Tbl_MeasureList[#Headers],0))</calculatedColumnFormula>
    </tableColumn>
    <tableColumn id="12" name="ROF Low Measure Natural Gas Annual Consumption Savings (therms/yr)" dataDxfId="89" dataCellStyle="N_Calc1">
      <calculatedColumnFormula>INDEX(Tbl_MeasureList[],MATCH(Tbl_ROF_MeasureSummary[[#This Row],[Measure ID]:[Measure ID]],Tbl_MeasureList[[Measure ID]:[Measure ID]],0),MATCH(Tbl_ROF_MeasureSummary[[#Headers],[ROF Low Measure Natural Gas Annual Consumption Savings (therms/yr)]],Tbl_MeasureList[#Headers],0))</calculatedColumnFormula>
    </tableColumn>
    <tableColumn id="18" name="ROF Low Measure Propane Annual Consumption Savings (MMBtu/yr)" dataDxfId="88" dataCellStyle="N_Calc1">
      <calculatedColumnFormula>INDEX(Tbl_MeasureList[],MATCH(Tbl_ROF_MeasureSummary[[#This Row],[Measure ID]:[Measure ID]],Tbl_MeasureList[[Measure ID]:[Measure ID]],0),MATCH(Tbl_ROF_MeasureSummary[[#Headers],[ROF Low Measure Propane Annual Consumption Savings (MMBtu/yr)]],Tbl_MeasureList[#Headers],0))</calculatedColumnFormula>
    </tableColumn>
    <tableColumn id="19" name="ROF Low Measure Oil Annual Consumption Savings (MMBtu/yr)" dataDxfId="87" dataCellStyle="N_Calc1">
      <calculatedColumnFormula>INDEX(Tbl_MeasureList[],MATCH(Tbl_ROF_MeasureSummary[[#This Row],[Measure ID]:[Measure ID]],Tbl_MeasureList[[Measure ID]:[Measure ID]],0),MATCH(Tbl_ROF_MeasureSummary[[#Headers],[ROF Low Measure Oil Annual Consumption Savings (MMBtu/yr)]],Tbl_MeasureList[#Headers],0))</calculatedColumnFormula>
    </tableColumn>
    <tableColumn id="47" name="ROF Low Measure Annual Energy Savings on MMBtu Basis (MMBtu/yr)" dataDxfId="86" dataCellStyle="N_Calc1">
      <calculatedColumnFormula>INDEX(Tbl_MeasureList[],MATCH(Tbl_ROF_MeasureSummary[[#This Row],[Measure ID]:[Measure ID]],Tbl_MeasureList[[Measure ID]:[Measure ID]],0),MATCH(Tbl_ROF_MeasureSummary[[#Headers],[ROF Low Measure Annual Energy Savings on MMBtu Basis (MMBtu/yr)]],Tbl_MeasureList[#Headers],0))</calculatedColumnFormula>
    </tableColumn>
    <tableColumn id="48" name="ROF Low Measure Carbon Emissions Reduction, Site (tons CO2/yr)" dataDxfId="85" dataCellStyle="N_Calc1">
      <calculatedColumnFormula>INDEX(Tbl_MeasureList[],MATCH(Tbl_ROF_MeasureSummary[[#This Row],[Measure ID]:[Measure ID]],Tbl_MeasureList[[Measure ID]:[Measure ID]],0),MATCH(Tbl_ROF_MeasureSummary[[#Headers],[ROF Low Measure Carbon Emissions Reduction, Site (tons CO2/yr)]],Tbl_MeasureList[#Headers],0))</calculatedColumnFormula>
    </tableColumn>
    <tableColumn id="49" name="ROF Low Measure Carbon Emissions Reduction, Source (tons CO2/yr)" dataDxfId="84" dataCellStyle="N_Calc1">
      <calculatedColumnFormula>INDEX(Tbl_MeasureList[],MATCH(Tbl_ROF_MeasureSummary[[#This Row],[Measure ID]:[Measure ID]],Tbl_MeasureList[[Measure ID]:[Measure ID]],0),MATCH(Tbl_ROF_MeasureSummary[[#Headers],[ROF Low Measure Carbon Emissions Reduction, Source (tons CO2/yr)]],Tbl_MeasureList[#Headers],0))</calculatedColumnFormula>
    </tableColumn>
    <tableColumn id="50" name="ROF High Measure Energy Cost Savings (USD/yr)" dataDxfId="83" dataCellStyle="N_Calc1">
      <calculatedColumnFormula>INDEX(Tbl_MeasureList[],MATCH(Tbl_ROF_MeasureSummary[[#This Row],[Measure ID]:[Measure ID]],Tbl_MeasureList[[Measure ID]:[Measure ID]],0),MATCH(Tbl_ROF_MeasureSummary[[#Headers],[ROF High Measure Energy Cost Savings (USD/yr)]],Tbl_MeasureList[#Headers],0))</calculatedColumnFormula>
    </tableColumn>
    <tableColumn id="51" name="ROF High Measure Incremental Installed Cost (USD)" dataDxfId="82" dataCellStyle="N_Calc1">
      <calculatedColumnFormula>INDEX(Tbl_MeasureList[],MATCH(Tbl_ROF_MeasureSummary[[#This Row],[Measure ID]:[Measure ID]],Tbl_MeasureList[[Measure ID]:[Measure ID]],0),MATCH(AE$84,Tbl_MeasureList[#Headers],0))</calculatedColumnFormula>
    </tableColumn>
    <tableColumn id="52" name="ROF High Measure Electric Annual Consumption Savings (kWh/yr)" dataDxfId="81" dataCellStyle="N_Calc1">
      <calculatedColumnFormula>INDEX(Tbl_MeasureList[],MATCH(Tbl_ROF_MeasureSummary[[#This Row],[Measure ID]:[Measure ID]],Tbl_MeasureList[[Measure ID]:[Measure ID]],0),MATCH(Tbl_ROF_MeasureSummary[[#Headers],[ROF High Measure Electric Annual Consumption Savings (kWh/yr)]],Tbl_MeasureList[#Headers],0))</calculatedColumnFormula>
    </tableColumn>
    <tableColumn id="53" name="ROF High Measure Electric Winter Peak Demand Savings (kW)" dataDxfId="80" dataCellStyle="N_Calc1">
      <calculatedColumnFormula>INDEX(Tbl_MeasureList[],MATCH(Tbl_ROF_MeasureSummary[[#This Row],[Measure ID]:[Measure ID]],Tbl_MeasureList[[Measure ID]:[Measure ID]],0),MATCH(Tbl_ROF_MeasureSummary[[#Headers],[ROF High Measure Electric Winter Peak Demand Savings (kW)]],Tbl_MeasureList[#Headers],0))</calculatedColumnFormula>
    </tableColumn>
    <tableColumn id="54" name="ROF High Measure Electric Summer Peak Demand Savings (kW)" dataDxfId="79" dataCellStyle="N_Calc1">
      <calculatedColumnFormula>INDEX(Tbl_MeasureList[],MATCH(Tbl_ROF_MeasureSummary[[#This Row],[Measure ID]:[Measure ID]],Tbl_MeasureList[[Measure ID]:[Measure ID]],0),MATCH(Tbl_ROF_MeasureSummary[[#Headers],[ROF High Measure Electric Summer Peak Demand Savings (kW)]],Tbl_MeasureList[#Headers],0))</calculatedColumnFormula>
    </tableColumn>
    <tableColumn id="20" name="ROF High Measure Natural Gas Annual Consumption Savings (therms/yr)" dataDxfId="78" dataCellStyle="N_Calc1">
      <calculatedColumnFormula>INDEX(Tbl_MeasureList[],MATCH(Tbl_ROF_MeasureSummary[[#This Row],[Measure ID]:[Measure ID]],Tbl_MeasureList[[Measure ID]:[Measure ID]],0),MATCH(Tbl_ROF_MeasureSummary[[#Headers],[ROF High Measure Natural Gas Annual Consumption Savings (therms/yr)]],Tbl_MeasureList[#Headers],0))</calculatedColumnFormula>
    </tableColumn>
    <tableColumn id="21" name="ROF High Measure Propane Annual Consumption Savings (MMBtu/yr)" dataDxfId="77" dataCellStyle="N_Calc1">
      <calculatedColumnFormula>INDEX(Tbl_MeasureList[],MATCH(Tbl_ROF_MeasureSummary[[#This Row],[Measure ID]:[Measure ID]],Tbl_MeasureList[[Measure ID]:[Measure ID]],0),MATCH(Tbl_ROF_MeasureSummary[[#Headers],[ROF High Measure Propane Annual Consumption Savings (MMBtu/yr)]],Tbl_MeasureList[#Headers],0))</calculatedColumnFormula>
    </tableColumn>
    <tableColumn id="22" name="ROF High Measure Oil Annual Consumption Savings (MMBtu/yr)" dataDxfId="76" dataCellStyle="N_Calc1">
      <calculatedColumnFormula>INDEX(Tbl_MeasureList[],MATCH(Tbl_ROF_MeasureSummary[[#This Row],[Measure ID]:[Measure ID]],Tbl_MeasureList[[Measure ID]:[Measure ID]],0),MATCH(Tbl_ROF_MeasureSummary[[#Headers],[ROF High Measure Oil Annual Consumption Savings (MMBtu/yr)]],Tbl_MeasureList[#Headers],0))</calculatedColumnFormula>
    </tableColumn>
    <tableColumn id="58" name="ROF High Measure Annual Energy Savings on MMBtu Basis (MMBtu/yr)" dataDxfId="75" dataCellStyle="N_Calc1">
      <calculatedColumnFormula>INDEX(Tbl_MeasureList[],MATCH(Tbl_ROF_MeasureSummary[[#This Row],[Measure ID]:[Measure ID]],Tbl_MeasureList[[Measure ID]:[Measure ID]],0),MATCH(Tbl_ROF_MeasureSummary[[#Headers],[ROF High Measure Annual Energy Savings on MMBtu Basis (MMBtu/yr)]],Tbl_MeasureList[#Headers],0))</calculatedColumnFormula>
    </tableColumn>
    <tableColumn id="59" name="ROF High Measure Carbon Emissions Reduction, Site (tons CO2/yr)" dataDxfId="74" dataCellStyle="N_Calc1">
      <calculatedColumnFormula>INDEX(Tbl_MeasureList[],MATCH(Tbl_ROF_MeasureSummary[[#This Row],[Measure ID]:[Measure ID]],Tbl_MeasureList[[Measure ID]:[Measure ID]],0),MATCH(Tbl_ROF_MeasureSummary[[#Headers],[ROF High Measure Carbon Emissions Reduction, Site (tons CO2/yr)]],Tbl_MeasureList[#Headers],0))</calculatedColumnFormula>
    </tableColumn>
    <tableColumn id="60" name="ROF High Measure Carbon Emissions Reduction, Source (tons CO2/yr)" dataDxfId="73" dataCellStyle="N_Calc1">
      <calculatedColumnFormula>INDEX(Tbl_MeasureList[],MATCH(Tbl_ROF_MeasureSummary[[#This Row],[Measure ID]:[Measure ID]],Tbl_MeasureList[[Measure ID]:[Measure ID]],0),MATCH(Tbl_ROF_MeasureSummary[[#Headers],[ROF High Measure Carbon Emissions Reduction, Source (tons CO2/yr)]],Tbl_MeasureList[#Headers],0))</calculatedColumnFormula>
    </tableColumn>
    <tableColumn id="82" name="Current ROF Low Measure Coal Source Fuel Savings (lbs coal/year)" dataDxfId="72" dataCellStyle="N_Calc1">
      <calculatedColumnFormula>INDEX(Tbl_MeasureList[],MATCH(Tbl_ROF_MeasureSummary[[#This Row],[Measure ID]:[Measure ID]],Tbl_MeasureList[[Measure ID]:[Measure ID]],0),MATCH(Tbl_ROF_MeasureSummary[[#Headers],[Current ROF Low Measure Coal Source Fuel Savings (lbs coal/year)]],Tbl_MeasureList[#Headers],0))</calculatedColumnFormula>
    </tableColumn>
    <tableColumn id="86" name="Current ROF Low Measure Oil Total Fuel Savings (gallons oil/year)" dataDxfId="71" dataCellStyle="N_Calc1">
      <calculatedColumnFormula>INDEX(Tbl_MeasureList[],MATCH(Tbl_ROF_MeasureSummary[[#This Row],[Measure ID]:[Measure ID]],Tbl_MeasureList[[Measure ID]:[Measure ID]],0),MATCH(Tbl_ROF_MeasureSummary[[#Headers],[Current ROF Low Measure Oil Total Fuel Savings (gallons oil/year)]],Tbl_MeasureList[#Headers],0))</calculatedColumnFormula>
    </tableColumn>
    <tableColumn id="90" name="Current ROF Low Measure Gas Total Fuel Savings (1,000 cu.ft. gas/year)" dataDxfId="70" dataCellStyle="N_Calc1">
      <calculatedColumnFormula>INDEX(Tbl_MeasureList[],MATCH(Tbl_ROF_MeasureSummary[[#This Row],[Measure ID]:[Measure ID]],Tbl_MeasureList[[Measure ID]:[Measure ID]],0),MATCH(Tbl_ROF_MeasureSummary[[#Headers],[Current ROF Low Measure Gas Total Fuel Savings (1,000 cu.ft. gas/year)]],Tbl_MeasureList[#Headers],0))</calculatedColumnFormula>
    </tableColumn>
    <tableColumn id="92" name="Current ROF High Measure Coal Source Fuel Savings (lbs coal/year)" dataDxfId="69" dataCellStyle="N_Calc1">
      <calculatedColumnFormula>INDEX(Tbl_MeasureList[],MATCH(Tbl_ROF_MeasureSummary[[#This Row],[Measure ID]:[Measure ID]],Tbl_MeasureList[[Measure ID]:[Measure ID]],0),MATCH(Tbl_ROF_MeasureSummary[[#Headers],[Current ROF High Measure Coal Source Fuel Savings (lbs coal/year)]],Tbl_MeasureList[#Headers],0))</calculatedColumnFormula>
    </tableColumn>
    <tableColumn id="96" name="Current ROF High Measure Oil Total Fuel Savings (gallons oil/year)" dataDxfId="68" dataCellStyle="N_Calc1">
      <calculatedColumnFormula>INDEX(Tbl_MeasureList[],MATCH(Tbl_ROF_MeasureSummary[[#This Row],[Measure ID]:[Measure ID]],Tbl_MeasureList[[Measure ID]:[Measure ID]],0),MATCH(Tbl_ROF_MeasureSummary[[#Headers],[Current ROF High Measure Oil Total Fuel Savings (gallons oil/year)]],Tbl_MeasureList[#Headers],0))</calculatedColumnFormula>
    </tableColumn>
    <tableColumn id="100" name="Current ROF High Measure Gas Total Fuel Savings (1,000 cu.ft. gas/year)" dataDxfId="67" dataCellStyle="N_Calc1">
      <calculatedColumnFormula>INDEX(Tbl_MeasureList[],MATCH(Tbl_ROF_MeasureSummary[[#This Row],[Measure ID]:[Measure ID]],Tbl_MeasureList[[Measure ID]:[Measure ID]],0),MATCH(Tbl_ROF_MeasureSummary[[#Headers],[Current ROF High Measure Gas Total Fuel Savings (1,000 cu.ft. gas/year)]],Tbl_MeasureList[#Headers],0))</calculatedColumnFormula>
    </tableColumn>
  </tableColumns>
  <tableStyleInfo name="Navigant_02" showFirstColumn="0" showLastColumn="0" showRowStripes="1" showColumnStripes="0"/>
</table>
</file>

<file path=xl/tables/table7.xml><?xml version="1.0" encoding="utf-8"?>
<table xmlns="http://schemas.openxmlformats.org/spreadsheetml/2006/main" id="3" name="Tbl_BCROutputs_Electric" displayName="Tbl_BCROutputs_Electric" ref="C10:AB22" totalsRowShown="0" headerRowDxfId="66" dataDxfId="64" headerRowBorderDxfId="65" headerRowCellStyle="N_Table1_Header" dataCellStyle="N_Table1_Cell">
  <autoFilter ref="C10:AB22">
    <filterColumn colId="0" hiddenButton="1"/>
    <filterColumn colId="1" hiddenButton="1"/>
    <filterColumn colId="3" hiddenButton="1"/>
    <filterColumn colId="4"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6">
    <tableColumn id="1" name="Measure ID" dataDxfId="63" dataCellStyle="N_Input"/>
    <tableColumn id="21" name="Savings Stream" dataDxfId="62" dataCellStyle="N_Input"/>
    <tableColumn id="24" name="Replacement ID" dataDxfId="61" dataCellStyle="N_Calc1">
      <calculatedColumnFormula>INDEX(Tbl_MeasureList[],MATCH(Tbl_BCROutputs_Electric[[#This Row],[Measure ID]],Tbl_MeasureList[[Measure ID]:[Measure ID]],0),MATCH(Tbl_BCROutputs_Electric[[#Headers],[Replacement ID]],Tbl_MeasureList[#Headers],0))</calculatedColumnFormula>
    </tableColumn>
    <tableColumn id="3" name="Baseline Name" dataDxfId="60" dataCellStyle="N_Calc1">
      <calculatedColumnFormula>INDEX(Tbl_MeasureList[[Measure ID]:[Current ER (EE) High Measure Gas Fuel Savings (1,000 cu.ft. gas/year)]],
               MATCH(Tbl_BCROutputs_Electric[[#This Row],[Measure ID]:[Measure ID]],Tbl_MeasureList[[Measure ID]:[Measure ID]],0),
               MATCH(F$10,Tbl_MeasureList[#Headers],0))</calculatedColumnFormula>
    </tableColumn>
    <tableColumn id="7" name="Replacement Name" dataDxfId="59" dataCellStyle="N_Calc1">
      <calculatedColumnFormula>INDEX(Tbl_MeasureList[[Measure ID]:[Current ER (EE) High Measure Gas Fuel Savings (1,000 cu.ft. gas/year)]],
               MATCH(Tbl_BCROutputs_Electric[[#This Row],[Measure ID]:[Measure ID]],Tbl_MeasureList[[Measure ID]:[Measure ID]],0),
               MATCH(G$10,Tbl_MeasureList[#Headers],0))</calculatedColumnFormula>
    </tableColumn>
    <tableColumn id="22" name="Replacement Fuel" dataDxfId="58" dataCellStyle="N_Calc1">
      <calculatedColumnFormula>INDEX(Tbl_MeasureList[Replacement Fuel 1],MATCH(Tbl_BCROutputs_Electric[[#This Row],[Measure ID]],Tbl_MeasureList[Measure ID],0))&amp;
  IF(INDEX(Tbl_MeasureList[Replacement Fuel 2],MATCH(Tbl_BCROutputs_Electric[[#This Row],[Measure ID]],Tbl_MeasureList[Measure ID],0))&lt;&gt;"-",
       "+"&amp;INDEX(Tbl_MeasureList[Replacement Fuel 2],MATCH(Tbl_BCROutputs_Electric[[#This Row],[Measure ID]],Tbl_MeasureList[Measure ID],0)),"")</calculatedColumnFormula>
    </tableColumn>
    <tableColumn id="23" name="Replacement Fuel High Tier Efficiency" dataDxfId="57" dataCellStyle="N_Calc1">
      <calculatedColumnFormula>IF(Tbl_BCROutputs_Electric[[#This Row],[Replacement Fuel]]="Natural Gas",INDEX(Tbl_EquipmentDefinitions[Natural Gas High Measure Efficiency],MATCH(Tbl_BCROutputs_Electric[[#This Row],[Replacement ID]],Tbl_EquipmentDefinitions[Equipment ID],0)),
  IF(Tbl_BCROutputs_Electric[[#This Row],[Replacement Fuel]]="Electric",INDEX(Tbl_EquipmentDefinitions[Electricity High Measure Efficiency],MATCH(Tbl_BCROutputs_Electric[[#This Row],[Replacement ID]],Tbl_EquipmentDefinitions[Equipment ID],0)),
  IF(Tbl_BCROutputs_Electric[[#This Row],[Replacement Fuel]]="Electric+Oil",
        INDEX(Tbl_EquipmentDefinitions[Electricity High Measure Efficiency],MATCH(Tbl_BCROutputs_Electric[[#This Row],[Replacement ID]],Tbl_EquipmentDefinitions[Equipment ID],0))&amp;CHAR(10)&amp;
        INDEX(Tbl_EquipmentDefinitions[Oil Baseline Efficiency],MATCH(Tbl_BCROutputs_Electric[[#This Row],[Replacement ID]],Tbl_EquipmentDefinitions[Equipment ID],0)),
  IF(Tbl_BCROutputs_Electric[[#This Row],[Replacement Fuel]]="Electric+Propane",
        INDEX(Tbl_EquipmentDefinitions[Electricity High Measure Efficiency],MATCH(Tbl_BCROutputs_Electric[[#This Row],[Replacement ID]],Tbl_EquipmentDefinitions[Equipment ID],0))&amp;CHAR(10)&amp;
        INDEX(Tbl_EquipmentDefinitions[Propane Baseline Efficiency],MATCH(Tbl_BCROutputs_Electric[[#This Row],[Replacement ID]],Tbl_EquipmentDefinitions[Equipment ID],0)),
  IF(Tbl_BCROutputs_Electric[[#This Row],[Replacement Fuel]]="Electric+Electric",INDEX(Tbl_EquipmentDefinitions[Electricity High Measure Efficiency],MATCH(Tbl_BCROutputs_Electric[[#This Row],[Replacement ID]],Tbl_EquipmentDefinitions[Equipment ID],0)),
)))))</calculatedColumnFormula>
    </tableColumn>
    <tableColumn id="87" name="Keep Existing Heating Equipment?" dataDxfId="56" dataCellStyle="N_Calc1">
      <calculatedColumnFormula>INDEX(Tbl_MeasureList[[Measure ID]:[Current ER (EE) High Measure Gas Fuel Savings (1,000 cu.ft. gas/year)]],
               MATCH(Tbl_BCROutputs_Electric[[#This Row],[Measure ID]:[Measure ID]],Tbl_MeasureList[[Measure ID]:[Measure ID]],0),
               MATCH(J$10,Tbl_MeasureList[#Headers],0))</calculatedColumnFormula>
    </tableColumn>
    <tableColumn id="9" name="Replacement Type" dataDxfId="55" dataCellStyle="N_Calc2">
      <calculatedColumnFormula>IF(Tbl_BCROutputs_Electric[[#This Row],[Keep Existing Heating Equipment?]]="Yes","Partial Displacement","Full Replacement")</calculatedColumnFormula>
    </tableColumn>
    <tableColumn id="2" name="Measure Life" dataDxfId="54" dataCellStyle="N_Calc3">
      <calculatedColumnFormula>IF(Tbl_BCROutputs_Electric[[#This Row],[Replacement Type]]="Partial Displacement",
        INDEX(Tbl_EquipmentDefinitions[New Unit Equipment Life (years)],
                       MATCH(INDEX(Tbl_MeasureList[[Measure ID]:[Current ER (EE) High Measure Gas Fuel Savings (1,000 cu.ft. gas/year)]],
                                                      MATCH(Tbl_BCROutputs_Electric[[#This Row],[Measure ID]:[Measure ID]],Tbl_MeasureList[Measure ID],0),
                                                      MATCH(L$24,Tbl_MeasureList[#Headers],0)),
                                        Tbl_EquipmentDefinitions[Equipment ID],
                                        0)),
        IF(Tbl_BCROutputs_Electric[[#This Row],[Savings Stream]]="Retire",
             INDEX(Tbl_MeasureList[],MATCH(Tbl_BCROutputs_Electric[[#This Row],[Measure ID]],Tbl_MeasureList[[Measure ID]:[Measure ID]],0),MATCH($L$26,Tbl_MeasureList[#Headers],0)),
             INDEX(Tbl_MeasureList[],MATCH(Tbl_BCROutputs_Electric[[#This Row],[Measure ID]],Tbl_MeasureList[[Measure ID]:[Measure ID]],0),MATCH($L$25,Tbl_MeasureList[#Headers],0)))
        )</calculatedColumnFormula>
    </tableColumn>
    <tableColumn id="16" name="Deferred Replacement Credit (USD)" dataDxfId="53" dataCellStyle="N_Calc3">
      <calculatedColumnFormula>IF(Tbl_BCROutputs_Electric[[#This Row],[Replacement Type]]="Partial Displacement",
       INDEX(Tbl_MeasureList[[Measure ID]:[Current ER (EE) High Measure Gas Fuel Savings (1,000 cu.ft. gas/year)]],
                      MATCH(Tbl_BCROutputs_Electric[[#This Row],[Measure ID]:[Measure ID]],Tbl_MeasureList[[Measure ID]:[Measure ID]],0),
                      MATCH(M$25,Tbl_MeasureList[#Headers],0)),
       IF(Tbl_BCROutputs_Electric[[#This Row],[Savings Stream]]="Retire",0,
              INDEX(Tbl_MeasureList[[Measure ID]:[Current ER (EE) High Measure Gas Fuel Savings (1,000 cu.ft. gas/year)]],
                      MATCH(Tbl_BCROutputs_Electric[[#This Row],[Measure ID]:[Measure ID]],Tbl_MeasureList[[Measure ID]:[Measure ID]],0),
                      MATCH(M$24,Tbl_MeasureList[#Headers],0))))</calculatedColumnFormula>
    </tableColumn>
    <tableColumn id="6" name="Cost of System Integration (USD)" dataDxfId="52" dataCellStyle="N_Calc3">
      <calculatedColumnFormula>IF(Tbl_BCROutputs_Electric[[#This Row],[Replacement Type]]="Partial Displacement",INPUT_SYSTEMINTEGRATIONCOST,0)</calculatedColumnFormula>
    </tableColumn>
    <tableColumn id="10" name="Cost of Electrical Upgrade (USD)" dataDxfId="51" dataCellStyle="N_Calc3">
      <calculatedColumnFormula>IF(AND(ISNUMBER(SEARCH("DMSHP",Tbl_BCROutputs_Electric[[#This Row],[Replacement Name]])),Tbl_BCROutputs_Electric[[#This Row],[Savings Stream]]="EE"),INPUT_ELECTRICALSYSTEMUPGRADECOST,0)</calculatedColumnFormula>
    </tableColumn>
    <tableColumn id="12" name="Total Cost New Equipment, not including deferred replacement (USD)" dataDxfId="50" dataCellStyle="N_Calc1">
      <calculatedColumnFormula>IF(OR(Tbl_BCROutputs_Electric[[#This Row],[Replacement Type]]="Partial Displacement",Tbl_BCROutputs_Electric[[#This Row],[Savings Stream]]="EE"),
        INDEX(Tbl_MeasureList[[Measure ID]:[Current ER (EE) High Measure Gas Fuel Savings (1,000 cu.ft. gas/year)]],
                      MATCH(Tbl_BCROutputs_Electric[[#This Row],[Measure ID]],Tbl_MeasureList[[Measure ID]:[Measure ID]],0),
                      MATCH(P$24,Tbl_MeasureList[#Headers],0)),
        0
       )</calculatedColumnFormula>
    </tableColumn>
    <tableColumn id="13" name="Total Resource Cost (USD)" dataDxfId="49" dataCellStyle="N_Calc2">
      <calculatedColumnFormula>IF(Tbl_BCROutputs_Electric[[#This Row],[Total Cost New Equipment, not including deferred replacement (USD)]]="-","-",Tbl_BCROutputs_Electric[[#This Row],[Total Cost New Equipment, not including deferred replacement (USD)]]-Tbl_BCROutputs_Electric[[#This Row],[Deferred Replacement Credit (USD)]])</calculatedColumnFormula>
    </tableColumn>
    <tableColumn id="15" name="Electric Annual Consumption Savings (kWh/yr)" dataDxfId="48" dataCellStyle="N_Calc1">
      <calculatedColumnFormula>IF(Tbl_BCROutputs_Electric[[#This Row],[Replacement Type]]="Partial Displacement",
        INDEX(Tbl_MeasureList[[Measure ID]:[Current ER (EE) High Measure Gas Fuel Savings (1,000 cu.ft. gas/year)]],
                      MATCH(Tbl_BCROutputs_Electric[[#This Row],[Measure ID]:[Measure ID]],Tbl_MeasureList[[Measure ID]:[Measure ID]],0),
                      MATCH(R$26,Tbl_MeasureList[#Headers],0)),
        IF(Tbl_BCROutputs_Electric[[#This Row],[Savings Stream]]="Retire",
              INDEX(Tbl_MeasureList[],MATCH(Tbl_BCROutputs_Electric[[#This Row],[Measure ID]:[Measure ID]],Tbl_MeasureList[[Measure ID]:[Measure ID]],0),MATCH(R$25,Tbl_MeasureList[#Headers],0)),
              INDEX(Tbl_MeasureList[],MATCH(Tbl_BCROutputs_Electric[[#This Row],[Measure ID]:[Measure ID]],Tbl_MeasureList[[Measure ID]:[Measure ID]],0),MATCH(R$24,Tbl_MeasureList[#Headers],0))
            )
       )</calculatedColumnFormula>
    </tableColumn>
    <tableColumn id="4" name="Annual Energy Savings on MMBtu Basis (MMBtu/yr)" dataDxfId="47" dataCellStyle="N_Calc1">
      <calculatedColumnFormula>IF(Tbl_BCROutputs_Electric[[#This Row],[Replacement Type]]="Partial Displacement",
        INDEX(Tbl_MeasureList[[Measure ID]:[Current ER (EE) High Measure Gas Fuel Savings (1,000 cu.ft. gas/year)]],
                      MATCH(Tbl_BCROutputs_Electric[[#This Row],[Measure ID]:[Measure ID]],Tbl_MeasureList[[Measure ID]:[Measure ID]],0),
                      MATCH(S$26,Tbl_MeasureList[#Headers],0)),
       IF(Tbl_BCROutputs_Electric[[#This Row],[Savings Stream]]="Retire",
             INDEX(Tbl_MeasureList[],MATCH(Tbl_BCROutputs_Electric[[#This Row],[Measure ID]:[Measure ID]],Tbl_MeasureList[[Measure ID]:[Measure ID]],0),MATCH(S$25,Tbl_MeasureList[#Headers],0)),
             INDEX(Tbl_MeasureList[],MATCH(Tbl_BCROutputs_Electric[[#This Row],[Measure ID]:[Measure ID]],Tbl_MeasureList[[Measure ID]:[Measure ID]],0),MATCH(S$24,Tbl_MeasureList[#Headers],0))))</calculatedColumnFormula>
    </tableColumn>
    <tableColumn id="5" name="Propane Annual Consumption Savings (MMBtu/yr)" dataDxfId="46" dataCellStyle="N_Calc1">
      <calculatedColumnFormula>IF(Tbl_BCROutputs_Electric[[#This Row],[Replacement Type]]="Partial Displacement",
        INDEX(Tbl_MeasureList[[Measure ID]:[Current ER (EE) High Measure Gas Fuel Savings (1,000 cu.ft. gas/year)]],
                      MATCH(Tbl_BCROutputs_Electric[[#This Row],[Measure ID]:[Measure ID]],Tbl_MeasureList[[Measure ID]:[Measure ID]],0),
                      MATCH(T$26,Tbl_MeasureList[#Headers],0)),
       IF(Tbl_BCROutputs_Electric[[#This Row],[Savings Stream]]="Retire",
              INDEX(Tbl_MeasureList[],MATCH(Tbl_BCROutputs_Electric[[#This Row],[Measure ID]:[Measure ID]],Tbl_MeasureList[[Measure ID]:[Measure ID]],0),MATCH(T$25,Tbl_MeasureList[#Headers],0)),
              INDEX(Tbl_MeasureList[],MATCH(Tbl_BCROutputs_Electric[[#This Row],[Measure ID]:[Measure ID]],Tbl_MeasureList[[Measure ID]:[Measure ID]],0),MATCH(T$24,Tbl_MeasureList[#Headers],0))
            ))</calculatedColumnFormula>
    </tableColumn>
    <tableColumn id="8" name="Oil Annual Consumption Savings (MMBtu/yr)" dataDxfId="45" dataCellStyle="N_Calc1">
      <calculatedColumnFormula>IF(Tbl_BCROutputs_Electric[[#This Row],[Replacement Type]]="Partial Displacement",
        INDEX(Tbl_MeasureList[[Measure ID]:[Current ER (EE) High Measure Gas Fuel Savings (1,000 cu.ft. gas/year)]],
                      MATCH(Tbl_BCROutputs_Electric[[#This Row],[Measure ID]:[Measure ID]],Tbl_MeasureList[[Measure ID]:[Measure ID]],0),
                      MATCH(U$26,Tbl_MeasureList[#Headers],0)),
       IF(Tbl_BCROutputs_Electric[[#This Row],[Savings Stream]]="Retire",
              INDEX(Tbl_MeasureList[],MATCH(Tbl_BCROutputs_Electric[[#This Row],[Measure ID]:[Measure ID]],Tbl_MeasureList[[Measure ID]:[Measure ID]],0),MATCH(U$25,Tbl_MeasureList[#Headers],0)),
              INDEX(Tbl_MeasureList[],MATCH(Tbl_BCROutputs_Electric[[#This Row],[Measure ID]:[Measure ID]],Tbl_MeasureList[[Measure ID]:[Measure ID]],0),MATCH(U$24,Tbl_MeasureList[#Headers],0))
            ))</calculatedColumnFormula>
    </tableColumn>
    <tableColumn id="11" name="Fuel Switch Propane Annual Consumption Savings (MMBtu/yr)" dataDxfId="44" dataCellStyle="N_Calc2">
      <calculatedColumnFormula>IF(OR(Tbl_BCROutputs_Electric[[#This Row],[Replacement Type]]="Partial Displacement",Tbl_BCROutputs_Electric[[#This Row],[Savings Stream]]="EE"),
        INDEX(Tbl_MeasureList[[Measure ID]:[Current ER (EE) High Measure Gas Fuel Savings (1,000 cu.ft. gas/year)]],
                      MATCH(Tbl_BCROutputs_Electric[[#This Row],[Measure ID]:[Measure ID]],Tbl_MeasureList[[Measure ID]:[Measure ID]],0),
                      MATCH(V$10,Tbl_MeasureList[#Headers],0)),
      0)</calculatedColumnFormula>
    </tableColumn>
    <tableColumn id="14" name="Fuel Switch Oil Annual Consumption Savings (MMBtu/yr)" dataDxfId="43" dataCellStyle="N_Calc2">
      <calculatedColumnFormula>IF(OR(Tbl_BCROutputs_Electric[[#This Row],[Replacement Type]]="Partial Displacement",Tbl_BCROutputs_Electric[[#This Row],[Savings Stream]]="EE"),
        INDEX(Tbl_MeasureList[[Measure ID]:[Current ER (EE) High Measure Gas Fuel Savings (1,000 cu.ft. gas/year)]],
                      MATCH(Tbl_BCROutputs_Electric[[#This Row],[Measure ID]:[Measure ID]],Tbl_MeasureList[[Measure ID]:[Measure ID]],0),
                      MATCH(W$10,Tbl_MeasureList[#Headers],0)),
       0)</calculatedColumnFormula>
    </tableColumn>
    <tableColumn id="17" name="Electric Heating Consumption Savings (kWh/yr)" dataDxfId="42" dataCellStyle="N_Calc1">
      <calculatedColumnFormula>IF(Tbl_BCROutputs_Electric[[#This Row],[Replacement Type]]="Partial Displacement",
        INDEX(Tbl_MeasureList[[Measure ID]:[Current ER (EE) High Measure Gas Fuel Savings (1,000 cu.ft. gas/year)]],
                      MATCH(Tbl_BCROutputs_Electric[[#This Row],[Measure ID]:[Measure ID]],Tbl_MeasureList[[Measure ID]:[Measure ID]],0),
                      MATCH(X$26,Tbl_MeasureList[#Headers],0)),
       IF(Tbl_BCROutputs_Electric[[#This Row],[Savings Stream]]="Retire",
              INDEX(Tbl_MeasureList[],MATCH(Tbl_BCROutputs_Electric[[#This Row],[Measure ID]:[Measure ID]],Tbl_MeasureList[[Measure ID]:[Measure ID]],0),MATCH(X$25,Tbl_MeasureList[#Headers],0)),
              INDEX(Tbl_MeasureList[],MATCH(Tbl_BCROutputs_Electric[[#This Row],[Measure ID]:[Measure ID]],Tbl_MeasureList[[Measure ID]:[Measure ID]],0),MATCH(X$24,Tbl_MeasureList[#Headers],0))
            ))</calculatedColumnFormula>
    </tableColumn>
    <tableColumn id="18" name="Electric Cooling Consumption Savings (kWh/yr)" dataDxfId="41" dataCellStyle="N_Calc1">
      <calculatedColumnFormula>IF(Tbl_BCROutputs_Electric[[#This Row],[Replacement Type]]="Partial Displacement",
        INDEX(Tbl_MeasureList[[Measure ID]:[Current ER (EE) High Measure Gas Fuel Savings (1,000 cu.ft. gas/year)]],
                      MATCH(Tbl_BCROutputs_Electric[[#This Row],[Measure ID]:[Measure ID]],Tbl_MeasureList[[Measure ID]:[Measure ID]],0),
                      MATCH(Y$26,Tbl_MeasureList[#Headers],0)),
       IF(Tbl_BCROutputs_Electric[[#This Row],[Savings Stream]]="Retire",
              INDEX(Tbl_MeasureList[],MATCH(Tbl_BCROutputs_Electric[[#This Row],[Measure ID]:[Measure ID]],Tbl_MeasureList[[Measure ID]:[Measure ID]],0),MATCH(Y$25,Tbl_MeasureList[#Headers],0)),
              INDEX(Tbl_MeasureList[],MATCH(Tbl_BCROutputs_Electric[[#This Row],[Measure ID]:[Measure ID]],Tbl_MeasureList[[Measure ID]:[Measure ID]],0),MATCH(Y$24,Tbl_MeasureList[#Headers],0))
            ))</calculatedColumnFormula>
    </tableColumn>
    <tableColumn id="19" name="Electric Heating Peak Demand Savings (kW)" dataDxfId="40" dataCellStyle="N_Calc1">
      <calculatedColumnFormula>IF(Tbl_BCROutputs_Electric[[#This Row],[Replacement Type]]="Partial Displacement",
        INDEX(Tbl_MeasureList[[Measure ID]:[Current ER (EE) High Measure Gas Fuel Savings (1,000 cu.ft. gas/year)]],
                      MATCH(Tbl_BCROutputs_Electric[[#This Row],[Measure ID]:[Measure ID]],Tbl_MeasureList[[Measure ID]:[Measure ID]],0),
                      MATCH(Z$26,Tbl_MeasureList[#Headers],0)),
       IF(Tbl_BCROutputs_Electric[[#This Row],[Savings Stream]]="Retire",
              INDEX(Tbl_MeasureList[],MATCH(Tbl_BCROutputs_Electric[[#This Row],[Measure ID]:[Measure ID]],Tbl_MeasureList[[Measure ID]:[Measure ID]],0),MATCH(Z$25,Tbl_MeasureList[#Headers],0)),
              INDEX(Tbl_MeasureList[],MATCH(Tbl_BCROutputs_Electric[[#This Row],[Measure ID]:[Measure ID]],Tbl_MeasureList[[Measure ID]:[Measure ID]],0),MATCH(Z$24,Tbl_MeasureList[#Headers],0))
            ))</calculatedColumnFormula>
    </tableColumn>
    <tableColumn id="20" name="Electric Cooling Peak Demand Savings (kW)" dataDxfId="39" dataCellStyle="N_Calc1">
      <calculatedColumnFormula>IF(Tbl_BCROutputs_Electric[[#This Row],[Replacement Type]]="Partial Displacement",
        INDEX(Tbl_MeasureList[[Measure ID]:[Current ER (EE) High Measure Gas Fuel Savings (1,000 cu.ft. gas/year)]],
                      MATCH(Tbl_BCROutputs_Electric[[#This Row],[Measure ID]:[Measure ID]],Tbl_MeasureList[[Measure ID]:[Measure ID]],0),
                      MATCH(AA$26,Tbl_MeasureList[#Headers],0)),
       IF(Tbl_BCROutputs_Electric[[#This Row],[Savings Stream]]="Retire",
              INDEX(Tbl_MeasureList[],MATCH(Tbl_BCROutputs_Electric[[#This Row],[Measure ID]:[Measure ID]],Tbl_MeasureList[[Measure ID]:[Measure ID]],0),MATCH(AA$25,Tbl_MeasureList[#Headers],0)),
              INDEX(Tbl_MeasureList[],MATCH(Tbl_BCROutputs_Electric[[#This Row],[Measure ID]:[Measure ID]],Tbl_MeasureList[[Measure ID]:[Measure ID]],0),MATCH(AA$24,Tbl_MeasureList[#Headers],0))
            ))</calculatedColumnFormula>
    </tableColumn>
    <tableColumn id="27" name="Balance Point (degrees F)" dataDxfId="38" dataCellStyle="N_Calc1">
      <calculatedColumnFormula>IF(Tbl_BCROutputs_Electric[[#This Row],[Replacement Fuel]]="Electric+Oil", INPUT_OILHEATSWITCHOVER,
         IF(Tbl_BCROutputs_Electric[[#This Row],[Replacement Fuel]]="Electric+Propane", INPUT_PROPANEHEATSWITCHOVER,
                IF(Tbl_BCROutputs_Electric[[#This Row],[Replacement Fuel]]="Electric+Gas", INPUT_GASHEATSWITCHOVER,
                       IF(Tbl_BCROutputs_Electric[[#This Row],[Replacement Fuel]]="Electric", INPUT_RESISTANCEHEAT_SWITCHOVER,0))))</calculatedColumnFormula>
    </tableColumn>
  </tableColumns>
  <tableStyleInfo showFirstColumn="0" showLastColumn="0" showRowStripes="1" showColumnStripes="0"/>
</table>
</file>

<file path=xl/tables/table8.xml><?xml version="1.0" encoding="utf-8"?>
<table xmlns="http://schemas.openxmlformats.org/spreadsheetml/2006/main" id="7" name="Tbl_BCROutputs_Gas" displayName="Tbl_BCROutputs_Gas" ref="C31:W43" totalsRowShown="0" headerRowDxfId="37" dataDxfId="35" headerRowBorderDxfId="36" headerRowCellStyle="N_Table1_Header" dataCellStyle="N_Table1_Cell">
  <autoFilter ref="C31:W43">
    <filterColumn colId="0" hiddenButton="1"/>
    <filterColumn colId="1" hiddenButton="1"/>
    <filterColumn colId="3" hiddenButton="1"/>
    <filterColumn colId="4"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name="Measure ID" dataDxfId="34" dataCellStyle="N_Input"/>
    <tableColumn id="2" name="Savings Stream" dataDxfId="33" dataCellStyle="N_Input"/>
    <tableColumn id="15" name="Replacement ID" dataDxfId="32" dataCellStyle="N_Calc1">
      <calculatedColumnFormula>INDEX(Tbl_MeasureList[],MATCH(Tbl_BCROutputs_Gas[[#This Row],[Measure ID]],Tbl_MeasureList[[Measure ID]:[Measure ID]],0),MATCH(Tbl_BCROutputs_Gas[[#Headers],[Replacement ID]],Tbl_MeasureList[#Headers],0))</calculatedColumnFormula>
    </tableColumn>
    <tableColumn id="3" name="Baseline Name" dataDxfId="31" dataCellStyle="N_Calc1">
      <calculatedColumnFormula>INDEX(Tbl_MeasureList[[Measure ID]:[Current ER (EE) High Measure Gas Fuel Savings (1,000 cu.ft. gas/year)]],
               MATCH(Tbl_BCROutputs_Gas[[#This Row],[Measure ID]:[Measure ID]],Tbl_MeasureList[[Measure ID]:[Measure ID]],0),
               MATCH(F$31,Tbl_MeasureList[#Headers],0))</calculatedColumnFormula>
    </tableColumn>
    <tableColumn id="7" name="Replacement Name" dataDxfId="30" dataCellStyle="N_Calc1">
      <calculatedColumnFormula>INDEX(Tbl_MeasureList[[Measure ID]:[Current ER (EE) High Measure Gas Fuel Savings (1,000 cu.ft. gas/year)]],
               MATCH(Tbl_BCROutputs_Gas[[#This Row],[Measure ID]:[Measure ID]],Tbl_MeasureList[[Measure ID]:[Measure ID]],0),
               MATCH(G$31,Tbl_MeasureList[#Headers],0))</calculatedColumnFormula>
    </tableColumn>
    <tableColumn id="16" name="Replacement Fuel" dataDxfId="29" dataCellStyle="N_Calc1">
      <calculatedColumnFormula>INDEX(Tbl_MeasureList[Replacement Fuel 1],MATCH(Tbl_BCROutputs_Gas[[#This Row],[Measure ID]],Tbl_MeasureList[Measure ID],0))&amp;
  IF(INDEX(Tbl_MeasureList[Replacement Fuel 2],MATCH(Tbl_BCROutputs_Gas[[#This Row],[Measure ID]],Tbl_MeasureList[Measure ID],0))&lt;&gt;"-",
       "+"&amp;INDEX(Tbl_MeasureList[Replacement Fuel 2],MATCH(Tbl_BCROutputs_Gas[[#This Row],[Measure ID]],Tbl_MeasureList[Measure ID],0)),"")</calculatedColumnFormula>
    </tableColumn>
    <tableColumn id="17" name="Replacement Fuel High Tier Efficiency" dataDxfId="28" dataCellStyle="N_Calc1">
      <calculatedColumnFormula>IF(Tbl_BCROutputs_Gas[[#This Row],[Replacement Fuel]]="Natural Gas",INDEX(Tbl_EquipmentDefinitions[Natural Gas High Measure Efficiency],MATCH(Tbl_BCROutputs_Gas[[#This Row],[Replacement ID]],Tbl_EquipmentDefinitions[Equipment ID],0)),
  IF(Tbl_BCROutputs_Gas[[#This Row],[Replacement Fuel]]="Electric",INDEX(Tbl_EquipmentDefinitions[Electricity High Measure Efficiency],MATCH(Tbl_BCROutputs_Gas[[#This Row],[Replacement ID]],Tbl_EquipmentDefinitions[Equipment ID],0)),
  IF(Tbl_BCROutputs_Gas[[#This Row],[Replacement Fuel]]="Electric+Oil",
        INDEX(Tbl_EquipmentDefinitions[Electricity High Measure Efficiency],MATCH(Tbl_BCROutputs_Gas[[#This Row],[Replacement ID]],Tbl_EquipmentDefinitions[Equipment ID],0))&amp;CHAR(10)&amp;
        INDEX(Tbl_EquipmentDefinitions[Oil Baseline Efficiency],MATCH(Tbl_BCROutputs_Gas[[#This Row],[Replacement ID]],Tbl_EquipmentDefinitions[Equipment ID],0)),
  IF(Tbl_BCROutputs_Gas[[#This Row],[Replacement Fuel]]="Electric+Propane",
        INDEX(Tbl_EquipmentDefinitions[Electricity High Measure Efficiency],MATCH(Tbl_BCROutputs_Gas[[#This Row],[Replacement ID]],Tbl_EquipmentDefinitions[Equipment ID],0))&amp;CHAR(10)&amp;
        INDEX(Tbl_EquipmentDefinitions[Propane Baseline Efficiency],MATCH(Tbl_BCROutputs_Gas[[#This Row],[Replacement ID]],Tbl_EquipmentDefinitions[Equipment ID],0)),
  IF(Tbl_BCROutputs_Gas[[#This Row],[Replacement Fuel]]="Electric+Electric",INDEX(Tbl_EquipmentDefinitions[Electricity High Measure Efficiency],MATCH(Tbl_BCROutputs_Gas[[#This Row],[Replacement ID]],Tbl_EquipmentDefinitions[Equipment ID],0)),
)))))</calculatedColumnFormula>
    </tableColumn>
    <tableColumn id="87" name="Keep Existing Heating Equipment?" dataDxfId="27" dataCellStyle="N_Calc1">
      <calculatedColumnFormula>INDEX(Tbl_MeasureList[[Measure ID]:[Current ER (EE) High Measure Gas Fuel Savings (1,000 cu.ft. gas/year)]],
               MATCH(Tbl_BCROutputs_Gas[[#This Row],[Measure ID]:[Measure ID]],Tbl_MeasureList[[Measure ID]:[Measure ID]],0),
               MATCH(J$31,Tbl_MeasureList[#Headers],0))</calculatedColumnFormula>
    </tableColumn>
    <tableColumn id="9" name="Replacement Type" dataDxfId="26" dataCellStyle="N_Calc2">
      <calculatedColumnFormula>IF(Tbl_BCROutputs_Gas[[#This Row],[Keep Existing Heating Equipment?]]="Yes","Partial Displacement","Full Replacement")</calculatedColumnFormula>
    </tableColumn>
    <tableColumn id="10" name="Measure Life" dataDxfId="25" dataCellStyle="N_Calc3">
      <calculatedColumnFormula>IF(Tbl_BCROutputs_Gas[[#This Row],[Replacement Type]]="Partial Displacement",
        INDEX(Tbl_EquipmentDefinitions[New Unit Equipment Life (years)],
                       MATCH(INDEX(Tbl_MeasureList[[Measure ID]:[Current ER (EE) High Measure Gas Fuel Savings (1,000 cu.ft. gas/year)]],
                                                      MATCH(Tbl_BCROutputs_Gas[[#This Row],[Measure ID]:[Measure ID]],Tbl_MeasureList[Measure ID],0),
                                                      MATCH(L$45,Tbl_MeasureList[#Headers],0)),
                                        Tbl_EquipmentDefinitions[Equipment ID],
                                        0)),
        IF(Tbl_BCROutputs_Gas[[#This Row],[Savings Stream]]="Retire",
             INDEX(Tbl_MeasureList[],MATCH(Tbl_BCROutputs_Gas[[#This Row],[Measure ID]],Tbl_MeasureList[[Measure ID]:[Measure ID]],0),MATCH($L$47,Tbl_MeasureList[#Headers],0)),
             INDEX(Tbl_MeasureList[],MATCH(Tbl_BCROutputs_Gas[[#This Row],[Measure ID]],Tbl_MeasureList[[Measure ID]:[Measure ID]],0),MATCH($L$46,Tbl_MeasureList[#Headers],0)))
        )</calculatedColumnFormula>
    </tableColumn>
    <tableColumn id="4" name="Deferred Replacement Credit (USD)" dataDxfId="24" dataCellStyle="N_Calc1">
      <calculatedColumnFormula>IF(Tbl_BCROutputs_Gas[[#This Row],[Savings Stream]]="Retire",0,
          INDEX(Tbl_MeasureList[[Measure ID]:[Current ER (EE) High Measure Gas Fuel Savings (1,000 cu.ft. gas/year)]],
                 MATCH(Tbl_BCROutputs_Gas[[#This Row],[Measure ID]:[Measure ID]],Tbl_MeasureList[[Measure ID]:[Measure ID]],0),
                 MATCH(M$45,Tbl_MeasureList[#Headers],0)))</calculatedColumnFormula>
    </tableColumn>
    <tableColumn id="6" name="Assumed Gas Line Extension Costs" dataDxfId="23" dataCellStyle="N_Calc2">
      <calculatedColumnFormula>IF(INPUT_INCLUDEGASLINE="Yes",
        IF(OR(INDEX(Tbl_MeasureList[[Measure ID]:[Current ER (EE) High Measure Gas Fuel Savings (1,000 cu.ft. gas/year)]],
                                   MATCH(Tbl_BCROutputs_Gas[[#This Row],[Measure ID]:[Measure ID]],Tbl_MeasureList[Measure ID],0),
                                   MATCH(N$46,Tbl_MeasureList[#Headers],0))="Natural Gas",
                    INDEX(Tbl_MeasureList[[Measure ID]:[Current ER (EE) High Measure Gas Fuel Savings (1,000 cu.ft. gas/year)]],
                                   MATCH(Tbl_BCROutputs_Gas[[#This Row],[Measure ID]:[Measure ID]],Tbl_MeasureList[Measure ID],0),
                                   MATCH(N$45,Tbl_MeasureList[#Headers],0))="Natural Gas"),
             IF(Tbl_BCROutputs_Gas[[#This Row],[Savings Stream]]="EE",
                   INPUT_GASLINECOST,
                   0),
             "n/a"),
         "Off (see Inputs tab)")</calculatedColumnFormula>
    </tableColumn>
    <tableColumn id="13" name="Assumed Equipment Removal Cost" dataDxfId="22" dataCellStyle="N_Calc3">
      <calculatedColumnFormula>IF(Tbl_BCROutputs_Gas[[#This Row],[Savings Stream]]="EE",
        IF(_xlfn.XOR(ISNUMBER(SEARCH("Boiler",Tbl_BCROutputs_Gas[[#This Row],[Baseline Name]])),ISNUMBER(SEARCH("Boiler",Tbl_BCROutputs_Gas[[#This Row],[Replacement Name]]))),INPUT_EQUIPMENTDISPOSALCOST,0),
        0)</calculatedColumnFormula>
    </tableColumn>
    <tableColumn id="18" name="Total Cost New Equipment, not including deferred replacement (USD)" dataDxfId="21" dataCellStyle="N_Calc1">
      <calculatedColumnFormula>IF(OR(Tbl_BCROutputs_Gas[[#This Row],[Replacement Type]]="Partial Displacement",Tbl_BCROutputs_Gas[[#This Row],[Savings Stream]]="EE"),
        INDEX(Tbl_MeasureList[[Measure ID]:[Current ER (EE) High Measure Gas Fuel Savings (1,000 cu.ft. gas/year)]],
                      MATCH(Tbl_BCROutputs_Gas[[#This Row],[Measure ID]],Tbl_MeasureList[[Measure ID]:[Measure ID]],0),
                      MATCH(P$45,Tbl_MeasureList[#Headers],0)),
        IF(Tbl_BCROutputs_Gas[[#This Row],[Savings Stream]]="Retire",
              0,
              0
            )
       )</calculatedColumnFormula>
    </tableColumn>
    <tableColumn id="12" name="Total Resource Cost, High Measure (USD)" dataDxfId="20" dataCellStyle="N_Calc2">
      <calculatedColumnFormula>IF(Tbl_BCROutputs_Gas[[#This Row],[Total Cost New Equipment, not including deferred replacement (USD)]]="-","-",Tbl_BCROutputs_Gas[[#This Row],[Total Cost New Equipment, not including deferred replacement (USD)]]-Tbl_BCROutputs_Gas[[#This Row],[Deferred Replacement Credit (USD)]])</calculatedColumnFormula>
    </tableColumn>
    <tableColumn id="67" name=" Natural Gas Annual Consumption Increase (MMBtu/yr)" dataDxfId="19" dataCellStyle="N_Calc2">
      <calculatedColumnFormula>IF(Tbl_BCROutputs_Gas[[#This Row],[Replacement Type]]="Partial Replacement",
        -1*INDEX(Tbl_MeasureList[[Measure ID]:[Current ER (EE) High Measure Gas Fuel Savings (1,000 cu.ft. gas/year)]],
                             MATCH(Tbl_BCROutputs_Gas[[#This Row],[Measure ID]:[Measure ID]],Tbl_MeasureList[[Measure ID]:[Measure ID]],0),
                             MATCH(R$45,Tbl_MeasureList[#Headers],0))/10,
       IF(Tbl_BCROutputs_Gas[[#This Row],[Savings Stream]]="Retire",
                             -1*INDEX(Tbl_MeasureList[],MATCH(Tbl_BCROutputs_Gas[[#This Row],[Measure ID]:[Measure ID]],Tbl_MeasureList[[Measure ID]:[Measure ID]],0),MATCH(R$47,Tbl_MeasureList[#Headers],0))/10,
                             -1*INDEX(Tbl_MeasureList[],MATCH(Tbl_BCROutputs_Gas[[#This Row],[Measure ID]:[Measure ID]],Tbl_MeasureList[[Measure ID]:[Measure ID]],0),MATCH(R$46,Tbl_MeasureList[#Headers],0))/10
            ))</calculatedColumnFormula>
    </tableColumn>
    <tableColumn id="130" name=" Annual Energy Savings on MMBtu Basis (MMBtu/yr)" dataDxfId="18" dataCellStyle="N_Calc1">
      <calculatedColumnFormula>IF(Tbl_BCROutputs_Gas[[#This Row],[Replacement Type]]="Partial Displacement",
        INDEX(Tbl_MeasureList[[Measure ID]:[Current ER (EE) High Measure Gas Fuel Savings (1,000 cu.ft. gas/year)]],
                      MATCH(Tbl_BCROutputs_Gas[[#This Row],[Measure ID]:[Measure ID]],Tbl_MeasureList[[Measure ID]:[Measure ID]],0),
                      MATCH(S$47,Tbl_MeasureList[#Headers],0)),
       IF(Tbl_BCROutputs_Gas[[#This Row],[Savings Stream]]="Retire",
             INDEX(Tbl_MeasureList[],MATCH(Tbl_BCROutputs_Gas[[#This Row],[Measure ID]:[Measure ID]],Tbl_MeasureList[[Measure ID]:[Measure ID]],0),MATCH(S$46,Tbl_MeasureList[#Headers],0)),
             INDEX(Tbl_MeasureList[],MATCH(Tbl_BCROutputs_Gas[[#This Row],[Measure ID]:[Measure ID]],Tbl_MeasureList[[Measure ID]:[Measure ID]],0),MATCH(S$45,Tbl_MeasureList[#Headers],0))))</calculatedColumnFormula>
    </tableColumn>
    <tableColumn id="5" name=" Propane Annual Consumption Savings (MMBtu/yr)" dataDxfId="17" dataCellStyle="N_Table1_Cell">
      <calculatedColumnFormula>IF(Tbl_BCROutputs_Gas[[#This Row],[Replacement Type]]="Partial Displacement",
        INDEX(Tbl_MeasureList[[Measure ID]:[Current ER (EE) High Measure Gas Fuel Savings (1,000 cu.ft. gas/year)]],
                      MATCH(Tbl_BCROutputs_Gas[[#This Row],[Measure ID]:[Measure ID]],Tbl_MeasureList[[Measure ID]:[Measure ID]],0),
                      MATCH(T$47,Tbl_MeasureList[#Headers],0)),
       IF(Tbl_BCROutputs_Gas[[#This Row],[Savings Stream]]="Retire",
             INDEX(Tbl_MeasureList[],MATCH(Tbl_BCROutputs_Gas[[#This Row],[Measure ID]:[Measure ID]],Tbl_MeasureList[[Measure ID]:[Measure ID]],0),MATCH(T$46,Tbl_MeasureList[#Headers],0)),
             INDEX(Tbl_MeasureList[],MATCH(Tbl_BCROutputs_Gas[[#This Row],[Measure ID]:[Measure ID]],Tbl_MeasureList[[Measure ID]:[Measure ID]],0),MATCH(T$45,Tbl_MeasureList[#Headers],0))))</calculatedColumnFormula>
    </tableColumn>
    <tableColumn id="8" name="Oil Annual Consumption Savings (MMBtu/yr)" dataDxfId="16" dataCellStyle="N_Calc1">
      <calculatedColumnFormula>IF(Tbl_BCROutputs_Gas[[#This Row],[Replacement Type]]="Partial Displacement",
        INDEX(Tbl_MeasureList[[Measure ID]:[Current ER (EE) High Measure Gas Fuel Savings (1,000 cu.ft. gas/year)]],
                      MATCH(Tbl_BCROutputs_Gas[[#This Row],[Measure ID]:[Measure ID]],Tbl_MeasureList[[Measure ID]:[Measure ID]],0),
                      MATCH(U$47,Tbl_MeasureList[#Headers],0)),
       IF(Tbl_BCROutputs_Gas[[#This Row],[Savings Stream]]="Retire",
             INDEX(Tbl_MeasureList[],MATCH(Tbl_BCROutputs_Gas[[#This Row],[Measure ID]:[Measure ID]],Tbl_MeasureList[[Measure ID]:[Measure ID]],0),MATCH(U$46,Tbl_MeasureList[#Headers],0)),
             INDEX(Tbl_MeasureList[],MATCH(Tbl_BCROutputs_Gas[[#This Row],[Measure ID]:[Measure ID]],Tbl_MeasureList[[Measure ID]:[Measure ID]],0),MATCH(U$45,Tbl_MeasureList[#Headers],0))))</calculatedColumnFormula>
    </tableColumn>
    <tableColumn id="11" name="Fuel Switch Propane Annual Consumption Savings (MMBtu/yr)" dataDxfId="15" dataCellStyle="N_Table1_Cell">
      <calculatedColumnFormula>IF(OR(Tbl_BCROutputs_Gas[[#This Row],[Replacement Type]]="Partial Displacement",Tbl_BCROutputs_Gas[[#This Row],[Savings Stream]]="EE"),
        INDEX(Tbl_MeasureList[[Measure ID]:[Current ER (EE) High Measure Gas Fuel Savings (1,000 cu.ft. gas/year)]],
                      MATCH(Tbl_BCROutputs_Gas[[#This Row],[Measure ID]:[Measure ID]],Tbl_MeasureList[[Measure ID]:[Measure ID]],0),
                      MATCH(Tbl_BCROutputs_Gas[[#Headers],[Fuel Switch Propane Annual Consumption Savings (MMBtu/yr)]],Tbl_MeasureList[#Headers],0)),
      0)</calculatedColumnFormula>
    </tableColumn>
    <tableColumn id="14" name="Fuel Switch Oil Annual Consumption Savings (MMBtu/yr)" dataDxfId="14" dataCellStyle="N_Table1_Cell">
      <calculatedColumnFormula>IF(OR(Tbl_BCROutputs_Gas[[#This Row],[Replacement Type]]="Partial Displacement",Tbl_BCROutputs_Gas[[#This Row],[Savings Stream]]="EE"),
        INDEX(Tbl_MeasureList[[Measure ID]:[Current ER (EE) High Measure Gas Fuel Savings (1,000 cu.ft. gas/year)]],
                      MATCH(Tbl_BCROutputs_Gas[[#This Row],[Measure ID]:[Measure ID]],Tbl_MeasureList[[Measure ID]:[Measure ID]],0),
                      MATCH(Tbl_BCROutputs_Gas[[#Headers],[Fuel Switch Oil Annual Consumption Savings (MMBtu/yr)]],Tbl_MeasureList[#Headers],0)),
       0)</calculatedColumnFormula>
    </tableColumn>
  </tableColumns>
  <tableStyleInfo showFirstColumn="0" showLastColumn="0" showRowStripes="1" showColumnStripes="0"/>
</table>
</file>

<file path=xl/tables/table9.xml><?xml version="1.0" encoding="utf-8"?>
<table xmlns="http://schemas.openxmlformats.org/spreadsheetml/2006/main" id="4" name="Tbl_HPGeneralCalcs" displayName="Tbl_HPGeneralCalcs" ref="C75:N226" totalsRowShown="0" headerRowDxfId="13" dataDxfId="12">
  <autoFilter ref="C75:N226">
    <filterColumn colId="0" hiddenButton="1"/>
    <filterColumn colId="1" hiddenButton="1"/>
    <filterColumn colId="2" hiddenButton="1"/>
    <filterColumn colId="3" hiddenButton="1"/>
    <filterColumn colId="4" hiddenButton="1"/>
    <filterColumn colId="5" hiddenButton="1"/>
    <filterColumn colId="7" hiddenButton="1"/>
  </autoFilter>
  <tableColumns count="12">
    <tableColumn id="1" name="Temperature, °F" dataDxfId="11"/>
    <tableColumn id="2" name="Number of hours" dataDxfId="10"/>
    <tableColumn id="3" name="Heating-degree hours (MMBtu)" dataDxfId="9">
      <calculatedColumnFormula>IF((65-Tbl_HPGeneralCalcs[[#This Row],[Temperature, °F]])*Tbl_HPGeneralCalcs[[#This Row],[Number of hours]]&lt;0,0,(65-Tbl_HPGeneralCalcs[[#This Row],[Temperature, °F]])*Tbl_HPGeneralCalcs[[#This Row],[Number of hours]])</calculatedColumnFormula>
    </tableColumn>
    <tableColumn id="4" name="heating load (Btu)" dataDxfId="8">
      <calculatedColumnFormula>(Tbl_HPGeneralCalcs[[#This Row],[Heating-degree hours (MMBtu)]]/SUM(Tbl_HPGeneralCalcs[Heating-degree hours (MMBtu)]))*$S$30*10^6</calculatedColumnFormula>
    </tableColumn>
    <tableColumn id="5" name="COP - CHP" dataDxfId="7">
      <calculatedColumnFormula>IF(Tbl_HPGeneralCalcs[[#This Row],[Temperature, °F]]&lt;=RESISTANCE_HEAT_THRESHOLD,1,IF($D$33+$D$34*Tbl_HPGeneralCalcs[[#This Row],[Temperature, °F]]&lt;1,1,($D$33+$D$34*Tbl_HPGeneralCalcs[[#This Row],[Temperature, °F]])*INPUT_HEATPUMP_EFFICIENCY_FACTOR))</calculatedColumnFormula>
    </tableColumn>
    <tableColumn id="6" name="Consumption - CHP only (kWh)" dataDxfId="6">
      <calculatedColumnFormula>KWH_PER_BTU*Tbl_HPGeneralCalcs[[#This Row],[heating load (Btu)]]/Tbl_HPGeneralCalcs[[#This Row],[COP - CHP]]</calculatedColumnFormula>
    </tableColumn>
    <tableColumn id="9" name="Consumption - Fan only" dataDxfId="5">
      <calculatedColumnFormula>HPFUELCALC_REF_FUELPOWER_KW*HPFUELCALC_REF_FUELPOWER_CF*Tbl_HPGeneralCalcs[[#This Row],[Number of hours]]</calculatedColumnFormula>
    </tableColumn>
    <tableColumn id="8" name="Consumption - CHP + Gas (therms)" dataDxfId="4">
      <calculatedColumnFormula>Tbl_HPGeneralCalcs[[#This Row],[heating load (Btu)]]/HPFUELCALC_REF_AFUE/100000</calculatedColumnFormula>
    </tableColumn>
    <tableColumn id="10" name="COP - DMSHP" dataDxfId="3">
      <calculatedColumnFormula>IF(Tbl_HPGeneralCalcs[[#This Row],[Temperature, °F]]&lt;=RESISTANCE_HEAT_THRESHOLD,1,IF($H$33+$H$34*Tbl_HPGeneralCalcs[[#This Row],[Temperature, °F]]&lt;1,1,($H$33+$H$34*Tbl_HPGeneralCalcs[[#This Row],[Temperature, °F]])*INPUT_HEATPUMP_EFFICIENCY_FACTOR))</calculatedColumnFormula>
    </tableColumn>
    <tableColumn id="11" name="Consumption - DMSHP only (kWh)" dataDxfId="2">
      <calculatedColumnFormula>KWH_PER_BTU*Tbl_HPGeneralCalcs[[#This Row],[heating load (Btu)]]/Tbl_HPGeneralCalcs[[#This Row],[COP - DMSHP]]</calculatedColumnFormula>
    </tableColumn>
    <tableColumn id="12" name="Consumption - DMSHP Fan only" dataDxfId="1">
      <calculatedColumnFormula>HPFUELCALC_REF_DMSHPFAN*HPFUELCALC_REF_DMSHPFAN_CF*Tbl_HPGeneralCalcs[[#This Row],[Number of hours]]</calculatedColumnFormula>
    </tableColumn>
    <tableColumn id="16" name="Consumption - DMSHP + Gas (therms)" dataDxfId="0">
      <calculatedColumnFormula>Tbl_HPGeneralCalcs[[#This Row],[heating load (Btu)]]/HPFUELCALC_REF_AFUE/100000</calculatedColumnFormula>
    </tableColumn>
  </tableColumns>
  <tableStyleInfo name="Navigant_02" showFirstColumn="0" showLastColumn="0" showRowStripes="1" showColumnStripes="0"/>
</table>
</file>

<file path=xl/theme/theme1.xml><?xml version="1.0" encoding="utf-8"?>
<a:theme xmlns:a="http://schemas.openxmlformats.org/drawingml/2006/main" name="Office Theme">
  <a:themeElements>
    <a:clrScheme name="Navigant">
      <a:dk1>
        <a:srgbClr val="555759"/>
      </a:dk1>
      <a:lt1>
        <a:sysClr val="window" lastClr="FFFFFF"/>
      </a:lt1>
      <a:dk2>
        <a:srgbClr val="555759"/>
      </a:dk2>
      <a:lt2>
        <a:srgbClr val="FFFFFF"/>
      </a:lt2>
      <a:accent1>
        <a:srgbClr val="555759"/>
      </a:accent1>
      <a:accent2>
        <a:srgbClr val="95D600"/>
      </a:accent2>
      <a:accent3>
        <a:srgbClr val="0093C9"/>
      </a:accent3>
      <a:accent4>
        <a:srgbClr val="FFB718"/>
      </a:accent4>
      <a:accent5>
        <a:srgbClr val="E53C2E"/>
      </a:accent5>
      <a:accent6>
        <a:srgbClr val="8B189B"/>
      </a:accent6>
      <a:hlink>
        <a:srgbClr val="85D206"/>
      </a:hlink>
      <a:folHlink>
        <a:srgbClr val="648C1A"/>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eia.gov/tools/faqs/faq.php?id=73&amp;t=11" TargetMode="External"/><Relationship Id="rId7" Type="http://schemas.openxmlformats.org/officeDocument/2006/relationships/hyperlink" Target="https://www.eia.gov/electricity/state/newhampshire/" TargetMode="External"/><Relationship Id="rId2" Type="http://schemas.openxmlformats.org/officeDocument/2006/relationships/hyperlink" Target="https://www.eia.gov/tools/faqs/faq.php?id=73&amp;t=11" TargetMode="External"/><Relationship Id="rId1" Type="http://schemas.openxmlformats.org/officeDocument/2006/relationships/hyperlink" Target="https://www.eia.gov/tools/faqs/faq.php?id=73&amp;t=11" TargetMode="External"/><Relationship Id="rId6" Type="http://schemas.openxmlformats.org/officeDocument/2006/relationships/hyperlink" Target="https://www.iso-ne.com/about/key-stats/resource-mix/" TargetMode="External"/><Relationship Id="rId5" Type="http://schemas.openxmlformats.org/officeDocument/2006/relationships/hyperlink" Target="https://www.iso-ne.com/static-assets/documents/2019/04/2017_emissions_report.pdf" TargetMode="External"/><Relationship Id="rId4" Type="http://schemas.openxmlformats.org/officeDocument/2006/relationships/hyperlink" Target="https://www.eia.gov/electricity/data/stat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hyperlink" Target="http://ma-eeac.org/wordpress/wp-content/uploads/Heat-Pump-Water-Heater-Impact-Study-Volume-1.pdf" TargetMode="External"/><Relationship Id="rId2" Type="http://schemas.openxmlformats.org/officeDocument/2006/relationships/hyperlink" Target="http://puc.vermont.gov/sites/psbnew/files/doc_library/ev-technical-reference-manual.pdf" TargetMode="External"/><Relationship Id="rId1" Type="http://schemas.openxmlformats.org/officeDocument/2006/relationships/hyperlink" Target="http://ma-eeac.org/wordpress/wp-content/uploads/RES19_Task5_FinalReport_v3.0_clean.pdf" TargetMode="External"/><Relationship Id="rId5" Type="http://schemas.openxmlformats.org/officeDocument/2006/relationships/drawing" Target="../drawings/drawing4.xml"/><Relationship Id="rId4"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ma-eeac.org/wordpress/wp-content/uploads/RES19_Task5_FinalReport_v3.0_clean.pdf"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ma-eeac.org/wordpress/wp-content/uploads/RES19_Task5_FinalReport_v3.0_clean.pdf"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regulations.gov/document?D=EERE-2014-BT-STD-0031-0217"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regulations.gov/document?D=EERE-2014-BT-STD-0031-0217"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8.bin"/><Relationship Id="rId1" Type="http://schemas.openxmlformats.org/officeDocument/2006/relationships/hyperlink" Target="http://ma-eeac.org/wordpress/wp-content/uploads/RES19_Task5_FinalReport_v3.0_clean.pdf"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9.bin"/><Relationship Id="rId1" Type="http://schemas.openxmlformats.org/officeDocument/2006/relationships/hyperlink" Target="http://ma-eeac.org/wordpress/wp-content/uploads/RES19_Task5_FinalReport_v3.0_clean.pdf"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30.bin"/><Relationship Id="rId1" Type="http://schemas.openxmlformats.org/officeDocument/2006/relationships/hyperlink" Target="http://ma-eeac.org/wordpress/wp-content/uploads/RES19_Task5_FinalReport_v3.0_clean.pdf"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31.bin"/><Relationship Id="rId1" Type="http://schemas.openxmlformats.org/officeDocument/2006/relationships/hyperlink" Target="http://ma-eeac.org/wordpress/wp-content/uploads/RES19_Task5_FinalReport_v3.0_clean.pdf"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puc.vermont.gov/sites/psbnew/files/doc_library/ev-technical-reference-manual.pdf" TargetMode="External"/><Relationship Id="rId1" Type="http://schemas.openxmlformats.org/officeDocument/2006/relationships/hyperlink" Target="http://ma-eeac.org/wordpress/wp-content/uploads/RES19_Task5_FinalReport_v3.0_clean.pdf" TargetMode="External"/><Relationship Id="rId4"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puc.vermont.gov/sites/psbnew/files/doc_library/ev-technical-reference-manual.pdf" TargetMode="External"/><Relationship Id="rId1" Type="http://schemas.openxmlformats.org/officeDocument/2006/relationships/hyperlink" Target="http://ma-eeac.org/wordpress/wp-content/uploads/RES19_Task5_FinalReport_v3.0_clean.pdf" TargetMode="External"/><Relationship Id="rId4"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puc.vermont.gov/sites/psbnew/files/doc_library/ev-technical-reference-manual.pdf" TargetMode="External"/><Relationship Id="rId1" Type="http://schemas.openxmlformats.org/officeDocument/2006/relationships/hyperlink" Target="http://ma-eeac.org/wordpress/wp-content/uploads/RES19_Task5_FinalReport_v3.0_clean.pdf" TargetMode="External"/><Relationship Id="rId4" Type="http://schemas.openxmlformats.org/officeDocument/2006/relationships/drawing" Target="../drawings/drawing13.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puc.vermont.gov/sites/psbnew/files/doc_library/ev-technical-reference-manual.pdf" TargetMode="External"/><Relationship Id="rId1" Type="http://schemas.openxmlformats.org/officeDocument/2006/relationships/hyperlink" Target="http://ma-eeac.org/wordpress/wp-content/uploads/RES19_Task5_FinalReport_v3.0_clean.pdf" TargetMode="External"/><Relationship Id="rId4" Type="http://schemas.openxmlformats.org/officeDocument/2006/relationships/drawing" Target="../drawings/drawing14.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puc.vermont.gov/sites/psbnew/files/doc_library/ev-technical-reference-manual.pdf" TargetMode="External"/><Relationship Id="rId1" Type="http://schemas.openxmlformats.org/officeDocument/2006/relationships/hyperlink" Target="http://ma-eeac.org/wordpress/wp-content/uploads/RES19_Task5_FinalReport_v3.0_clean.pdf" TargetMode="External"/><Relationship Id="rId4" Type="http://schemas.openxmlformats.org/officeDocument/2006/relationships/drawing" Target="../drawings/drawing15.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puc.vermont.gov/sites/psbnew/files/doc_library/ev-technical-reference-manual.pdf" TargetMode="External"/><Relationship Id="rId1" Type="http://schemas.openxmlformats.org/officeDocument/2006/relationships/hyperlink" Target="http://ma-eeac.org/wordpress/wp-content/uploads/RES19_Task5_FinalReport_v3.0_clean.pdf" TargetMode="External"/><Relationship Id="rId4" Type="http://schemas.openxmlformats.org/officeDocument/2006/relationships/drawing" Target="../drawings/drawing16.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www.regulations.gov/document?D=EERE-2006-STD-0129-0149" TargetMode="External"/><Relationship Id="rId5" Type="http://schemas.openxmlformats.org/officeDocument/2006/relationships/comments" Target="../comments2.xml"/><Relationship Id="rId4" Type="http://schemas.openxmlformats.org/officeDocument/2006/relationships/table" Target="../tables/table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42.bin"/><Relationship Id="rId1" Type="http://schemas.openxmlformats.org/officeDocument/2006/relationships/hyperlink" Target="http://ma-eeac.org/wordpress/wp-content/uploads/RES19_Task5_FinalReport_v3.0_clean.pdf"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microsoft.com/office/2007/relationships/slicer" Target="../slicers/slicer1.xml"/></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microsoft.com/office/2007/relationships/slicer" Target="../slicers/slicer2.xml"/></Relationships>
</file>

<file path=xl/worksheets/_rels/sheet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G80"/>
  <sheetViews>
    <sheetView topLeftCell="A4" workbookViewId="0">
      <selection activeCell="D13" sqref="D13"/>
    </sheetView>
  </sheetViews>
  <sheetFormatPr defaultColWidth="9.1640625" defaultRowHeight="11.25" x14ac:dyDescent="0.2"/>
  <cols>
    <col min="1" max="1" width="5.6640625" style="6" customWidth="1"/>
    <col min="2" max="2" width="14" style="6" customWidth="1"/>
    <col min="3" max="3" width="22.5" style="6" customWidth="1"/>
    <col min="4" max="4" width="88.6640625" style="6" customWidth="1"/>
    <col min="5" max="16384" width="9.1640625" style="6"/>
  </cols>
  <sheetData>
    <row r="2" spans="2:7" ht="12.75" x14ac:dyDescent="0.2">
      <c r="B2" s="236" t="s">
        <v>1641</v>
      </c>
    </row>
    <row r="3" spans="2:7" ht="12.75" x14ac:dyDescent="0.2">
      <c r="B3" s="236" t="s">
        <v>665</v>
      </c>
    </row>
    <row r="5" spans="2:7" x14ac:dyDescent="0.2">
      <c r="B5" s="6" t="s">
        <v>666</v>
      </c>
      <c r="C5" s="6" t="s">
        <v>667</v>
      </c>
    </row>
    <row r="7" spans="2:7" x14ac:dyDescent="0.2">
      <c r="B7" s="6" t="s">
        <v>668</v>
      </c>
      <c r="C7" s="237">
        <v>43662</v>
      </c>
    </row>
    <row r="9" spans="2:7" ht="13.5" thickBot="1" x14ac:dyDescent="0.25">
      <c r="B9" s="9" t="s">
        <v>669</v>
      </c>
      <c r="C9" s="9"/>
      <c r="D9" s="9"/>
      <c r="E9" s="9"/>
      <c r="F9" s="9"/>
      <c r="G9" s="9"/>
    </row>
    <row r="10" spans="2:7" x14ac:dyDescent="0.2">
      <c r="B10" s="16"/>
    </row>
    <row r="11" spans="2:7" ht="56.25" x14ac:dyDescent="0.2">
      <c r="B11" s="16"/>
      <c r="D11" s="241" t="s">
        <v>1645</v>
      </c>
      <c r="E11" s="137"/>
    </row>
    <row r="12" spans="2:7" ht="45" x14ac:dyDescent="0.2">
      <c r="B12" s="16"/>
      <c r="D12" s="241" t="s">
        <v>1646</v>
      </c>
      <c r="E12" s="137"/>
    </row>
    <row r="13" spans="2:7" ht="56.25" x14ac:dyDescent="0.2">
      <c r="B13" s="16"/>
      <c r="D13" s="238" t="s">
        <v>1647</v>
      </c>
    </row>
    <row r="14" spans="2:7" x14ac:dyDescent="0.2">
      <c r="B14" s="16"/>
    </row>
    <row r="16" spans="2:7" ht="13.5" thickBot="1" x14ac:dyDescent="0.25">
      <c r="B16" s="9" t="s">
        <v>670</v>
      </c>
      <c r="C16" s="9"/>
      <c r="D16" s="9"/>
      <c r="E16" s="9"/>
      <c r="F16" s="9"/>
      <c r="G16" s="9"/>
    </row>
    <row r="17" spans="2:4" x14ac:dyDescent="0.2">
      <c r="B17" s="16"/>
    </row>
    <row r="18" spans="2:4" ht="12" thickBot="1" x14ac:dyDescent="0.25">
      <c r="B18" s="16"/>
      <c r="C18" s="227" t="s">
        <v>671</v>
      </c>
      <c r="D18" s="227" t="s">
        <v>672</v>
      </c>
    </row>
    <row r="19" spans="2:4" ht="45" x14ac:dyDescent="0.2">
      <c r="B19" s="16"/>
      <c r="C19" s="239" t="s">
        <v>504</v>
      </c>
      <c r="D19" s="240" t="s">
        <v>673</v>
      </c>
    </row>
    <row r="20" spans="2:4" ht="56.25" x14ac:dyDescent="0.2">
      <c r="B20" s="16"/>
      <c r="C20" s="239" t="s">
        <v>183</v>
      </c>
      <c r="D20" s="240" t="s">
        <v>674</v>
      </c>
    </row>
    <row r="21" spans="2:4" ht="78.75" x14ac:dyDescent="0.2">
      <c r="B21" s="16"/>
      <c r="C21" s="239"/>
      <c r="D21" s="240" t="s">
        <v>675</v>
      </c>
    </row>
    <row r="22" spans="2:4" ht="78.75" x14ac:dyDescent="0.2">
      <c r="B22" s="16"/>
      <c r="C22" s="239"/>
      <c r="D22" s="240" t="s">
        <v>676</v>
      </c>
    </row>
    <row r="23" spans="2:4" ht="56.25" x14ac:dyDescent="0.2">
      <c r="B23" s="16"/>
      <c r="C23" s="239" t="s">
        <v>248</v>
      </c>
      <c r="D23" s="241" t="s">
        <v>678</v>
      </c>
    </row>
    <row r="24" spans="2:4" ht="123.75" x14ac:dyDescent="0.2">
      <c r="B24" s="16"/>
      <c r="C24" s="239" t="s">
        <v>75</v>
      </c>
      <c r="D24" s="240" t="s">
        <v>677</v>
      </c>
    </row>
    <row r="25" spans="2:4" ht="22.5" x14ac:dyDescent="0.2">
      <c r="B25" s="16"/>
      <c r="C25" s="239" t="s">
        <v>1406</v>
      </c>
      <c r="D25" s="241" t="s">
        <v>1408</v>
      </c>
    </row>
    <row r="26" spans="2:4" ht="22.5" x14ac:dyDescent="0.2">
      <c r="B26" s="16"/>
      <c r="C26" s="239" t="s">
        <v>1163</v>
      </c>
      <c r="D26" s="241" t="s">
        <v>1331</v>
      </c>
    </row>
    <row r="27" spans="2:4" ht="22.5" x14ac:dyDescent="0.2">
      <c r="B27" s="16"/>
      <c r="C27" s="239" t="s">
        <v>1407</v>
      </c>
      <c r="D27" s="241" t="s">
        <v>1332</v>
      </c>
    </row>
    <row r="28" spans="2:4" ht="22.5" x14ac:dyDescent="0.2">
      <c r="B28" s="16"/>
      <c r="C28" s="239" t="s">
        <v>1618</v>
      </c>
      <c r="D28" s="241" t="s">
        <v>1619</v>
      </c>
    </row>
    <row r="29" spans="2:4" ht="56.25" x14ac:dyDescent="0.2">
      <c r="B29" s="16"/>
      <c r="C29" s="239" t="s">
        <v>505</v>
      </c>
      <c r="D29" s="241" t="s">
        <v>679</v>
      </c>
    </row>
    <row r="30" spans="2:4" ht="67.5" x14ac:dyDescent="0.2">
      <c r="B30" s="16"/>
      <c r="C30" s="239" t="s">
        <v>680</v>
      </c>
      <c r="D30" s="238" t="s">
        <v>681</v>
      </c>
    </row>
    <row r="31" spans="2:4" x14ac:dyDescent="0.2">
      <c r="B31" s="16"/>
    </row>
    <row r="33" spans="2:7" ht="13.5" thickBot="1" x14ac:dyDescent="0.25">
      <c r="B33" s="9" t="s">
        <v>833</v>
      </c>
      <c r="C33" s="9"/>
      <c r="D33" s="9"/>
      <c r="E33" s="9"/>
      <c r="F33" s="9"/>
      <c r="G33" s="9"/>
    </row>
    <row r="34" spans="2:7" x14ac:dyDescent="0.2">
      <c r="B34" s="16"/>
    </row>
    <row r="35" spans="2:7" x14ac:dyDescent="0.2">
      <c r="B35" s="16"/>
      <c r="C35" s="6" t="s">
        <v>504</v>
      </c>
    </row>
    <row r="36" spans="2:7" x14ac:dyDescent="0.2">
      <c r="B36" s="16"/>
      <c r="C36" s="6" t="s">
        <v>834</v>
      </c>
    </row>
    <row r="37" spans="2:7" x14ac:dyDescent="0.2">
      <c r="B37" s="16"/>
      <c r="C37" s="6" t="s">
        <v>491</v>
      </c>
    </row>
    <row r="38" spans="2:7" x14ac:dyDescent="0.2">
      <c r="B38" s="16"/>
    </row>
    <row r="39" spans="2:7" x14ac:dyDescent="0.2">
      <c r="B39" s="16"/>
    </row>
    <row r="40" spans="2:7" x14ac:dyDescent="0.2">
      <c r="B40" s="16"/>
    </row>
    <row r="41" spans="2:7" x14ac:dyDescent="0.2">
      <c r="B41" s="16"/>
    </row>
    <row r="42" spans="2:7" x14ac:dyDescent="0.2">
      <c r="B42" s="16"/>
    </row>
    <row r="43" spans="2:7" x14ac:dyDescent="0.2">
      <c r="B43" s="16"/>
    </row>
    <row r="44" spans="2:7" x14ac:dyDescent="0.2">
      <c r="B44" s="16"/>
    </row>
    <row r="45" spans="2:7" x14ac:dyDescent="0.2">
      <c r="B45" s="16"/>
    </row>
    <row r="46" spans="2:7" x14ac:dyDescent="0.2">
      <c r="B46" s="16"/>
    </row>
    <row r="47" spans="2:7" x14ac:dyDescent="0.2">
      <c r="B47" s="16"/>
    </row>
    <row r="48" spans="2:7" x14ac:dyDescent="0.2">
      <c r="B48" s="16"/>
    </row>
    <row r="49" spans="2:2" x14ac:dyDescent="0.2">
      <c r="B49" s="16"/>
    </row>
    <row r="50" spans="2:2" x14ac:dyDescent="0.2">
      <c r="B50" s="16"/>
    </row>
    <row r="51" spans="2:2" x14ac:dyDescent="0.2">
      <c r="B51" s="16"/>
    </row>
    <row r="52" spans="2:2" x14ac:dyDescent="0.2">
      <c r="B52" s="16"/>
    </row>
    <row r="53" spans="2:2" x14ac:dyDescent="0.2">
      <c r="B53" s="16"/>
    </row>
    <row r="54" spans="2:2" x14ac:dyDescent="0.2">
      <c r="B54" s="16"/>
    </row>
    <row r="55" spans="2:2" x14ac:dyDescent="0.2">
      <c r="B55" s="16"/>
    </row>
    <row r="56" spans="2:2" x14ac:dyDescent="0.2">
      <c r="B56" s="16"/>
    </row>
    <row r="57" spans="2:2" x14ac:dyDescent="0.2">
      <c r="B57" s="16"/>
    </row>
    <row r="58" spans="2:2" x14ac:dyDescent="0.2">
      <c r="B58" s="16"/>
    </row>
    <row r="59" spans="2:2" x14ac:dyDescent="0.2">
      <c r="B59" s="16"/>
    </row>
    <row r="60" spans="2:2" x14ac:dyDescent="0.2">
      <c r="B60" s="16"/>
    </row>
    <row r="61" spans="2:2" x14ac:dyDescent="0.2">
      <c r="B61" s="16"/>
    </row>
    <row r="62" spans="2:2" x14ac:dyDescent="0.2">
      <c r="B62" s="16"/>
    </row>
    <row r="63" spans="2:2" x14ac:dyDescent="0.2">
      <c r="B63" s="16"/>
    </row>
    <row r="64" spans="2:2" x14ac:dyDescent="0.2">
      <c r="B64" s="16"/>
    </row>
    <row r="65" spans="2:2" x14ac:dyDescent="0.2">
      <c r="B65" s="16"/>
    </row>
    <row r="66" spans="2:2" x14ac:dyDescent="0.2">
      <c r="B66" s="16"/>
    </row>
    <row r="67" spans="2:2" x14ac:dyDescent="0.2">
      <c r="B67" s="16"/>
    </row>
    <row r="68" spans="2:2" x14ac:dyDescent="0.2">
      <c r="B68" s="16"/>
    </row>
    <row r="69" spans="2:2" x14ac:dyDescent="0.2">
      <c r="B69" s="16"/>
    </row>
    <row r="70" spans="2:2" x14ac:dyDescent="0.2">
      <c r="B70" s="16"/>
    </row>
    <row r="71" spans="2:2" x14ac:dyDescent="0.2">
      <c r="B71" s="16"/>
    </row>
    <row r="72" spans="2:2" x14ac:dyDescent="0.2">
      <c r="B72" s="16"/>
    </row>
    <row r="73" spans="2:2" x14ac:dyDescent="0.2">
      <c r="B73" s="16"/>
    </row>
    <row r="74" spans="2:2" x14ac:dyDescent="0.2">
      <c r="B74" s="16"/>
    </row>
    <row r="75" spans="2:2" x14ac:dyDescent="0.2">
      <c r="B75" s="16"/>
    </row>
    <row r="76" spans="2:2" x14ac:dyDescent="0.2">
      <c r="B76" s="16"/>
    </row>
    <row r="77" spans="2:2" x14ac:dyDescent="0.2">
      <c r="B77" s="16"/>
    </row>
    <row r="78" spans="2:2" x14ac:dyDescent="0.2">
      <c r="B78" s="16"/>
    </row>
    <row r="79" spans="2:2" x14ac:dyDescent="0.2">
      <c r="B79" s="16"/>
    </row>
    <row r="80" spans="2:2" x14ac:dyDescent="0.2">
      <c r="B80" s="16"/>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sheetPr>
  <dimension ref="A1:AD1387"/>
  <sheetViews>
    <sheetView topLeftCell="A71" workbookViewId="0">
      <selection activeCell="C75" sqref="C75"/>
    </sheetView>
  </sheetViews>
  <sheetFormatPr defaultColWidth="9.33203125" defaultRowHeight="11.25" x14ac:dyDescent="0.2"/>
  <cols>
    <col min="1" max="2" width="3.33203125" style="6" customWidth="1"/>
    <col min="3" max="3" width="17" style="6" customWidth="1"/>
    <col min="4" max="4" width="13" style="6" customWidth="1"/>
    <col min="5" max="5" width="9" style="6" customWidth="1"/>
    <col min="6" max="7" width="9.33203125" style="6"/>
    <col min="8" max="8" width="15.6640625" style="6" customWidth="1"/>
    <col min="9" max="9" width="17.6640625" style="6" bestFit="1" customWidth="1"/>
    <col min="10" max="10" width="17.5" style="6" customWidth="1"/>
    <col min="11" max="11" width="12" style="6" customWidth="1"/>
    <col min="12" max="12" width="22" style="6" customWidth="1"/>
    <col min="13" max="13" width="21" style="6" bestFit="1" customWidth="1"/>
    <col min="14" max="14" width="19.6640625" style="6" customWidth="1"/>
    <col min="15" max="16" width="19" style="6" customWidth="1"/>
    <col min="17" max="17" width="12.6640625" style="6" bestFit="1" customWidth="1"/>
    <col min="18" max="18" width="20.33203125" style="6" bestFit="1" customWidth="1"/>
    <col min="19" max="19" width="21.5" style="6" customWidth="1"/>
    <col min="20" max="20" width="22.33203125" style="6" customWidth="1"/>
    <col min="21" max="21" width="20.1640625" style="6" customWidth="1"/>
    <col min="22" max="23" width="21.5" style="6" customWidth="1"/>
    <col min="24" max="24" width="22" style="6" customWidth="1"/>
    <col min="25" max="16384" width="9.33203125" style="6"/>
  </cols>
  <sheetData>
    <row r="1" spans="1:30" ht="17.25" thickBot="1" x14ac:dyDescent="0.3">
      <c r="A1" s="4"/>
      <c r="B1" s="4" t="s">
        <v>505</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x14ac:dyDescent="0.2">
      <c r="B3" s="1" t="s">
        <v>637</v>
      </c>
    </row>
    <row r="4" spans="1:30" x14ac:dyDescent="0.2">
      <c r="B4" s="1"/>
    </row>
    <row r="5" spans="1:30" x14ac:dyDescent="0.2">
      <c r="B5" s="1" t="s">
        <v>653</v>
      </c>
    </row>
    <row r="6" spans="1:30" x14ac:dyDescent="0.2">
      <c r="C6" s="19" t="s">
        <v>654</v>
      </c>
    </row>
    <row r="7" spans="1:30" x14ac:dyDescent="0.2">
      <c r="C7" s="19" t="s">
        <v>646</v>
      </c>
    </row>
    <row r="8" spans="1:30" x14ac:dyDescent="0.2">
      <c r="B8" s="1"/>
      <c r="C8" s="19" t="s">
        <v>647</v>
      </c>
    </row>
    <row r="9" spans="1:30" x14ac:dyDescent="0.2">
      <c r="B9" s="1"/>
      <c r="C9" s="19" t="s">
        <v>648</v>
      </c>
    </row>
    <row r="10" spans="1:30" x14ac:dyDescent="0.2">
      <c r="B10" s="1"/>
      <c r="C10" s="19" t="s">
        <v>649</v>
      </c>
    </row>
    <row r="11" spans="1:30" x14ac:dyDescent="0.2">
      <c r="B11" s="1"/>
      <c r="C11" s="19" t="s">
        <v>652</v>
      </c>
    </row>
    <row r="12" spans="1:30" x14ac:dyDescent="0.2">
      <c r="B12" s="1"/>
      <c r="C12" s="19" t="s">
        <v>655</v>
      </c>
    </row>
    <row r="13" spans="1:30" x14ac:dyDescent="0.2">
      <c r="B13" s="1"/>
      <c r="C13" s="19" t="s">
        <v>650</v>
      </c>
    </row>
    <row r="14" spans="1:30" x14ac:dyDescent="0.2">
      <c r="B14" s="1"/>
      <c r="C14" s="19" t="s">
        <v>651</v>
      </c>
    </row>
    <row r="15" spans="1:30" x14ac:dyDescent="0.2">
      <c r="B15" s="1"/>
      <c r="C15" s="19"/>
    </row>
    <row r="16" spans="1:30" x14ac:dyDescent="0.2">
      <c r="B16" s="1" t="s">
        <v>638</v>
      </c>
    </row>
    <row r="17" spans="2:30" x14ac:dyDescent="0.2">
      <c r="B17" s="1"/>
    </row>
    <row r="18" spans="2:30" x14ac:dyDescent="0.2">
      <c r="B18" s="1" t="s">
        <v>656</v>
      </c>
    </row>
    <row r="19" spans="2:30" x14ac:dyDescent="0.2">
      <c r="B19" s="1"/>
      <c r="C19" s="19" t="s">
        <v>639</v>
      </c>
    </row>
    <row r="20" spans="2:30" x14ac:dyDescent="0.2">
      <c r="B20" s="1"/>
      <c r="C20" s="19" t="s">
        <v>640</v>
      </c>
    </row>
    <row r="21" spans="2:30" x14ac:dyDescent="0.2">
      <c r="B21" s="1" t="s">
        <v>641</v>
      </c>
      <c r="C21" s="19"/>
    </row>
    <row r="23" spans="2:30" x14ac:dyDescent="0.2">
      <c r="B23" s="1" t="s">
        <v>644</v>
      </c>
    </row>
    <row r="24" spans="2:30" x14ac:dyDescent="0.2">
      <c r="B24" s="1" t="s">
        <v>645</v>
      </c>
    </row>
    <row r="25" spans="2:30" x14ac:dyDescent="0.2">
      <c r="B25" s="1"/>
    </row>
    <row r="26" spans="2:30" x14ac:dyDescent="0.2">
      <c r="B26" s="1"/>
    </row>
    <row r="27" spans="2:30" ht="13.5" thickBot="1" x14ac:dyDescent="0.25">
      <c r="B27" s="9" t="s">
        <v>504</v>
      </c>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row>
    <row r="28" spans="2:30" x14ac:dyDescent="0.2">
      <c r="B28" s="16"/>
    </row>
    <row r="29" spans="2:30" x14ac:dyDescent="0.2">
      <c r="B29" s="16"/>
      <c r="C29" s="155" t="s">
        <v>523</v>
      </c>
      <c r="D29" s="167">
        <v>10</v>
      </c>
      <c r="E29" s="187" t="s">
        <v>524</v>
      </c>
      <c r="H29" s="155" t="s">
        <v>523</v>
      </c>
      <c r="I29" s="167">
        <v>10</v>
      </c>
      <c r="J29" s="187" t="s">
        <v>525</v>
      </c>
    </row>
    <row r="30" spans="2:30" x14ac:dyDescent="0.2">
      <c r="B30" s="16"/>
      <c r="C30" s="182" t="s">
        <v>503</v>
      </c>
      <c r="D30" s="181"/>
      <c r="E30" s="180"/>
      <c r="G30" s="182" t="s">
        <v>502</v>
      </c>
      <c r="H30" s="181"/>
      <c r="I30" s="180"/>
      <c r="L30" s="155" t="s">
        <v>501</v>
      </c>
      <c r="M30" s="31">
        <f>INPUT_RESISTANCEHEAT_SWITCHOVER</f>
        <v>0</v>
      </c>
      <c r="N30" s="6" t="s">
        <v>657</v>
      </c>
      <c r="R30" s="169" t="s">
        <v>494</v>
      </c>
      <c r="S30" s="44">
        <v>1</v>
      </c>
      <c r="T30" s="6" t="s">
        <v>663</v>
      </c>
      <c r="U30" s="97"/>
    </row>
    <row r="31" spans="2:30" x14ac:dyDescent="0.2">
      <c r="B31" s="16"/>
      <c r="C31" s="179" t="s">
        <v>500</v>
      </c>
      <c r="D31" s="178"/>
      <c r="E31" s="177"/>
      <c r="G31" s="179" t="s">
        <v>500</v>
      </c>
      <c r="H31" s="178"/>
      <c r="I31" s="177"/>
      <c r="L31" s="155" t="s">
        <v>499</v>
      </c>
      <c r="M31" s="298">
        <f>INPUT_GASHEATSWITCHOVER</f>
        <v>50</v>
      </c>
      <c r="N31" s="6" t="s">
        <v>658</v>
      </c>
      <c r="R31" s="155" t="s">
        <v>492</v>
      </c>
      <c r="S31" s="186">
        <f>1/Btu_per_kWh</f>
        <v>2.9308323563892143E-4</v>
      </c>
      <c r="T31" s="6" t="s">
        <v>664</v>
      </c>
    </row>
    <row r="32" spans="2:30" x14ac:dyDescent="0.2">
      <c r="B32" s="16"/>
      <c r="C32" s="176" t="s">
        <v>498</v>
      </c>
      <c r="D32" s="5"/>
      <c r="E32" s="174"/>
      <c r="G32" s="176" t="s">
        <v>498</v>
      </c>
      <c r="H32" s="5"/>
      <c r="I32" s="174"/>
      <c r="L32" s="155" t="s">
        <v>861</v>
      </c>
      <c r="M32" s="31">
        <f>INPUT_OILHEATSWITCHOVER</f>
        <v>25</v>
      </c>
      <c r="N32" s="6" t="s">
        <v>863</v>
      </c>
    </row>
    <row r="33" spans="2:30" x14ac:dyDescent="0.2">
      <c r="B33" s="16"/>
      <c r="C33" s="175" t="s">
        <v>497</v>
      </c>
      <c r="D33" s="167">
        <v>1.6677</v>
      </c>
      <c r="E33" s="174"/>
      <c r="G33" s="175" t="s">
        <v>497</v>
      </c>
      <c r="H33" s="167">
        <v>1.8533999999999999</v>
      </c>
      <c r="I33" s="174"/>
      <c r="L33" s="155" t="s">
        <v>862</v>
      </c>
      <c r="M33" s="298">
        <f>INPUT_PROPANEHEATSWITCHOVER</f>
        <v>15</v>
      </c>
      <c r="N33" s="6" t="s">
        <v>864</v>
      </c>
      <c r="R33" s="155" t="s">
        <v>642</v>
      </c>
      <c r="S33" s="44">
        <v>1</v>
      </c>
      <c r="T33" s="6" t="s">
        <v>659</v>
      </c>
    </row>
    <row r="34" spans="2:30" x14ac:dyDescent="0.2">
      <c r="B34" s="16"/>
      <c r="C34" s="173" t="s">
        <v>496</v>
      </c>
      <c r="D34" s="167">
        <v>4.53E-2</v>
      </c>
      <c r="E34" s="172"/>
      <c r="G34" s="173" t="s">
        <v>496</v>
      </c>
      <c r="H34" s="167">
        <v>2.7199999999999998E-2</v>
      </c>
      <c r="I34" s="172"/>
      <c r="L34" s="169" t="s">
        <v>897</v>
      </c>
      <c r="M34" s="31">
        <f>INPUT_BASEBOARDHEATSWITCHOVER</f>
        <v>15</v>
      </c>
      <c r="N34" s="6" t="s">
        <v>898</v>
      </c>
      <c r="R34" s="169" t="s">
        <v>643</v>
      </c>
      <c r="S34" s="44">
        <v>0.25</v>
      </c>
      <c r="T34" s="235" t="s">
        <v>660</v>
      </c>
    </row>
    <row r="35" spans="2:30" x14ac:dyDescent="0.2">
      <c r="B35" s="16"/>
      <c r="C35" s="171" t="s">
        <v>495</v>
      </c>
      <c r="G35" s="171" t="s">
        <v>495</v>
      </c>
    </row>
    <row r="36" spans="2:30" x14ac:dyDescent="0.2">
      <c r="B36" s="16"/>
      <c r="D36" s="170"/>
      <c r="E36" s="5"/>
      <c r="H36" s="170"/>
      <c r="I36" s="5"/>
      <c r="R36" s="155" t="s">
        <v>515</v>
      </c>
      <c r="S36" s="44">
        <v>1</v>
      </c>
      <c r="T36" s="6" t="s">
        <v>661</v>
      </c>
    </row>
    <row r="37" spans="2:30" x14ac:dyDescent="0.2">
      <c r="B37" s="16"/>
      <c r="C37" s="168" t="s">
        <v>493</v>
      </c>
      <c r="D37" s="183">
        <v>1</v>
      </c>
      <c r="E37" s="187" t="s">
        <v>889</v>
      </c>
      <c r="R37" s="169" t="s">
        <v>514</v>
      </c>
      <c r="S37" s="44">
        <v>0.25</v>
      </c>
      <c r="T37" s="235" t="s">
        <v>662</v>
      </c>
    </row>
    <row r="39" spans="2:30" ht="13.5" thickBot="1" x14ac:dyDescent="0.25">
      <c r="B39" s="9" t="s">
        <v>491</v>
      </c>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row>
    <row r="40" spans="2:30" x14ac:dyDescent="0.2">
      <c r="B40" s="15"/>
    </row>
    <row r="41" spans="2:30" ht="12.75" x14ac:dyDescent="0.2">
      <c r="B41" s="16"/>
      <c r="C41" s="10" t="s">
        <v>506</v>
      </c>
      <c r="D41" s="10"/>
      <c r="E41" s="10"/>
      <c r="F41" s="10"/>
      <c r="K41" s="10" t="s">
        <v>509</v>
      </c>
      <c r="L41" s="10"/>
      <c r="M41" s="10"/>
      <c r="N41" s="10"/>
    </row>
    <row r="42" spans="2:30" ht="12.75" x14ac:dyDescent="0.2">
      <c r="B42" s="16"/>
      <c r="C42" s="680" t="s">
        <v>769</v>
      </c>
      <c r="D42" s="681"/>
      <c r="E42" s="369">
        <f t="array" ref="E42">SUM(IF(Tbl_HPGeneralCalcs[Temperature, °F]&lt;=GAS_THRESHOLD,Tbl_HPGeneralCalcs[Consumption - Fan only],0))*INPUT_CORRECTIONFACTOR_CHP</f>
        <v>1322.75</v>
      </c>
      <c r="F42" s="6" t="s">
        <v>365</v>
      </c>
      <c r="G42" s="187" t="s">
        <v>516</v>
      </c>
      <c r="K42" s="680" t="s">
        <v>769</v>
      </c>
      <c r="L42" s="681"/>
      <c r="M42" s="369">
        <f t="array" ref="M42">SUM(IF(Tbl_HPGeneralCalcs[Temperature, °F]&lt;=GAS_THRESHOLD,Tbl_HPGeneralCalcs[Consumption - DMSHP Fan only],0))*INPUT_CORRECTIONFACTOR_DMSHP</f>
        <v>1322.75</v>
      </c>
      <c r="N42" s="6" t="s">
        <v>365</v>
      </c>
      <c r="O42" s="187" t="s">
        <v>520</v>
      </c>
    </row>
    <row r="43" spans="2:30" ht="12.75" x14ac:dyDescent="0.2">
      <c r="B43" s="16"/>
      <c r="C43" s="678" t="s">
        <v>767</v>
      </c>
      <c r="D43" s="679"/>
      <c r="E43" s="370">
        <f t="array" ref="E43">SUM(IF((Tbl_HPGeneralCalcs[Temperature, °F]&gt;GAS_THRESHOLD)*(Tbl_HPGeneralCalcs[Temperature, °F]&lt;=RESISTANCE_HEAT_THRESHOLD),Tbl_HPGeneralCalcs[Consumption - CHP only (kWh)],0))*INPUT_CORRECTIONFACTOR_CHP</f>
        <v>0</v>
      </c>
      <c r="F43" s="6" t="s">
        <v>365</v>
      </c>
      <c r="G43" s="187" t="s">
        <v>772</v>
      </c>
      <c r="K43" s="678" t="s">
        <v>770</v>
      </c>
      <c r="L43" s="679"/>
      <c r="M43" s="370">
        <f t="array" ref="M43">SUM(IF((Tbl_HPGeneralCalcs[Temperature, °F]&gt;GAS_THRESHOLD)*(Tbl_HPGeneralCalcs[Temperature, °F]&lt;=RESISTANCE_HEAT_THRESHOLD),Tbl_HPGeneralCalcs[Consumption - DMSHP only (kWh)],0))*INPUT_CORRECTIONFACTOR_DMSHP</f>
        <v>0</v>
      </c>
      <c r="N43" s="6" t="s">
        <v>365</v>
      </c>
      <c r="O43" s="187" t="s">
        <v>773</v>
      </c>
    </row>
    <row r="44" spans="2:30" ht="12.75" x14ac:dyDescent="0.2">
      <c r="B44" s="16"/>
      <c r="C44" s="678" t="s">
        <v>507</v>
      </c>
      <c r="D44" s="679"/>
      <c r="E44" s="369">
        <f t="array" ref="E44">SUM(IF((Tbl_HPGeneralCalcs[Temperature, °F]&gt;GAS_THRESHOLD)*(Tbl_HPGeneralCalcs[Temperature, °F]&gt;RESISTANCE_HEAT_THRESHOLD),Tbl_HPGeneralCalcs[Consumption - CHP only (kWh)],0))*INPUT_CORRECTIONFACTOR_CHP</f>
        <v>6.5309306406777567</v>
      </c>
      <c r="F44" s="6" t="s">
        <v>365</v>
      </c>
      <c r="G44" s="187" t="s">
        <v>517</v>
      </c>
      <c r="K44" s="678" t="s">
        <v>519</v>
      </c>
      <c r="L44" s="679"/>
      <c r="M44" s="369">
        <f t="array" ref="M44">SUM(IF(Tbl_HPGeneralCalcs[Temperature, °F]&gt;GAS_THRESHOLD,Tbl_HPGeneralCalcs[Consumption - DMSHP only (kWh)],0))*INPUT_CORRECTIONFACTOR_DMSHP</f>
        <v>8.1141141939554586</v>
      </c>
      <c r="N44" s="6" t="s">
        <v>365</v>
      </c>
      <c r="O44" s="187" t="s">
        <v>521</v>
      </c>
    </row>
    <row r="45" spans="2:30" ht="12.75" x14ac:dyDescent="0.2">
      <c r="B45" s="16"/>
      <c r="C45" s="678" t="s">
        <v>508</v>
      </c>
      <c r="D45" s="679"/>
      <c r="E45" s="370">
        <f t="array" ref="E45">SUM(IF(Tbl_HPGeneralCalcs[Temperature, °F]&lt;=GAS_THRESHOLD,Tbl_HPGeneralCalcs[Consumption - CHP + Gas (therms)],0))*INPUT_CORRECTIONFACTOR_CHP</f>
        <v>10.07029419138245</v>
      </c>
      <c r="F45" s="6" t="s">
        <v>372</v>
      </c>
      <c r="G45" s="187" t="s">
        <v>518</v>
      </c>
      <c r="K45" s="678" t="s">
        <v>508</v>
      </c>
      <c r="L45" s="679"/>
      <c r="M45" s="370">
        <f t="array" ref="M45">SUM(IF(Tbl_HPGeneralCalcs[Temperature, °F]&lt;=GAS_THRESHOLD,Tbl_HPGeneralCalcs[Consumption - DMSHP + Gas (therms)],0))*INPUT_CORRECTIONFACTOR_DMSHP</f>
        <v>10.07029419138245</v>
      </c>
      <c r="N45" s="6" t="s">
        <v>372</v>
      </c>
      <c r="O45" s="187" t="s">
        <v>522</v>
      </c>
    </row>
    <row r="46" spans="2:30" ht="12.75" x14ac:dyDescent="0.2">
      <c r="B46" s="16"/>
      <c r="C46" s="184"/>
      <c r="D46" s="185"/>
    </row>
    <row r="47" spans="2:30" x14ac:dyDescent="0.2">
      <c r="B47" s="16"/>
    </row>
    <row r="48" spans="2:30" ht="12.75" x14ac:dyDescent="0.2">
      <c r="B48" s="16"/>
      <c r="C48" s="10" t="s">
        <v>883</v>
      </c>
      <c r="D48" s="10"/>
      <c r="E48" s="10"/>
      <c r="F48" s="10"/>
      <c r="K48" s="10" t="s">
        <v>884</v>
      </c>
      <c r="L48" s="10"/>
      <c r="M48" s="10"/>
      <c r="N48" s="10"/>
    </row>
    <row r="49" spans="2:15" ht="12.75" x14ac:dyDescent="0.2">
      <c r="B49" s="16"/>
      <c r="C49" s="680" t="s">
        <v>865</v>
      </c>
      <c r="D49" s="681"/>
      <c r="E49" s="369">
        <f t="array" ref="E49">SUM(IF(Tbl_HPGeneralCalcs[Temperature, °F]&lt;=OIL_THRESHOLD,Tbl_HPGeneralCalcs[Consumption - Fan only],0))*INPUT_CORRECTIONFACTOR_CHP</f>
        <v>403.97500000000002</v>
      </c>
      <c r="F49" s="6" t="s">
        <v>365</v>
      </c>
      <c r="G49" s="187" t="s">
        <v>867</v>
      </c>
      <c r="K49" s="680" t="s">
        <v>865</v>
      </c>
      <c r="L49" s="681"/>
      <c r="M49" s="369">
        <f t="array" ref="M49">SUM(IF(Tbl_HPGeneralCalcs[Temperature, °F]&lt;=OIL_THRESHOLD,Tbl_HPGeneralCalcs[Consumption - DMSHP Fan only],0))*INPUT_CORRECTIONFACTOR_DMSHP</f>
        <v>403.97500000000002</v>
      </c>
      <c r="N49" s="6" t="s">
        <v>365</v>
      </c>
      <c r="O49" s="187" t="s">
        <v>879</v>
      </c>
    </row>
    <row r="50" spans="2:15" ht="12.75" x14ac:dyDescent="0.2">
      <c r="B50" s="16"/>
      <c r="C50" s="678" t="s">
        <v>767</v>
      </c>
      <c r="D50" s="679"/>
      <c r="E50" s="370">
        <f t="array" ref="E50">SUM(IF((Tbl_HPGeneralCalcs[Temperature, °F]&gt;OIL_THRESHOLD)*(Tbl_HPGeneralCalcs[Temperature, °F]&lt;=RESISTANCE_HEAT_THRESHOLD),Tbl_HPGeneralCalcs[Consumption - CHP only (kWh)],0))*INPUT_CORRECTIONFACTOR_CHP</f>
        <v>0</v>
      </c>
      <c r="F50" s="6" t="s">
        <v>365</v>
      </c>
      <c r="G50" s="187" t="s">
        <v>868</v>
      </c>
      <c r="K50" s="678" t="s">
        <v>770</v>
      </c>
      <c r="L50" s="679"/>
      <c r="M50" s="370">
        <f t="array" ref="M50">SUM(IF((Tbl_HPGeneralCalcs[Temperature, °F]&gt;OIL_THRESHOLD)*(Tbl_HPGeneralCalcs[Temperature, °F]&lt;=RESISTANCE_HEAT_THRESHOLD),Tbl_HPGeneralCalcs[Consumption - DMSHP only (kWh)],0))*INPUT_CORRECTIONFACTOR_DMSHP</f>
        <v>0</v>
      </c>
      <c r="N50" s="6" t="s">
        <v>365</v>
      </c>
      <c r="O50" s="187" t="s">
        <v>880</v>
      </c>
    </row>
    <row r="51" spans="2:15" ht="12.75" x14ac:dyDescent="0.2">
      <c r="B51" s="16"/>
      <c r="C51" s="678" t="s">
        <v>507</v>
      </c>
      <c r="D51" s="679"/>
      <c r="E51" s="369">
        <f t="array" ref="E51">SUM(IF((Tbl_HPGeneralCalcs[Temperature, °F]&gt;OIL_THRESHOLD)*(Tbl_HPGeneralCalcs[Temperature, °F]&gt;RESISTANCE_HEAT_THRESHOLD),Tbl_HPGeneralCalcs[Consumption - CHP only (kWh)],0))*INPUT_CORRECTIONFACTOR_CHP</f>
        <v>58.842072463517312</v>
      </c>
      <c r="F51" s="6" t="s">
        <v>365</v>
      </c>
      <c r="G51" s="187" t="s">
        <v>869</v>
      </c>
      <c r="K51" s="678" t="s">
        <v>519</v>
      </c>
      <c r="L51" s="679"/>
      <c r="M51" s="369">
        <f t="array" ref="M51">SUM(IF(Tbl_HPGeneralCalcs[Temperature, °F]&gt;OIL_THRESHOLD,Tbl_HPGeneralCalcs[Consumption - DMSHP only (kWh)],0))*INPUT_CORRECTIONFACTOR_DMSHP</f>
        <v>68.406890752451986</v>
      </c>
      <c r="N51" s="6" t="s">
        <v>365</v>
      </c>
      <c r="O51" s="187" t="s">
        <v>881</v>
      </c>
    </row>
    <row r="52" spans="2:15" ht="12.75" x14ac:dyDescent="0.2">
      <c r="B52" s="16"/>
      <c r="C52" s="678" t="s">
        <v>887</v>
      </c>
      <c r="D52" s="679"/>
      <c r="E52" s="370">
        <f t="array" ref="E52">SUM(IF(Tbl_HPGeneralCalcs[Temperature, °F]&lt;=OIL_THRESHOLD,Tbl_HPGeneralCalcs[Consumption - CHP + Gas (therms)],0))*INPUT_CORRECTIONFACTOR_CHP</f>
        <v>4.3459010496713644</v>
      </c>
      <c r="F52" s="6" t="s">
        <v>372</v>
      </c>
      <c r="G52" s="187" t="s">
        <v>870</v>
      </c>
      <c r="K52" s="678" t="s">
        <v>887</v>
      </c>
      <c r="L52" s="679"/>
      <c r="M52" s="370">
        <f t="array" ref="M52">SUM(IF(Tbl_HPGeneralCalcs[Temperature, °F]&lt;=OIL_THRESHOLD,Tbl_HPGeneralCalcs[Consumption - DMSHP + Gas (therms)],0))*INPUT_CORRECTIONFACTOR_DMSHP</f>
        <v>4.3459010496713644</v>
      </c>
      <c r="N52" s="6" t="s">
        <v>372</v>
      </c>
      <c r="O52" s="187" t="s">
        <v>882</v>
      </c>
    </row>
    <row r="53" spans="2:15" x14ac:dyDescent="0.2">
      <c r="B53" s="16"/>
    </row>
    <row r="54" spans="2:15" x14ac:dyDescent="0.2">
      <c r="B54" s="16"/>
    </row>
    <row r="55" spans="2:15" ht="12.75" x14ac:dyDescent="0.2">
      <c r="B55" s="16"/>
      <c r="C55" s="10" t="s">
        <v>885</v>
      </c>
      <c r="D55" s="10"/>
      <c r="E55" s="10"/>
      <c r="F55" s="10"/>
      <c r="K55" s="10" t="s">
        <v>886</v>
      </c>
      <c r="L55" s="10"/>
      <c r="M55" s="10"/>
      <c r="N55" s="10"/>
    </row>
    <row r="56" spans="2:15" ht="12.75" x14ac:dyDescent="0.2">
      <c r="B56" s="16"/>
      <c r="C56" s="680" t="s">
        <v>866</v>
      </c>
      <c r="D56" s="681"/>
      <c r="E56" s="369">
        <f t="array" ref="E56">SUM(IF(Tbl_HPGeneralCalcs[Temperature, °F]&lt;=PROPANE_THRESHOLD,Tbl_HPGeneralCalcs[Consumption - Fan only],0))*INPUT_CORRECTIONFACTOR_CHP</f>
        <v>165.27500000000001</v>
      </c>
      <c r="F56" s="6" t="s">
        <v>365</v>
      </c>
      <c r="G56" s="187" t="s">
        <v>871</v>
      </c>
      <c r="K56" s="680" t="s">
        <v>866</v>
      </c>
      <c r="L56" s="681"/>
      <c r="M56" s="369">
        <f t="array" ref="M56">SUM(IF(Tbl_HPGeneralCalcs[Temperature, °F]&lt;=PROPANE_THRESHOLD,Tbl_HPGeneralCalcs[Consumption - DMSHP Fan only],0))*INPUT_CORRECTIONFACTOR_DMSHP</f>
        <v>165.27500000000001</v>
      </c>
      <c r="N56" s="6" t="s">
        <v>365</v>
      </c>
      <c r="O56" s="187" t="s">
        <v>875</v>
      </c>
    </row>
    <row r="57" spans="2:15" ht="12.75" x14ac:dyDescent="0.2">
      <c r="B57" s="16"/>
      <c r="C57" s="678" t="s">
        <v>767</v>
      </c>
      <c r="D57" s="679"/>
      <c r="E57" s="370">
        <f t="array" ref="E57">SUM(IF((Tbl_HPGeneralCalcs[Temperature, °F]&gt;PROPANE_THRESHOLD)*(Tbl_HPGeneralCalcs[Temperature, °F]&lt;=RESISTANCE_HEAT_THRESHOLD),Tbl_HPGeneralCalcs[Consumption - CHP only (kWh)],0))*INPUT_CORRECTIONFACTOR_CHP</f>
        <v>0</v>
      </c>
      <c r="F57" s="6" t="s">
        <v>365</v>
      </c>
      <c r="G57" s="187" t="s">
        <v>872</v>
      </c>
      <c r="K57" s="678" t="s">
        <v>770</v>
      </c>
      <c r="L57" s="679"/>
      <c r="M57" s="370">
        <f t="array" ref="M57">SUM(IF((Tbl_HPGeneralCalcs[Temperature, °F]&gt;PROPANE_THRESHOLD)*(Tbl_HPGeneralCalcs[Temperature, °F]&lt;=RESISTANCE_HEAT_THRESHOLD),Tbl_HPGeneralCalcs[Consumption - DMSHP only (kWh)],0))*INPUT_CORRECTIONFACTOR_DMSHP</f>
        <v>0</v>
      </c>
      <c r="N57" s="6" t="s">
        <v>365</v>
      </c>
      <c r="O57" s="187" t="s">
        <v>876</v>
      </c>
    </row>
    <row r="58" spans="2:15" ht="12.75" x14ac:dyDescent="0.2">
      <c r="B58" s="16"/>
      <c r="C58" s="678" t="s">
        <v>507</v>
      </c>
      <c r="D58" s="679"/>
      <c r="E58" s="369">
        <f t="array" ref="E58">SUM(IF((Tbl_HPGeneralCalcs[Temperature, °F]&gt;PROPANE_THRESHOLD)*(Tbl_HPGeneralCalcs[Temperature, °F]&gt;RESISTANCE_HEAT_THRESHOLD),Tbl_HPGeneralCalcs[Consumption - CHP only (kWh)],0))*INPUT_CORRECTIONFACTOR_CHP</f>
        <v>84.489985642063402</v>
      </c>
      <c r="F58" s="6" t="s">
        <v>365</v>
      </c>
      <c r="G58" s="187" t="s">
        <v>873</v>
      </c>
      <c r="K58" s="678" t="s">
        <v>519</v>
      </c>
      <c r="L58" s="679"/>
      <c r="M58" s="369">
        <f t="array" ref="M58">SUM(IF(Tbl_HPGeneralCalcs[Temperature, °F]&gt;PROPANE_THRESHOLD,Tbl_HPGeneralCalcs[Consumption - DMSHP only (kWh)],0))*INPUT_CORRECTIONFACTOR_DMSHP</f>
        <v>96.068767009545127</v>
      </c>
      <c r="N58" s="6" t="s">
        <v>365</v>
      </c>
      <c r="O58" s="187" t="s">
        <v>877</v>
      </c>
    </row>
    <row r="59" spans="2:15" ht="12.75" x14ac:dyDescent="0.2">
      <c r="B59" s="16"/>
      <c r="C59" s="678" t="s">
        <v>888</v>
      </c>
      <c r="D59" s="679"/>
      <c r="E59" s="370">
        <f t="array" ref="E59">SUM(IF(Tbl_HPGeneralCalcs[Temperature, °F]&lt;=PROPANE_THRESHOLD,Tbl_HPGeneralCalcs[Consumption - CHP + Gas (therms)],0))*INPUT_CORRECTIONFACTOR_CHP</f>
        <v>2.060963779252913</v>
      </c>
      <c r="F59" s="6" t="s">
        <v>372</v>
      </c>
      <c r="G59" s="187" t="s">
        <v>874</v>
      </c>
      <c r="K59" s="678" t="s">
        <v>888</v>
      </c>
      <c r="L59" s="679"/>
      <c r="M59" s="370">
        <f t="array" ref="M59">SUM(IF(Tbl_HPGeneralCalcs[Temperature, °F]&lt;=PROPANE_THRESHOLD,Tbl_HPGeneralCalcs[Consumption - DMSHP + Gas (therms)],0))*INPUT_CORRECTIONFACTOR_DMSHP</f>
        <v>2.060963779252913</v>
      </c>
      <c r="N59" s="6" t="s">
        <v>372</v>
      </c>
      <c r="O59" s="187" t="s">
        <v>878</v>
      </c>
    </row>
    <row r="60" spans="2:15" x14ac:dyDescent="0.2">
      <c r="B60" s="16"/>
      <c r="I60" s="164"/>
    </row>
    <row r="61" spans="2:15" x14ac:dyDescent="0.2">
      <c r="B61" s="16"/>
      <c r="I61" s="164"/>
    </row>
    <row r="62" spans="2:15" ht="12.75" x14ac:dyDescent="0.2">
      <c r="B62" s="16"/>
      <c r="C62" s="10" t="s">
        <v>891</v>
      </c>
      <c r="D62" s="10"/>
      <c r="E62" s="10"/>
      <c r="F62" s="10"/>
      <c r="K62" s="10" t="s">
        <v>892</v>
      </c>
      <c r="L62" s="10"/>
      <c r="M62" s="10"/>
      <c r="N62" s="10"/>
    </row>
    <row r="63" spans="2:15" ht="12.75" x14ac:dyDescent="0.2">
      <c r="B63" s="16"/>
      <c r="C63" s="678" t="s">
        <v>767</v>
      </c>
      <c r="D63" s="679"/>
      <c r="E63" s="370">
        <f t="array" ref="E63">SUM(IF((Tbl_HPGeneralCalcs[Temperature, °F]&gt;BASEBOARD_THRESHOLD)*(Tbl_HPGeneralCalcs[Temperature, °F]&lt;=RESISTANCE_HEAT_THRESHOLD),Tbl_HPGeneralCalcs[Consumption - CHP only (kWh)],0))*INPUT_CORRECTIONFACTOR_CHP</f>
        <v>0</v>
      </c>
      <c r="F63" s="6" t="s">
        <v>365</v>
      </c>
      <c r="G63" s="187" t="s">
        <v>893</v>
      </c>
      <c r="K63" s="678" t="s">
        <v>770</v>
      </c>
      <c r="L63" s="679"/>
      <c r="M63" s="370">
        <f t="array" ref="M63">SUM(IF((Tbl_HPGeneralCalcs[Temperature, °F]&gt;BASEBOARD_THRESHOLD)*(Tbl_HPGeneralCalcs[Temperature, °F]&lt;=RESISTANCE_HEAT_THRESHOLD),Tbl_HPGeneralCalcs[Consumption - DMSHP only (kWh)],0))*INPUT_CORRECTIONFACTOR_DMSHP</f>
        <v>0</v>
      </c>
      <c r="N63" s="6" t="s">
        <v>365</v>
      </c>
      <c r="O63" s="187" t="s">
        <v>895</v>
      </c>
    </row>
    <row r="64" spans="2:15" ht="12.75" x14ac:dyDescent="0.2">
      <c r="B64" s="16"/>
      <c r="C64" s="678" t="s">
        <v>507</v>
      </c>
      <c r="D64" s="679"/>
      <c r="E64" s="369">
        <f t="array" ref="E64">SUM(IF((Tbl_HPGeneralCalcs[Temperature, °F]&gt;BASEBOARD_THRESHOLD)*(Tbl_HPGeneralCalcs[Temperature, °F]&gt;RESISTANCE_HEAT_THRESHOLD),Tbl_HPGeneralCalcs[Consumption - CHP only (kWh)],0))*INPUT_CORRECTIONFACTOR_CHP</f>
        <v>84.489985642063402</v>
      </c>
      <c r="F64" s="6" t="s">
        <v>365</v>
      </c>
      <c r="G64" s="187" t="s">
        <v>894</v>
      </c>
      <c r="K64" s="678" t="s">
        <v>519</v>
      </c>
      <c r="L64" s="679"/>
      <c r="M64" s="369">
        <f t="array" ref="M64">SUM(IF(Tbl_HPGeneralCalcs[Temperature, °F]&gt;BASEBOARD_THRESHOLD,Tbl_HPGeneralCalcs[Consumption - DMSHP only (kWh)],0))*INPUT_CORRECTIONFACTOR_DMSHP</f>
        <v>96.068767009545127</v>
      </c>
      <c r="N64" s="6" t="s">
        <v>365</v>
      </c>
      <c r="O64" s="187" t="s">
        <v>896</v>
      </c>
    </row>
    <row r="65" spans="2:30" ht="12.75" x14ac:dyDescent="0.2">
      <c r="B65" s="16"/>
      <c r="C65" s="678" t="s">
        <v>899</v>
      </c>
      <c r="D65" s="679"/>
      <c r="E65" s="370">
        <f t="array" ref="E65">100000*SUM(IF(Tbl_HPGeneralCalcs[Temperature, °F]&lt;=BASEBOARD_THRESHOLD,Tbl_HPGeneralCalcs[Consumption - CHP + Gas (therms)],0))*INPUT_CORRECTIONFACTOR_CHP/Btu_per_kWh</f>
        <v>60.403393295806353</v>
      </c>
      <c r="F65" s="6" t="s">
        <v>365</v>
      </c>
      <c r="G65" s="187" t="s">
        <v>900</v>
      </c>
      <c r="K65" s="678" t="s">
        <v>899</v>
      </c>
      <c r="L65" s="679"/>
      <c r="M65" s="370">
        <f t="array" ref="M65">100000*SUM(IF(Tbl_HPGeneralCalcs[Temperature, °F]&lt;=BASEBOARD_THRESHOLD,Tbl_HPGeneralCalcs[Consumption - DMSHP + Gas (therms)],0))*INPUT_CORRECTIONFACTOR_DMSHP/Btu_per_kWh</f>
        <v>60.403393295806353</v>
      </c>
      <c r="N65" s="6" t="s">
        <v>365</v>
      </c>
      <c r="O65" s="187" t="s">
        <v>901</v>
      </c>
    </row>
    <row r="66" spans="2:30" x14ac:dyDescent="0.2">
      <c r="B66" s="16"/>
      <c r="I66" s="164"/>
    </row>
    <row r="67" spans="2:30" x14ac:dyDescent="0.2">
      <c r="B67" s="16"/>
      <c r="I67" s="164"/>
    </row>
    <row r="68" spans="2:30" ht="12.75" x14ac:dyDescent="0.2">
      <c r="B68" s="16"/>
      <c r="C68" s="10" t="s">
        <v>765</v>
      </c>
      <c r="D68" s="10"/>
      <c r="E68" s="10"/>
      <c r="F68" s="10"/>
      <c r="I68" s="164"/>
      <c r="K68" s="10" t="s">
        <v>766</v>
      </c>
      <c r="L68" s="10"/>
      <c r="M68" s="10"/>
      <c r="N68" s="10"/>
    </row>
    <row r="69" spans="2:30" ht="12.75" x14ac:dyDescent="0.2">
      <c r="B69" s="16"/>
      <c r="C69" s="684" t="s">
        <v>768</v>
      </c>
      <c r="D69" s="685"/>
      <c r="E69" s="370">
        <f t="array" ref="E69">SUM(IF(Tbl_HPGeneralCalcs[Temperature, °F]&lt;=RESISTANCE_HEAT_THRESHOLD,Tbl_HPGeneralCalcs[Consumption - CHP only (kWh)],0))</f>
        <v>10.324984114155782</v>
      </c>
      <c r="F69" s="6" t="s">
        <v>365</v>
      </c>
      <c r="G69" s="187" t="s">
        <v>774</v>
      </c>
      <c r="I69" s="164"/>
      <c r="K69" s="684" t="s">
        <v>771</v>
      </c>
      <c r="L69" s="685"/>
      <c r="M69" s="370">
        <f t="array" ref="M69">SUM(IF(Tbl_HPGeneralCalcs[Temperature, °F]&lt;=RESISTANCE_HEAT_THRESHOLD,Tbl_HPGeneralCalcs[Consumption - DMSHP only (kWh)],0))</f>
        <v>10.324984114155782</v>
      </c>
      <c r="N69" s="6" t="s">
        <v>365</v>
      </c>
      <c r="O69" s="187" t="s">
        <v>776</v>
      </c>
    </row>
    <row r="70" spans="2:30" ht="12.75" x14ac:dyDescent="0.2">
      <c r="B70" s="16"/>
      <c r="C70" s="682" t="s">
        <v>507</v>
      </c>
      <c r="D70" s="683"/>
      <c r="E70" s="369">
        <f t="array" ref="E70">SUM(IF(Tbl_HPGeneralCalcs[Temperature, °F]&gt;RESISTANCE_HEAT_THRESHOLD,Tbl_HPGeneralCalcs[Consumption - CHP only (kWh)],0))</f>
        <v>98.204784297577916</v>
      </c>
      <c r="F70" s="6" t="s">
        <v>365</v>
      </c>
      <c r="G70" s="187" t="s">
        <v>775</v>
      </c>
      <c r="K70" s="684" t="s">
        <v>519</v>
      </c>
      <c r="L70" s="685"/>
      <c r="M70" s="369">
        <f t="array" ref="M70">SUM(IF(Tbl_HPGeneralCalcs[Temperature, °F]&gt;RESISTANCE_HEAT_THRESHOLD,Tbl_HPGeneralCalcs[Consumption - DMSHP only (kWh)],0))</f>
        <v>108.48530748555639</v>
      </c>
      <c r="N70" s="6" t="s">
        <v>365</v>
      </c>
      <c r="O70" s="187" t="s">
        <v>777</v>
      </c>
    </row>
    <row r="72" spans="2:30" ht="13.5" thickBot="1" x14ac:dyDescent="0.25">
      <c r="B72" s="9" t="s">
        <v>129</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row>
    <row r="73" spans="2:30" ht="12" thickBot="1" x14ac:dyDescent="0.25">
      <c r="B73" s="15"/>
    </row>
    <row r="74" spans="2:30" ht="12" thickBot="1" x14ac:dyDescent="0.25">
      <c r="B74" s="16"/>
      <c r="C74" s="6" t="s">
        <v>1640</v>
      </c>
      <c r="G74" s="686" t="s">
        <v>490</v>
      </c>
      <c r="H74" s="687"/>
      <c r="I74" s="687"/>
      <c r="J74" s="688"/>
      <c r="K74" s="686" t="s">
        <v>489</v>
      </c>
      <c r="L74" s="687"/>
      <c r="M74" s="687"/>
      <c r="N74" s="688"/>
    </row>
    <row r="75" spans="2:30" ht="22.5" customHeight="1" x14ac:dyDescent="0.2">
      <c r="B75" s="16"/>
      <c r="C75" s="166" t="s">
        <v>1060</v>
      </c>
      <c r="D75" s="166" t="s">
        <v>488</v>
      </c>
      <c r="E75" s="166" t="s">
        <v>487</v>
      </c>
      <c r="F75" s="166" t="s">
        <v>486</v>
      </c>
      <c r="G75" s="166" t="s">
        <v>485</v>
      </c>
      <c r="H75" s="166" t="s">
        <v>510</v>
      </c>
      <c r="I75" s="166" t="s">
        <v>511</v>
      </c>
      <c r="J75" s="166" t="s">
        <v>484</v>
      </c>
      <c r="K75" s="166" t="s">
        <v>483</v>
      </c>
      <c r="L75" s="166" t="s">
        <v>512</v>
      </c>
      <c r="M75" s="166" t="s">
        <v>513</v>
      </c>
      <c r="N75" s="166" t="s">
        <v>482</v>
      </c>
    </row>
    <row r="76" spans="2:30" x14ac:dyDescent="0.2">
      <c r="B76" s="16"/>
      <c r="C76" s="164">
        <v>-40</v>
      </c>
      <c r="D76" s="164">
        <v>0</v>
      </c>
      <c r="E76" s="164">
        <f>IF((65-Tbl_HPGeneralCalcs[[#This Row],[Temperature, °F]])*Tbl_HPGeneralCalcs[[#This Row],[Number of hours]]&lt;0,0,(65-Tbl_HPGeneralCalcs[[#This Row],[Temperature, °F]])*Tbl_HPGeneralCalcs[[#This Row],[Number of hours]])</f>
        <v>0</v>
      </c>
      <c r="F76" s="164">
        <f>(Tbl_HPGeneralCalcs[[#This Row],[Heating-degree hours (MMBtu)]]/SUM(Tbl_HPGeneralCalcs[Heating-degree hours (MMBtu)]))*$S$30*10^6</f>
        <v>0</v>
      </c>
      <c r="G76" s="164">
        <f>IF(Tbl_HPGeneralCalcs[[#This Row],[Temperature, °F]]&lt;=RESISTANCE_HEAT_THRESHOLD,1,IF($D$33+$D$34*Tbl_HPGeneralCalcs[[#This Row],[Temperature, °F]]&lt;1,1,($D$33+$D$34*Tbl_HPGeneralCalcs[[#This Row],[Temperature, °F]])*INPUT_HEATPUMP_EFFICIENCY_FACTOR))</f>
        <v>1</v>
      </c>
      <c r="H76" s="165">
        <f>KWH_PER_BTU*Tbl_HPGeneralCalcs[[#This Row],[heating load (Btu)]]/Tbl_HPGeneralCalcs[[#This Row],[COP - CHP]]</f>
        <v>0</v>
      </c>
      <c r="I76" s="165">
        <f>HPFUELCALC_REF_FUELPOWER_KW*HPFUELCALC_REF_FUELPOWER_CF*Tbl_HPGeneralCalcs[[#This Row],[Number of hours]]</f>
        <v>0</v>
      </c>
      <c r="J76" s="165">
        <f>Tbl_HPGeneralCalcs[[#This Row],[heating load (Btu)]]/HPFUELCALC_REF_AFUE/100000</f>
        <v>0</v>
      </c>
      <c r="K76" s="165">
        <f>IF(Tbl_HPGeneralCalcs[[#This Row],[Temperature, °F]]&lt;=RESISTANCE_HEAT_THRESHOLD,1,IF($H$33+$H$34*Tbl_HPGeneralCalcs[[#This Row],[Temperature, °F]]&lt;1,1,($H$33+$H$34*Tbl_HPGeneralCalcs[[#This Row],[Temperature, °F]])*INPUT_HEATPUMP_EFFICIENCY_FACTOR))</f>
        <v>1</v>
      </c>
      <c r="L76" s="165">
        <f>KWH_PER_BTU*Tbl_HPGeneralCalcs[[#This Row],[heating load (Btu)]]/Tbl_HPGeneralCalcs[[#This Row],[COP - DMSHP]]</f>
        <v>0</v>
      </c>
      <c r="M76" s="165">
        <f>HPFUELCALC_REF_DMSHPFAN*HPFUELCALC_REF_DMSHPFAN_CF*Tbl_HPGeneralCalcs[[#This Row],[Number of hours]]</f>
        <v>0</v>
      </c>
      <c r="N76" s="165">
        <f>Tbl_HPGeneralCalcs[[#This Row],[heating load (Btu)]]/HPFUELCALC_REF_AFUE/100000</f>
        <v>0</v>
      </c>
    </row>
    <row r="77" spans="2:30" x14ac:dyDescent="0.2">
      <c r="B77" s="16"/>
      <c r="C77" s="164">
        <v>-39</v>
      </c>
      <c r="D77" s="164">
        <v>0</v>
      </c>
      <c r="E77" s="164">
        <f>IF((65-Tbl_HPGeneralCalcs[[#This Row],[Temperature, °F]])*Tbl_HPGeneralCalcs[[#This Row],[Number of hours]]&lt;0,0,(65-Tbl_HPGeneralCalcs[[#This Row],[Temperature, °F]])*Tbl_HPGeneralCalcs[[#This Row],[Number of hours]])</f>
        <v>0</v>
      </c>
      <c r="F77" s="164">
        <f>(Tbl_HPGeneralCalcs[[#This Row],[Heating-degree hours (MMBtu)]]/SUM(Tbl_HPGeneralCalcs[Heating-degree hours (MMBtu)]))*$S$30*10^6</f>
        <v>0</v>
      </c>
      <c r="G77" s="164">
        <f>IF(Tbl_HPGeneralCalcs[[#This Row],[Temperature, °F]]&lt;=RESISTANCE_HEAT_THRESHOLD,1,IF($D$33+$D$34*Tbl_HPGeneralCalcs[[#This Row],[Temperature, °F]]&lt;1,1,($D$33+$D$34*Tbl_HPGeneralCalcs[[#This Row],[Temperature, °F]])*INPUT_HEATPUMP_EFFICIENCY_FACTOR))</f>
        <v>1</v>
      </c>
      <c r="H77" s="165">
        <f>KWH_PER_BTU*Tbl_HPGeneralCalcs[[#This Row],[heating load (Btu)]]/Tbl_HPGeneralCalcs[[#This Row],[COP - CHP]]</f>
        <v>0</v>
      </c>
      <c r="I77" s="165">
        <f>HPFUELCALC_REF_FUELPOWER_KW*HPFUELCALC_REF_FUELPOWER_CF*Tbl_HPGeneralCalcs[[#This Row],[Number of hours]]</f>
        <v>0</v>
      </c>
      <c r="J77" s="165">
        <f>Tbl_HPGeneralCalcs[[#This Row],[heating load (Btu)]]/HPFUELCALC_REF_AFUE/100000</f>
        <v>0</v>
      </c>
      <c r="K77" s="165">
        <f>IF(Tbl_HPGeneralCalcs[[#This Row],[Temperature, °F]]&lt;=RESISTANCE_HEAT_THRESHOLD,1,IF($H$33+$H$34*Tbl_HPGeneralCalcs[[#This Row],[Temperature, °F]]&lt;1,1,($H$33+$H$34*Tbl_HPGeneralCalcs[[#This Row],[Temperature, °F]])*INPUT_HEATPUMP_EFFICIENCY_FACTOR))</f>
        <v>1</v>
      </c>
      <c r="L77" s="165">
        <f>KWH_PER_BTU*Tbl_HPGeneralCalcs[[#This Row],[heating load (Btu)]]/Tbl_HPGeneralCalcs[[#This Row],[COP - DMSHP]]</f>
        <v>0</v>
      </c>
      <c r="M77" s="165">
        <f>HPFUELCALC_REF_DMSHPFAN*HPFUELCALC_REF_DMSHPFAN_CF*Tbl_HPGeneralCalcs[[#This Row],[Number of hours]]</f>
        <v>0</v>
      </c>
      <c r="N77" s="165">
        <f>Tbl_HPGeneralCalcs[[#This Row],[heating load (Btu)]]/HPFUELCALC_REF_AFUE/100000</f>
        <v>0</v>
      </c>
    </row>
    <row r="78" spans="2:30" x14ac:dyDescent="0.2">
      <c r="B78" s="16"/>
      <c r="C78" s="164">
        <v>-38</v>
      </c>
      <c r="D78" s="164">
        <v>0</v>
      </c>
      <c r="E78" s="164">
        <f>IF((65-Tbl_HPGeneralCalcs[[#This Row],[Temperature, °F]])*Tbl_HPGeneralCalcs[[#This Row],[Number of hours]]&lt;0,0,(65-Tbl_HPGeneralCalcs[[#This Row],[Temperature, °F]])*Tbl_HPGeneralCalcs[[#This Row],[Number of hours]])</f>
        <v>0</v>
      </c>
      <c r="F78" s="164">
        <f>(Tbl_HPGeneralCalcs[[#This Row],[Heating-degree hours (MMBtu)]]/SUM(Tbl_HPGeneralCalcs[Heating-degree hours (MMBtu)]))*$S$30*10^6</f>
        <v>0</v>
      </c>
      <c r="G78" s="164">
        <f>IF(Tbl_HPGeneralCalcs[[#This Row],[Temperature, °F]]&lt;=RESISTANCE_HEAT_THRESHOLD,1,IF($D$33+$D$34*Tbl_HPGeneralCalcs[[#This Row],[Temperature, °F]]&lt;1,1,($D$33+$D$34*Tbl_HPGeneralCalcs[[#This Row],[Temperature, °F]])*INPUT_HEATPUMP_EFFICIENCY_FACTOR))</f>
        <v>1</v>
      </c>
      <c r="H78" s="165">
        <f>KWH_PER_BTU*Tbl_HPGeneralCalcs[[#This Row],[heating load (Btu)]]/Tbl_HPGeneralCalcs[[#This Row],[COP - CHP]]</f>
        <v>0</v>
      </c>
      <c r="I78" s="165">
        <f>HPFUELCALC_REF_FUELPOWER_KW*HPFUELCALC_REF_FUELPOWER_CF*Tbl_HPGeneralCalcs[[#This Row],[Number of hours]]</f>
        <v>0</v>
      </c>
      <c r="J78" s="165">
        <f>Tbl_HPGeneralCalcs[[#This Row],[heating load (Btu)]]/HPFUELCALC_REF_AFUE/100000</f>
        <v>0</v>
      </c>
      <c r="K78" s="165">
        <f>IF(Tbl_HPGeneralCalcs[[#This Row],[Temperature, °F]]&lt;=RESISTANCE_HEAT_THRESHOLD,1,IF($H$33+$H$34*Tbl_HPGeneralCalcs[[#This Row],[Temperature, °F]]&lt;1,1,($H$33+$H$34*Tbl_HPGeneralCalcs[[#This Row],[Temperature, °F]])*INPUT_HEATPUMP_EFFICIENCY_FACTOR))</f>
        <v>1</v>
      </c>
      <c r="L78" s="165">
        <f>KWH_PER_BTU*Tbl_HPGeneralCalcs[[#This Row],[heating load (Btu)]]/Tbl_HPGeneralCalcs[[#This Row],[COP - DMSHP]]</f>
        <v>0</v>
      </c>
      <c r="M78" s="165">
        <f>HPFUELCALC_REF_DMSHPFAN*HPFUELCALC_REF_DMSHPFAN_CF*Tbl_HPGeneralCalcs[[#This Row],[Number of hours]]</f>
        <v>0</v>
      </c>
      <c r="N78" s="165">
        <f>Tbl_HPGeneralCalcs[[#This Row],[heating load (Btu)]]/HPFUELCALC_REF_AFUE/100000</f>
        <v>0</v>
      </c>
    </row>
    <row r="79" spans="2:30" x14ac:dyDescent="0.2">
      <c r="B79" s="16"/>
      <c r="C79" s="164">
        <v>-37</v>
      </c>
      <c r="D79" s="164">
        <v>0</v>
      </c>
      <c r="E79" s="164">
        <f>IF((65-Tbl_HPGeneralCalcs[[#This Row],[Temperature, °F]])*Tbl_HPGeneralCalcs[[#This Row],[Number of hours]]&lt;0,0,(65-Tbl_HPGeneralCalcs[[#This Row],[Temperature, °F]])*Tbl_HPGeneralCalcs[[#This Row],[Number of hours]])</f>
        <v>0</v>
      </c>
      <c r="F79" s="164">
        <f>(Tbl_HPGeneralCalcs[[#This Row],[Heating-degree hours (MMBtu)]]/SUM(Tbl_HPGeneralCalcs[Heating-degree hours (MMBtu)]))*$S$30*10^6</f>
        <v>0</v>
      </c>
      <c r="G79" s="164">
        <f>IF(Tbl_HPGeneralCalcs[[#This Row],[Temperature, °F]]&lt;=RESISTANCE_HEAT_THRESHOLD,1,IF($D$33+$D$34*Tbl_HPGeneralCalcs[[#This Row],[Temperature, °F]]&lt;1,1,($D$33+$D$34*Tbl_HPGeneralCalcs[[#This Row],[Temperature, °F]])*INPUT_HEATPUMP_EFFICIENCY_FACTOR))</f>
        <v>1</v>
      </c>
      <c r="H79" s="165">
        <f>KWH_PER_BTU*Tbl_HPGeneralCalcs[[#This Row],[heating load (Btu)]]/Tbl_HPGeneralCalcs[[#This Row],[COP - CHP]]</f>
        <v>0</v>
      </c>
      <c r="I79" s="165">
        <f>HPFUELCALC_REF_FUELPOWER_KW*HPFUELCALC_REF_FUELPOWER_CF*Tbl_HPGeneralCalcs[[#This Row],[Number of hours]]</f>
        <v>0</v>
      </c>
      <c r="J79" s="165">
        <f>Tbl_HPGeneralCalcs[[#This Row],[heating load (Btu)]]/HPFUELCALC_REF_AFUE/100000</f>
        <v>0</v>
      </c>
      <c r="K79" s="165">
        <f>IF(Tbl_HPGeneralCalcs[[#This Row],[Temperature, °F]]&lt;=RESISTANCE_HEAT_THRESHOLD,1,IF($H$33+$H$34*Tbl_HPGeneralCalcs[[#This Row],[Temperature, °F]]&lt;1,1,($H$33+$H$34*Tbl_HPGeneralCalcs[[#This Row],[Temperature, °F]])*INPUT_HEATPUMP_EFFICIENCY_FACTOR))</f>
        <v>1</v>
      </c>
      <c r="L79" s="165">
        <f>KWH_PER_BTU*Tbl_HPGeneralCalcs[[#This Row],[heating load (Btu)]]/Tbl_HPGeneralCalcs[[#This Row],[COP - DMSHP]]</f>
        <v>0</v>
      </c>
      <c r="M79" s="165">
        <f>HPFUELCALC_REF_DMSHPFAN*HPFUELCALC_REF_DMSHPFAN_CF*Tbl_HPGeneralCalcs[[#This Row],[Number of hours]]</f>
        <v>0</v>
      </c>
      <c r="N79" s="165">
        <f>Tbl_HPGeneralCalcs[[#This Row],[heating load (Btu)]]/HPFUELCALC_REF_AFUE/100000</f>
        <v>0</v>
      </c>
    </row>
    <row r="80" spans="2:30" x14ac:dyDescent="0.2">
      <c r="B80" s="16"/>
      <c r="C80" s="164">
        <v>-36</v>
      </c>
      <c r="D80" s="164">
        <v>0</v>
      </c>
      <c r="E80" s="164">
        <f>IF((65-Tbl_HPGeneralCalcs[[#This Row],[Temperature, °F]])*Tbl_HPGeneralCalcs[[#This Row],[Number of hours]]&lt;0,0,(65-Tbl_HPGeneralCalcs[[#This Row],[Temperature, °F]])*Tbl_HPGeneralCalcs[[#This Row],[Number of hours]])</f>
        <v>0</v>
      </c>
      <c r="F80" s="164">
        <f>(Tbl_HPGeneralCalcs[[#This Row],[Heating-degree hours (MMBtu)]]/SUM(Tbl_HPGeneralCalcs[Heating-degree hours (MMBtu)]))*$S$30*10^6</f>
        <v>0</v>
      </c>
      <c r="G80" s="164">
        <f>IF(Tbl_HPGeneralCalcs[[#This Row],[Temperature, °F]]&lt;=RESISTANCE_HEAT_THRESHOLD,1,IF($D$33+$D$34*Tbl_HPGeneralCalcs[[#This Row],[Temperature, °F]]&lt;1,1,($D$33+$D$34*Tbl_HPGeneralCalcs[[#This Row],[Temperature, °F]])*INPUT_HEATPUMP_EFFICIENCY_FACTOR))</f>
        <v>1</v>
      </c>
      <c r="H80" s="165">
        <f>KWH_PER_BTU*Tbl_HPGeneralCalcs[[#This Row],[heating load (Btu)]]/Tbl_HPGeneralCalcs[[#This Row],[COP - CHP]]</f>
        <v>0</v>
      </c>
      <c r="I80" s="165">
        <f>HPFUELCALC_REF_FUELPOWER_KW*HPFUELCALC_REF_FUELPOWER_CF*Tbl_HPGeneralCalcs[[#This Row],[Number of hours]]</f>
        <v>0</v>
      </c>
      <c r="J80" s="165">
        <f>Tbl_HPGeneralCalcs[[#This Row],[heating load (Btu)]]/HPFUELCALC_REF_AFUE/100000</f>
        <v>0</v>
      </c>
      <c r="K80" s="165">
        <f>IF(Tbl_HPGeneralCalcs[[#This Row],[Temperature, °F]]&lt;=RESISTANCE_HEAT_THRESHOLD,1,IF($H$33+$H$34*Tbl_HPGeneralCalcs[[#This Row],[Temperature, °F]]&lt;1,1,($H$33+$H$34*Tbl_HPGeneralCalcs[[#This Row],[Temperature, °F]])*INPUT_HEATPUMP_EFFICIENCY_FACTOR))</f>
        <v>1</v>
      </c>
      <c r="L80" s="165">
        <f>KWH_PER_BTU*Tbl_HPGeneralCalcs[[#This Row],[heating load (Btu)]]/Tbl_HPGeneralCalcs[[#This Row],[COP - DMSHP]]</f>
        <v>0</v>
      </c>
      <c r="M80" s="165">
        <f>HPFUELCALC_REF_DMSHPFAN*HPFUELCALC_REF_DMSHPFAN_CF*Tbl_HPGeneralCalcs[[#This Row],[Number of hours]]</f>
        <v>0</v>
      </c>
      <c r="N80" s="165">
        <f>Tbl_HPGeneralCalcs[[#This Row],[heating load (Btu)]]/HPFUELCALC_REF_AFUE/100000</f>
        <v>0</v>
      </c>
    </row>
    <row r="81" spans="2:14" x14ac:dyDescent="0.2">
      <c r="B81" s="16"/>
      <c r="C81" s="164">
        <v>-35</v>
      </c>
      <c r="D81" s="164">
        <v>0</v>
      </c>
      <c r="E81" s="164">
        <f>IF((65-Tbl_HPGeneralCalcs[[#This Row],[Temperature, °F]])*Tbl_HPGeneralCalcs[[#This Row],[Number of hours]]&lt;0,0,(65-Tbl_HPGeneralCalcs[[#This Row],[Temperature, °F]])*Tbl_HPGeneralCalcs[[#This Row],[Number of hours]])</f>
        <v>0</v>
      </c>
      <c r="F81" s="164">
        <f>(Tbl_HPGeneralCalcs[[#This Row],[Heating-degree hours (MMBtu)]]/SUM(Tbl_HPGeneralCalcs[Heating-degree hours (MMBtu)]))*$S$30*10^6</f>
        <v>0</v>
      </c>
      <c r="G81" s="164">
        <f>IF(Tbl_HPGeneralCalcs[[#This Row],[Temperature, °F]]&lt;=RESISTANCE_HEAT_THRESHOLD,1,IF($D$33+$D$34*Tbl_HPGeneralCalcs[[#This Row],[Temperature, °F]]&lt;1,1,($D$33+$D$34*Tbl_HPGeneralCalcs[[#This Row],[Temperature, °F]])*INPUT_HEATPUMP_EFFICIENCY_FACTOR))</f>
        <v>1</v>
      </c>
      <c r="H81" s="165">
        <f>KWH_PER_BTU*Tbl_HPGeneralCalcs[[#This Row],[heating load (Btu)]]/Tbl_HPGeneralCalcs[[#This Row],[COP - CHP]]</f>
        <v>0</v>
      </c>
      <c r="I81" s="165">
        <f>HPFUELCALC_REF_FUELPOWER_KW*HPFUELCALC_REF_FUELPOWER_CF*Tbl_HPGeneralCalcs[[#This Row],[Number of hours]]</f>
        <v>0</v>
      </c>
      <c r="J81" s="165">
        <f>Tbl_HPGeneralCalcs[[#This Row],[heating load (Btu)]]/HPFUELCALC_REF_AFUE/100000</f>
        <v>0</v>
      </c>
      <c r="K81" s="165">
        <f>IF(Tbl_HPGeneralCalcs[[#This Row],[Temperature, °F]]&lt;=RESISTANCE_HEAT_THRESHOLD,1,IF($H$33+$H$34*Tbl_HPGeneralCalcs[[#This Row],[Temperature, °F]]&lt;1,1,($H$33+$H$34*Tbl_HPGeneralCalcs[[#This Row],[Temperature, °F]])*INPUT_HEATPUMP_EFFICIENCY_FACTOR))</f>
        <v>1</v>
      </c>
      <c r="L81" s="165">
        <f>KWH_PER_BTU*Tbl_HPGeneralCalcs[[#This Row],[heating load (Btu)]]/Tbl_HPGeneralCalcs[[#This Row],[COP - DMSHP]]</f>
        <v>0</v>
      </c>
      <c r="M81" s="165">
        <f>HPFUELCALC_REF_DMSHPFAN*HPFUELCALC_REF_DMSHPFAN_CF*Tbl_HPGeneralCalcs[[#This Row],[Number of hours]]</f>
        <v>0</v>
      </c>
      <c r="N81" s="165">
        <f>Tbl_HPGeneralCalcs[[#This Row],[heating load (Btu)]]/HPFUELCALC_REF_AFUE/100000</f>
        <v>0</v>
      </c>
    </row>
    <row r="82" spans="2:14" x14ac:dyDescent="0.2">
      <c r="B82" s="16"/>
      <c r="C82" s="164">
        <v>-34</v>
      </c>
      <c r="D82" s="164">
        <v>0</v>
      </c>
      <c r="E82" s="164">
        <f>IF((65-Tbl_HPGeneralCalcs[[#This Row],[Temperature, °F]])*Tbl_HPGeneralCalcs[[#This Row],[Number of hours]]&lt;0,0,(65-Tbl_HPGeneralCalcs[[#This Row],[Temperature, °F]])*Tbl_HPGeneralCalcs[[#This Row],[Number of hours]])</f>
        <v>0</v>
      </c>
      <c r="F82" s="164">
        <f>(Tbl_HPGeneralCalcs[[#This Row],[Heating-degree hours (MMBtu)]]/SUM(Tbl_HPGeneralCalcs[Heating-degree hours (MMBtu)]))*$S$30*10^6</f>
        <v>0</v>
      </c>
      <c r="G82" s="164">
        <f>IF(Tbl_HPGeneralCalcs[[#This Row],[Temperature, °F]]&lt;=RESISTANCE_HEAT_THRESHOLD,1,IF($D$33+$D$34*Tbl_HPGeneralCalcs[[#This Row],[Temperature, °F]]&lt;1,1,($D$33+$D$34*Tbl_HPGeneralCalcs[[#This Row],[Temperature, °F]])*INPUT_HEATPUMP_EFFICIENCY_FACTOR))</f>
        <v>1</v>
      </c>
      <c r="H82" s="165">
        <f>KWH_PER_BTU*Tbl_HPGeneralCalcs[[#This Row],[heating load (Btu)]]/Tbl_HPGeneralCalcs[[#This Row],[COP - CHP]]</f>
        <v>0</v>
      </c>
      <c r="I82" s="165">
        <f>HPFUELCALC_REF_FUELPOWER_KW*HPFUELCALC_REF_FUELPOWER_CF*Tbl_HPGeneralCalcs[[#This Row],[Number of hours]]</f>
        <v>0</v>
      </c>
      <c r="J82" s="165">
        <f>Tbl_HPGeneralCalcs[[#This Row],[heating load (Btu)]]/HPFUELCALC_REF_AFUE/100000</f>
        <v>0</v>
      </c>
      <c r="K82" s="165">
        <f>IF(Tbl_HPGeneralCalcs[[#This Row],[Temperature, °F]]&lt;=RESISTANCE_HEAT_THRESHOLD,1,IF($H$33+$H$34*Tbl_HPGeneralCalcs[[#This Row],[Temperature, °F]]&lt;1,1,($H$33+$H$34*Tbl_HPGeneralCalcs[[#This Row],[Temperature, °F]])*INPUT_HEATPUMP_EFFICIENCY_FACTOR))</f>
        <v>1</v>
      </c>
      <c r="L82" s="165">
        <f>KWH_PER_BTU*Tbl_HPGeneralCalcs[[#This Row],[heating load (Btu)]]/Tbl_HPGeneralCalcs[[#This Row],[COP - DMSHP]]</f>
        <v>0</v>
      </c>
      <c r="M82" s="165">
        <f>HPFUELCALC_REF_DMSHPFAN*HPFUELCALC_REF_DMSHPFAN_CF*Tbl_HPGeneralCalcs[[#This Row],[Number of hours]]</f>
        <v>0</v>
      </c>
      <c r="N82" s="165">
        <f>Tbl_HPGeneralCalcs[[#This Row],[heating load (Btu)]]/HPFUELCALC_REF_AFUE/100000</f>
        <v>0</v>
      </c>
    </row>
    <row r="83" spans="2:14" x14ac:dyDescent="0.2">
      <c r="B83" s="16"/>
      <c r="C83" s="164">
        <v>-33</v>
      </c>
      <c r="D83" s="164">
        <v>0</v>
      </c>
      <c r="E83" s="164">
        <f>IF((65-Tbl_HPGeneralCalcs[[#This Row],[Temperature, °F]])*Tbl_HPGeneralCalcs[[#This Row],[Number of hours]]&lt;0,0,(65-Tbl_HPGeneralCalcs[[#This Row],[Temperature, °F]])*Tbl_HPGeneralCalcs[[#This Row],[Number of hours]])</f>
        <v>0</v>
      </c>
      <c r="F83" s="164">
        <f>(Tbl_HPGeneralCalcs[[#This Row],[Heating-degree hours (MMBtu)]]/SUM(Tbl_HPGeneralCalcs[Heating-degree hours (MMBtu)]))*$S$30*10^6</f>
        <v>0</v>
      </c>
      <c r="G83" s="164">
        <f>IF(Tbl_HPGeneralCalcs[[#This Row],[Temperature, °F]]&lt;=RESISTANCE_HEAT_THRESHOLD,1,IF($D$33+$D$34*Tbl_HPGeneralCalcs[[#This Row],[Temperature, °F]]&lt;1,1,($D$33+$D$34*Tbl_HPGeneralCalcs[[#This Row],[Temperature, °F]])*INPUT_HEATPUMP_EFFICIENCY_FACTOR))</f>
        <v>1</v>
      </c>
      <c r="H83" s="165">
        <f>KWH_PER_BTU*Tbl_HPGeneralCalcs[[#This Row],[heating load (Btu)]]/Tbl_HPGeneralCalcs[[#This Row],[COP - CHP]]</f>
        <v>0</v>
      </c>
      <c r="I83" s="165">
        <f>HPFUELCALC_REF_FUELPOWER_KW*HPFUELCALC_REF_FUELPOWER_CF*Tbl_HPGeneralCalcs[[#This Row],[Number of hours]]</f>
        <v>0</v>
      </c>
      <c r="J83" s="165">
        <f>Tbl_HPGeneralCalcs[[#This Row],[heating load (Btu)]]/HPFUELCALC_REF_AFUE/100000</f>
        <v>0</v>
      </c>
      <c r="K83" s="165">
        <f>IF(Tbl_HPGeneralCalcs[[#This Row],[Temperature, °F]]&lt;=RESISTANCE_HEAT_THRESHOLD,1,IF($H$33+$H$34*Tbl_HPGeneralCalcs[[#This Row],[Temperature, °F]]&lt;1,1,($H$33+$H$34*Tbl_HPGeneralCalcs[[#This Row],[Temperature, °F]])*INPUT_HEATPUMP_EFFICIENCY_FACTOR))</f>
        <v>1</v>
      </c>
      <c r="L83" s="165">
        <f>KWH_PER_BTU*Tbl_HPGeneralCalcs[[#This Row],[heating load (Btu)]]/Tbl_HPGeneralCalcs[[#This Row],[COP - DMSHP]]</f>
        <v>0</v>
      </c>
      <c r="M83" s="165">
        <f>HPFUELCALC_REF_DMSHPFAN*HPFUELCALC_REF_DMSHPFAN_CF*Tbl_HPGeneralCalcs[[#This Row],[Number of hours]]</f>
        <v>0</v>
      </c>
      <c r="N83" s="165">
        <f>Tbl_HPGeneralCalcs[[#This Row],[heating load (Btu)]]/HPFUELCALC_REF_AFUE/100000</f>
        <v>0</v>
      </c>
    </row>
    <row r="84" spans="2:14" x14ac:dyDescent="0.2">
      <c r="B84" s="16"/>
      <c r="C84" s="164">
        <v>-32</v>
      </c>
      <c r="D84" s="164">
        <v>0</v>
      </c>
      <c r="E84" s="164">
        <f>IF((65-Tbl_HPGeneralCalcs[[#This Row],[Temperature, °F]])*Tbl_HPGeneralCalcs[[#This Row],[Number of hours]]&lt;0,0,(65-Tbl_HPGeneralCalcs[[#This Row],[Temperature, °F]])*Tbl_HPGeneralCalcs[[#This Row],[Number of hours]])</f>
        <v>0</v>
      </c>
      <c r="F84" s="164">
        <f>(Tbl_HPGeneralCalcs[[#This Row],[Heating-degree hours (MMBtu)]]/SUM(Tbl_HPGeneralCalcs[Heating-degree hours (MMBtu)]))*$S$30*10^6</f>
        <v>0</v>
      </c>
      <c r="G84" s="164">
        <f>IF(Tbl_HPGeneralCalcs[[#This Row],[Temperature, °F]]&lt;=RESISTANCE_HEAT_THRESHOLD,1,IF($D$33+$D$34*Tbl_HPGeneralCalcs[[#This Row],[Temperature, °F]]&lt;1,1,($D$33+$D$34*Tbl_HPGeneralCalcs[[#This Row],[Temperature, °F]])*INPUT_HEATPUMP_EFFICIENCY_FACTOR))</f>
        <v>1</v>
      </c>
      <c r="H84" s="165">
        <f>KWH_PER_BTU*Tbl_HPGeneralCalcs[[#This Row],[heating load (Btu)]]/Tbl_HPGeneralCalcs[[#This Row],[COP - CHP]]</f>
        <v>0</v>
      </c>
      <c r="I84" s="165">
        <f>HPFUELCALC_REF_FUELPOWER_KW*HPFUELCALC_REF_FUELPOWER_CF*Tbl_HPGeneralCalcs[[#This Row],[Number of hours]]</f>
        <v>0</v>
      </c>
      <c r="J84" s="165">
        <f>Tbl_HPGeneralCalcs[[#This Row],[heating load (Btu)]]/HPFUELCALC_REF_AFUE/100000</f>
        <v>0</v>
      </c>
      <c r="K84" s="165">
        <f>IF(Tbl_HPGeneralCalcs[[#This Row],[Temperature, °F]]&lt;=RESISTANCE_HEAT_THRESHOLD,1,IF($H$33+$H$34*Tbl_HPGeneralCalcs[[#This Row],[Temperature, °F]]&lt;1,1,($H$33+$H$34*Tbl_HPGeneralCalcs[[#This Row],[Temperature, °F]])*INPUT_HEATPUMP_EFFICIENCY_FACTOR))</f>
        <v>1</v>
      </c>
      <c r="L84" s="165">
        <f>KWH_PER_BTU*Tbl_HPGeneralCalcs[[#This Row],[heating load (Btu)]]/Tbl_HPGeneralCalcs[[#This Row],[COP - DMSHP]]</f>
        <v>0</v>
      </c>
      <c r="M84" s="165">
        <f>HPFUELCALC_REF_DMSHPFAN*HPFUELCALC_REF_DMSHPFAN_CF*Tbl_HPGeneralCalcs[[#This Row],[Number of hours]]</f>
        <v>0</v>
      </c>
      <c r="N84" s="165">
        <f>Tbl_HPGeneralCalcs[[#This Row],[heating load (Btu)]]/HPFUELCALC_REF_AFUE/100000</f>
        <v>0</v>
      </c>
    </row>
    <row r="85" spans="2:14" x14ac:dyDescent="0.2">
      <c r="B85" s="16"/>
      <c r="C85" s="164">
        <v>-31</v>
      </c>
      <c r="D85" s="164">
        <v>0</v>
      </c>
      <c r="E85" s="164">
        <f>IF((65-Tbl_HPGeneralCalcs[[#This Row],[Temperature, °F]])*Tbl_HPGeneralCalcs[[#This Row],[Number of hours]]&lt;0,0,(65-Tbl_HPGeneralCalcs[[#This Row],[Temperature, °F]])*Tbl_HPGeneralCalcs[[#This Row],[Number of hours]])</f>
        <v>0</v>
      </c>
      <c r="F85" s="164">
        <f>(Tbl_HPGeneralCalcs[[#This Row],[Heating-degree hours (MMBtu)]]/SUM(Tbl_HPGeneralCalcs[Heating-degree hours (MMBtu)]))*$S$30*10^6</f>
        <v>0</v>
      </c>
      <c r="G85" s="164">
        <f>IF(Tbl_HPGeneralCalcs[[#This Row],[Temperature, °F]]&lt;=RESISTANCE_HEAT_THRESHOLD,1,IF($D$33+$D$34*Tbl_HPGeneralCalcs[[#This Row],[Temperature, °F]]&lt;1,1,($D$33+$D$34*Tbl_HPGeneralCalcs[[#This Row],[Temperature, °F]])*INPUT_HEATPUMP_EFFICIENCY_FACTOR))</f>
        <v>1</v>
      </c>
      <c r="H85" s="165">
        <f>KWH_PER_BTU*Tbl_HPGeneralCalcs[[#This Row],[heating load (Btu)]]/Tbl_HPGeneralCalcs[[#This Row],[COP - CHP]]</f>
        <v>0</v>
      </c>
      <c r="I85" s="165">
        <f>HPFUELCALC_REF_FUELPOWER_KW*HPFUELCALC_REF_FUELPOWER_CF*Tbl_HPGeneralCalcs[[#This Row],[Number of hours]]</f>
        <v>0</v>
      </c>
      <c r="J85" s="165">
        <f>Tbl_HPGeneralCalcs[[#This Row],[heating load (Btu)]]/HPFUELCALC_REF_AFUE/100000</f>
        <v>0</v>
      </c>
      <c r="K85" s="165">
        <f>IF(Tbl_HPGeneralCalcs[[#This Row],[Temperature, °F]]&lt;=RESISTANCE_HEAT_THRESHOLD,1,IF($H$33+$H$34*Tbl_HPGeneralCalcs[[#This Row],[Temperature, °F]]&lt;1,1,($H$33+$H$34*Tbl_HPGeneralCalcs[[#This Row],[Temperature, °F]])*INPUT_HEATPUMP_EFFICIENCY_FACTOR))</f>
        <v>1</v>
      </c>
      <c r="L85" s="165">
        <f>KWH_PER_BTU*Tbl_HPGeneralCalcs[[#This Row],[heating load (Btu)]]/Tbl_HPGeneralCalcs[[#This Row],[COP - DMSHP]]</f>
        <v>0</v>
      </c>
      <c r="M85" s="165">
        <f>HPFUELCALC_REF_DMSHPFAN*HPFUELCALC_REF_DMSHPFAN_CF*Tbl_HPGeneralCalcs[[#This Row],[Number of hours]]</f>
        <v>0</v>
      </c>
      <c r="N85" s="165">
        <f>Tbl_HPGeneralCalcs[[#This Row],[heating load (Btu)]]/HPFUELCALC_REF_AFUE/100000</f>
        <v>0</v>
      </c>
    </row>
    <row r="86" spans="2:14" x14ac:dyDescent="0.2">
      <c r="B86" s="16"/>
      <c r="C86" s="164">
        <v>-30</v>
      </c>
      <c r="D86" s="164">
        <v>0</v>
      </c>
      <c r="E86" s="164">
        <f>IF((65-Tbl_HPGeneralCalcs[[#This Row],[Temperature, °F]])*Tbl_HPGeneralCalcs[[#This Row],[Number of hours]]&lt;0,0,(65-Tbl_HPGeneralCalcs[[#This Row],[Temperature, °F]])*Tbl_HPGeneralCalcs[[#This Row],[Number of hours]])</f>
        <v>0</v>
      </c>
      <c r="F86" s="164">
        <f>(Tbl_HPGeneralCalcs[[#This Row],[Heating-degree hours (MMBtu)]]/SUM(Tbl_HPGeneralCalcs[Heating-degree hours (MMBtu)]))*$S$30*10^6</f>
        <v>0</v>
      </c>
      <c r="G86" s="164">
        <f>IF(Tbl_HPGeneralCalcs[[#This Row],[Temperature, °F]]&lt;=RESISTANCE_HEAT_THRESHOLD,1,IF($D$33+$D$34*Tbl_HPGeneralCalcs[[#This Row],[Temperature, °F]]&lt;1,1,($D$33+$D$34*Tbl_HPGeneralCalcs[[#This Row],[Temperature, °F]])*INPUT_HEATPUMP_EFFICIENCY_FACTOR))</f>
        <v>1</v>
      </c>
      <c r="H86" s="165">
        <f>KWH_PER_BTU*Tbl_HPGeneralCalcs[[#This Row],[heating load (Btu)]]/Tbl_HPGeneralCalcs[[#This Row],[COP - CHP]]</f>
        <v>0</v>
      </c>
      <c r="I86" s="165">
        <f>HPFUELCALC_REF_FUELPOWER_KW*HPFUELCALC_REF_FUELPOWER_CF*Tbl_HPGeneralCalcs[[#This Row],[Number of hours]]</f>
        <v>0</v>
      </c>
      <c r="J86" s="165">
        <f>Tbl_HPGeneralCalcs[[#This Row],[heating load (Btu)]]/HPFUELCALC_REF_AFUE/100000</f>
        <v>0</v>
      </c>
      <c r="K86" s="165">
        <f>IF(Tbl_HPGeneralCalcs[[#This Row],[Temperature, °F]]&lt;=RESISTANCE_HEAT_THRESHOLD,1,IF($H$33+$H$34*Tbl_HPGeneralCalcs[[#This Row],[Temperature, °F]]&lt;1,1,($H$33+$H$34*Tbl_HPGeneralCalcs[[#This Row],[Temperature, °F]])*INPUT_HEATPUMP_EFFICIENCY_FACTOR))</f>
        <v>1</v>
      </c>
      <c r="L86" s="165">
        <f>KWH_PER_BTU*Tbl_HPGeneralCalcs[[#This Row],[heating load (Btu)]]/Tbl_HPGeneralCalcs[[#This Row],[COP - DMSHP]]</f>
        <v>0</v>
      </c>
      <c r="M86" s="165">
        <f>HPFUELCALC_REF_DMSHPFAN*HPFUELCALC_REF_DMSHPFAN_CF*Tbl_HPGeneralCalcs[[#This Row],[Number of hours]]</f>
        <v>0</v>
      </c>
      <c r="N86" s="165">
        <f>Tbl_HPGeneralCalcs[[#This Row],[heating load (Btu)]]/HPFUELCALC_REF_AFUE/100000</f>
        <v>0</v>
      </c>
    </row>
    <row r="87" spans="2:14" x14ac:dyDescent="0.2">
      <c r="B87" s="16"/>
      <c r="C87" s="164">
        <v>-29</v>
      </c>
      <c r="D87" s="164">
        <v>0</v>
      </c>
      <c r="E87" s="164">
        <f>IF((65-Tbl_HPGeneralCalcs[[#This Row],[Temperature, °F]])*Tbl_HPGeneralCalcs[[#This Row],[Number of hours]]&lt;0,0,(65-Tbl_HPGeneralCalcs[[#This Row],[Temperature, °F]])*Tbl_HPGeneralCalcs[[#This Row],[Number of hours]])</f>
        <v>0</v>
      </c>
      <c r="F87" s="164">
        <f>(Tbl_HPGeneralCalcs[[#This Row],[Heating-degree hours (MMBtu)]]/SUM(Tbl_HPGeneralCalcs[Heating-degree hours (MMBtu)]))*$S$30*10^6</f>
        <v>0</v>
      </c>
      <c r="G87" s="164">
        <f>IF(Tbl_HPGeneralCalcs[[#This Row],[Temperature, °F]]&lt;=RESISTANCE_HEAT_THRESHOLD,1,IF($D$33+$D$34*Tbl_HPGeneralCalcs[[#This Row],[Temperature, °F]]&lt;1,1,($D$33+$D$34*Tbl_HPGeneralCalcs[[#This Row],[Temperature, °F]])*INPUT_HEATPUMP_EFFICIENCY_FACTOR))</f>
        <v>1</v>
      </c>
      <c r="H87" s="165">
        <f>KWH_PER_BTU*Tbl_HPGeneralCalcs[[#This Row],[heating load (Btu)]]/Tbl_HPGeneralCalcs[[#This Row],[COP - CHP]]</f>
        <v>0</v>
      </c>
      <c r="I87" s="165">
        <f>HPFUELCALC_REF_FUELPOWER_KW*HPFUELCALC_REF_FUELPOWER_CF*Tbl_HPGeneralCalcs[[#This Row],[Number of hours]]</f>
        <v>0</v>
      </c>
      <c r="J87" s="165">
        <f>Tbl_HPGeneralCalcs[[#This Row],[heating load (Btu)]]/HPFUELCALC_REF_AFUE/100000</f>
        <v>0</v>
      </c>
      <c r="K87" s="165">
        <f>IF(Tbl_HPGeneralCalcs[[#This Row],[Temperature, °F]]&lt;=RESISTANCE_HEAT_THRESHOLD,1,IF($H$33+$H$34*Tbl_HPGeneralCalcs[[#This Row],[Temperature, °F]]&lt;1,1,($H$33+$H$34*Tbl_HPGeneralCalcs[[#This Row],[Temperature, °F]])*INPUT_HEATPUMP_EFFICIENCY_FACTOR))</f>
        <v>1</v>
      </c>
      <c r="L87" s="165">
        <f>KWH_PER_BTU*Tbl_HPGeneralCalcs[[#This Row],[heating load (Btu)]]/Tbl_HPGeneralCalcs[[#This Row],[COP - DMSHP]]</f>
        <v>0</v>
      </c>
      <c r="M87" s="165">
        <f>HPFUELCALC_REF_DMSHPFAN*HPFUELCALC_REF_DMSHPFAN_CF*Tbl_HPGeneralCalcs[[#This Row],[Number of hours]]</f>
        <v>0</v>
      </c>
      <c r="N87" s="165">
        <f>Tbl_HPGeneralCalcs[[#This Row],[heating load (Btu)]]/HPFUELCALC_REF_AFUE/100000</f>
        <v>0</v>
      </c>
    </row>
    <row r="88" spans="2:14" x14ac:dyDescent="0.2">
      <c r="B88" s="16"/>
      <c r="C88" s="164">
        <v>-28</v>
      </c>
      <c r="D88" s="164">
        <v>0</v>
      </c>
      <c r="E88" s="164">
        <f>IF((65-Tbl_HPGeneralCalcs[[#This Row],[Temperature, °F]])*Tbl_HPGeneralCalcs[[#This Row],[Number of hours]]&lt;0,0,(65-Tbl_HPGeneralCalcs[[#This Row],[Temperature, °F]])*Tbl_HPGeneralCalcs[[#This Row],[Number of hours]])</f>
        <v>0</v>
      </c>
      <c r="F88" s="164">
        <f>(Tbl_HPGeneralCalcs[[#This Row],[Heating-degree hours (MMBtu)]]/SUM(Tbl_HPGeneralCalcs[Heating-degree hours (MMBtu)]))*$S$30*10^6</f>
        <v>0</v>
      </c>
      <c r="G88" s="164">
        <f>IF(Tbl_HPGeneralCalcs[[#This Row],[Temperature, °F]]&lt;=RESISTANCE_HEAT_THRESHOLD,1,IF($D$33+$D$34*Tbl_HPGeneralCalcs[[#This Row],[Temperature, °F]]&lt;1,1,($D$33+$D$34*Tbl_HPGeneralCalcs[[#This Row],[Temperature, °F]])*INPUT_HEATPUMP_EFFICIENCY_FACTOR))</f>
        <v>1</v>
      </c>
      <c r="H88" s="165">
        <f>KWH_PER_BTU*Tbl_HPGeneralCalcs[[#This Row],[heating load (Btu)]]/Tbl_HPGeneralCalcs[[#This Row],[COP - CHP]]</f>
        <v>0</v>
      </c>
      <c r="I88" s="165">
        <f>HPFUELCALC_REF_FUELPOWER_KW*HPFUELCALC_REF_FUELPOWER_CF*Tbl_HPGeneralCalcs[[#This Row],[Number of hours]]</f>
        <v>0</v>
      </c>
      <c r="J88" s="165">
        <f>Tbl_HPGeneralCalcs[[#This Row],[heating load (Btu)]]/HPFUELCALC_REF_AFUE/100000</f>
        <v>0</v>
      </c>
      <c r="K88" s="165">
        <f>IF(Tbl_HPGeneralCalcs[[#This Row],[Temperature, °F]]&lt;=RESISTANCE_HEAT_THRESHOLD,1,IF($H$33+$H$34*Tbl_HPGeneralCalcs[[#This Row],[Temperature, °F]]&lt;1,1,($H$33+$H$34*Tbl_HPGeneralCalcs[[#This Row],[Temperature, °F]])*INPUT_HEATPUMP_EFFICIENCY_FACTOR))</f>
        <v>1</v>
      </c>
      <c r="L88" s="165">
        <f>KWH_PER_BTU*Tbl_HPGeneralCalcs[[#This Row],[heating load (Btu)]]/Tbl_HPGeneralCalcs[[#This Row],[COP - DMSHP]]</f>
        <v>0</v>
      </c>
      <c r="M88" s="165">
        <f>HPFUELCALC_REF_DMSHPFAN*HPFUELCALC_REF_DMSHPFAN_CF*Tbl_HPGeneralCalcs[[#This Row],[Number of hours]]</f>
        <v>0</v>
      </c>
      <c r="N88" s="165">
        <f>Tbl_HPGeneralCalcs[[#This Row],[heating load (Btu)]]/HPFUELCALC_REF_AFUE/100000</f>
        <v>0</v>
      </c>
    </row>
    <row r="89" spans="2:14" x14ac:dyDescent="0.2">
      <c r="B89" s="16"/>
      <c r="C89" s="164">
        <v>-27</v>
      </c>
      <c r="D89" s="164">
        <v>0</v>
      </c>
      <c r="E89" s="164">
        <f>IF((65-Tbl_HPGeneralCalcs[[#This Row],[Temperature, °F]])*Tbl_HPGeneralCalcs[[#This Row],[Number of hours]]&lt;0,0,(65-Tbl_HPGeneralCalcs[[#This Row],[Temperature, °F]])*Tbl_HPGeneralCalcs[[#This Row],[Number of hours]])</f>
        <v>0</v>
      </c>
      <c r="F89" s="164">
        <f>(Tbl_HPGeneralCalcs[[#This Row],[Heating-degree hours (MMBtu)]]/SUM(Tbl_HPGeneralCalcs[Heating-degree hours (MMBtu)]))*$S$30*10^6</f>
        <v>0</v>
      </c>
      <c r="G89" s="164">
        <f>IF(Tbl_HPGeneralCalcs[[#This Row],[Temperature, °F]]&lt;=RESISTANCE_HEAT_THRESHOLD,1,IF($D$33+$D$34*Tbl_HPGeneralCalcs[[#This Row],[Temperature, °F]]&lt;1,1,($D$33+$D$34*Tbl_HPGeneralCalcs[[#This Row],[Temperature, °F]])*INPUT_HEATPUMP_EFFICIENCY_FACTOR))</f>
        <v>1</v>
      </c>
      <c r="H89" s="165">
        <f>KWH_PER_BTU*Tbl_HPGeneralCalcs[[#This Row],[heating load (Btu)]]/Tbl_HPGeneralCalcs[[#This Row],[COP - CHP]]</f>
        <v>0</v>
      </c>
      <c r="I89" s="165">
        <f>HPFUELCALC_REF_FUELPOWER_KW*HPFUELCALC_REF_FUELPOWER_CF*Tbl_HPGeneralCalcs[[#This Row],[Number of hours]]</f>
        <v>0</v>
      </c>
      <c r="J89" s="165">
        <f>Tbl_HPGeneralCalcs[[#This Row],[heating load (Btu)]]/HPFUELCALC_REF_AFUE/100000</f>
        <v>0</v>
      </c>
      <c r="K89" s="165">
        <f>IF(Tbl_HPGeneralCalcs[[#This Row],[Temperature, °F]]&lt;=RESISTANCE_HEAT_THRESHOLD,1,IF($H$33+$H$34*Tbl_HPGeneralCalcs[[#This Row],[Temperature, °F]]&lt;1,1,($H$33+$H$34*Tbl_HPGeneralCalcs[[#This Row],[Temperature, °F]])*INPUT_HEATPUMP_EFFICIENCY_FACTOR))</f>
        <v>1</v>
      </c>
      <c r="L89" s="165">
        <f>KWH_PER_BTU*Tbl_HPGeneralCalcs[[#This Row],[heating load (Btu)]]/Tbl_HPGeneralCalcs[[#This Row],[COP - DMSHP]]</f>
        <v>0</v>
      </c>
      <c r="M89" s="165">
        <f>HPFUELCALC_REF_DMSHPFAN*HPFUELCALC_REF_DMSHPFAN_CF*Tbl_HPGeneralCalcs[[#This Row],[Number of hours]]</f>
        <v>0</v>
      </c>
      <c r="N89" s="165">
        <f>Tbl_HPGeneralCalcs[[#This Row],[heating load (Btu)]]/HPFUELCALC_REF_AFUE/100000</f>
        <v>0</v>
      </c>
    </row>
    <row r="90" spans="2:14" x14ac:dyDescent="0.2">
      <c r="B90" s="16"/>
      <c r="C90" s="164">
        <v>-26</v>
      </c>
      <c r="D90" s="164">
        <v>0</v>
      </c>
      <c r="E90" s="164">
        <f>IF((65-Tbl_HPGeneralCalcs[[#This Row],[Temperature, °F]])*Tbl_HPGeneralCalcs[[#This Row],[Number of hours]]&lt;0,0,(65-Tbl_HPGeneralCalcs[[#This Row],[Temperature, °F]])*Tbl_HPGeneralCalcs[[#This Row],[Number of hours]])</f>
        <v>0</v>
      </c>
      <c r="F90" s="164">
        <f>(Tbl_HPGeneralCalcs[[#This Row],[Heating-degree hours (MMBtu)]]/SUM(Tbl_HPGeneralCalcs[Heating-degree hours (MMBtu)]))*$S$30*10^6</f>
        <v>0</v>
      </c>
      <c r="G90" s="164">
        <f>IF(Tbl_HPGeneralCalcs[[#This Row],[Temperature, °F]]&lt;=RESISTANCE_HEAT_THRESHOLD,1,IF($D$33+$D$34*Tbl_HPGeneralCalcs[[#This Row],[Temperature, °F]]&lt;1,1,($D$33+$D$34*Tbl_HPGeneralCalcs[[#This Row],[Temperature, °F]])*INPUT_HEATPUMP_EFFICIENCY_FACTOR))</f>
        <v>1</v>
      </c>
      <c r="H90" s="165">
        <f>KWH_PER_BTU*Tbl_HPGeneralCalcs[[#This Row],[heating load (Btu)]]/Tbl_HPGeneralCalcs[[#This Row],[COP - CHP]]</f>
        <v>0</v>
      </c>
      <c r="I90" s="165">
        <f>HPFUELCALC_REF_FUELPOWER_KW*HPFUELCALC_REF_FUELPOWER_CF*Tbl_HPGeneralCalcs[[#This Row],[Number of hours]]</f>
        <v>0</v>
      </c>
      <c r="J90" s="165">
        <f>Tbl_HPGeneralCalcs[[#This Row],[heating load (Btu)]]/HPFUELCALC_REF_AFUE/100000</f>
        <v>0</v>
      </c>
      <c r="K90" s="165">
        <f>IF(Tbl_HPGeneralCalcs[[#This Row],[Temperature, °F]]&lt;=RESISTANCE_HEAT_THRESHOLD,1,IF($H$33+$H$34*Tbl_HPGeneralCalcs[[#This Row],[Temperature, °F]]&lt;1,1,($H$33+$H$34*Tbl_HPGeneralCalcs[[#This Row],[Temperature, °F]])*INPUT_HEATPUMP_EFFICIENCY_FACTOR))</f>
        <v>1</v>
      </c>
      <c r="L90" s="165">
        <f>KWH_PER_BTU*Tbl_HPGeneralCalcs[[#This Row],[heating load (Btu)]]/Tbl_HPGeneralCalcs[[#This Row],[COP - DMSHP]]</f>
        <v>0</v>
      </c>
      <c r="M90" s="165">
        <f>HPFUELCALC_REF_DMSHPFAN*HPFUELCALC_REF_DMSHPFAN_CF*Tbl_HPGeneralCalcs[[#This Row],[Number of hours]]</f>
        <v>0</v>
      </c>
      <c r="N90" s="165">
        <f>Tbl_HPGeneralCalcs[[#This Row],[heating load (Btu)]]/HPFUELCALC_REF_AFUE/100000</f>
        <v>0</v>
      </c>
    </row>
    <row r="91" spans="2:14" x14ac:dyDescent="0.2">
      <c r="B91" s="16"/>
      <c r="C91" s="164">
        <v>-25</v>
      </c>
      <c r="D91" s="164">
        <v>0</v>
      </c>
      <c r="E91" s="164">
        <f>IF((65-Tbl_HPGeneralCalcs[[#This Row],[Temperature, °F]])*Tbl_HPGeneralCalcs[[#This Row],[Number of hours]]&lt;0,0,(65-Tbl_HPGeneralCalcs[[#This Row],[Temperature, °F]])*Tbl_HPGeneralCalcs[[#This Row],[Number of hours]])</f>
        <v>0</v>
      </c>
      <c r="F91" s="164">
        <f>(Tbl_HPGeneralCalcs[[#This Row],[Heating-degree hours (MMBtu)]]/SUM(Tbl_HPGeneralCalcs[Heating-degree hours (MMBtu)]))*$S$30*10^6</f>
        <v>0</v>
      </c>
      <c r="G91" s="164">
        <f>IF(Tbl_HPGeneralCalcs[[#This Row],[Temperature, °F]]&lt;=RESISTANCE_HEAT_THRESHOLD,1,IF($D$33+$D$34*Tbl_HPGeneralCalcs[[#This Row],[Temperature, °F]]&lt;1,1,($D$33+$D$34*Tbl_HPGeneralCalcs[[#This Row],[Temperature, °F]])*INPUT_HEATPUMP_EFFICIENCY_FACTOR))</f>
        <v>1</v>
      </c>
      <c r="H91" s="165">
        <f>KWH_PER_BTU*Tbl_HPGeneralCalcs[[#This Row],[heating load (Btu)]]/Tbl_HPGeneralCalcs[[#This Row],[COP - CHP]]</f>
        <v>0</v>
      </c>
      <c r="I91" s="165">
        <f>HPFUELCALC_REF_FUELPOWER_KW*HPFUELCALC_REF_FUELPOWER_CF*Tbl_HPGeneralCalcs[[#This Row],[Number of hours]]</f>
        <v>0</v>
      </c>
      <c r="J91" s="165">
        <f>Tbl_HPGeneralCalcs[[#This Row],[heating load (Btu)]]/HPFUELCALC_REF_AFUE/100000</f>
        <v>0</v>
      </c>
      <c r="K91" s="165">
        <f>IF(Tbl_HPGeneralCalcs[[#This Row],[Temperature, °F]]&lt;=RESISTANCE_HEAT_THRESHOLD,1,IF($H$33+$H$34*Tbl_HPGeneralCalcs[[#This Row],[Temperature, °F]]&lt;1,1,($H$33+$H$34*Tbl_HPGeneralCalcs[[#This Row],[Temperature, °F]])*INPUT_HEATPUMP_EFFICIENCY_FACTOR))</f>
        <v>1</v>
      </c>
      <c r="L91" s="165">
        <f>KWH_PER_BTU*Tbl_HPGeneralCalcs[[#This Row],[heating load (Btu)]]/Tbl_HPGeneralCalcs[[#This Row],[COP - DMSHP]]</f>
        <v>0</v>
      </c>
      <c r="M91" s="165">
        <f>HPFUELCALC_REF_DMSHPFAN*HPFUELCALC_REF_DMSHPFAN_CF*Tbl_HPGeneralCalcs[[#This Row],[Number of hours]]</f>
        <v>0</v>
      </c>
      <c r="N91" s="165">
        <f>Tbl_HPGeneralCalcs[[#This Row],[heating load (Btu)]]/HPFUELCALC_REF_AFUE/100000</f>
        <v>0</v>
      </c>
    </row>
    <row r="92" spans="2:14" x14ac:dyDescent="0.2">
      <c r="B92" s="16"/>
      <c r="C92" s="164">
        <v>-24</v>
      </c>
      <c r="D92" s="164">
        <v>0</v>
      </c>
      <c r="E92" s="164">
        <f>IF((65-Tbl_HPGeneralCalcs[[#This Row],[Temperature, °F]])*Tbl_HPGeneralCalcs[[#This Row],[Number of hours]]&lt;0,0,(65-Tbl_HPGeneralCalcs[[#This Row],[Temperature, °F]])*Tbl_HPGeneralCalcs[[#This Row],[Number of hours]])</f>
        <v>0</v>
      </c>
      <c r="F92" s="164">
        <f>(Tbl_HPGeneralCalcs[[#This Row],[Heating-degree hours (MMBtu)]]/SUM(Tbl_HPGeneralCalcs[Heating-degree hours (MMBtu)]))*$S$30*10^6</f>
        <v>0</v>
      </c>
      <c r="G92" s="164">
        <f>IF(Tbl_HPGeneralCalcs[[#This Row],[Temperature, °F]]&lt;=RESISTANCE_HEAT_THRESHOLD,1,IF($D$33+$D$34*Tbl_HPGeneralCalcs[[#This Row],[Temperature, °F]]&lt;1,1,($D$33+$D$34*Tbl_HPGeneralCalcs[[#This Row],[Temperature, °F]])*INPUT_HEATPUMP_EFFICIENCY_FACTOR))</f>
        <v>1</v>
      </c>
      <c r="H92" s="165">
        <f>KWH_PER_BTU*Tbl_HPGeneralCalcs[[#This Row],[heating load (Btu)]]/Tbl_HPGeneralCalcs[[#This Row],[COP - CHP]]</f>
        <v>0</v>
      </c>
      <c r="I92" s="165">
        <f>HPFUELCALC_REF_FUELPOWER_KW*HPFUELCALC_REF_FUELPOWER_CF*Tbl_HPGeneralCalcs[[#This Row],[Number of hours]]</f>
        <v>0</v>
      </c>
      <c r="J92" s="165">
        <f>Tbl_HPGeneralCalcs[[#This Row],[heating load (Btu)]]/HPFUELCALC_REF_AFUE/100000</f>
        <v>0</v>
      </c>
      <c r="K92" s="165">
        <f>IF(Tbl_HPGeneralCalcs[[#This Row],[Temperature, °F]]&lt;=RESISTANCE_HEAT_THRESHOLD,1,IF($H$33+$H$34*Tbl_HPGeneralCalcs[[#This Row],[Temperature, °F]]&lt;1,1,($H$33+$H$34*Tbl_HPGeneralCalcs[[#This Row],[Temperature, °F]])*INPUT_HEATPUMP_EFFICIENCY_FACTOR))</f>
        <v>1</v>
      </c>
      <c r="L92" s="165">
        <f>KWH_PER_BTU*Tbl_HPGeneralCalcs[[#This Row],[heating load (Btu)]]/Tbl_HPGeneralCalcs[[#This Row],[COP - DMSHP]]</f>
        <v>0</v>
      </c>
      <c r="M92" s="165">
        <f>HPFUELCALC_REF_DMSHPFAN*HPFUELCALC_REF_DMSHPFAN_CF*Tbl_HPGeneralCalcs[[#This Row],[Number of hours]]</f>
        <v>0</v>
      </c>
      <c r="N92" s="165">
        <f>Tbl_HPGeneralCalcs[[#This Row],[heating load (Btu)]]/HPFUELCALC_REF_AFUE/100000</f>
        <v>0</v>
      </c>
    </row>
    <row r="93" spans="2:14" x14ac:dyDescent="0.2">
      <c r="B93" s="16"/>
      <c r="C93" s="164">
        <v>-23</v>
      </c>
      <c r="D93" s="164">
        <v>0</v>
      </c>
      <c r="E93" s="164">
        <f>IF((65-Tbl_HPGeneralCalcs[[#This Row],[Temperature, °F]])*Tbl_HPGeneralCalcs[[#This Row],[Number of hours]]&lt;0,0,(65-Tbl_HPGeneralCalcs[[#This Row],[Temperature, °F]])*Tbl_HPGeneralCalcs[[#This Row],[Number of hours]])</f>
        <v>0</v>
      </c>
      <c r="F93" s="164">
        <f>(Tbl_HPGeneralCalcs[[#This Row],[Heating-degree hours (MMBtu)]]/SUM(Tbl_HPGeneralCalcs[Heating-degree hours (MMBtu)]))*$S$30*10^6</f>
        <v>0</v>
      </c>
      <c r="G93" s="164">
        <f>IF(Tbl_HPGeneralCalcs[[#This Row],[Temperature, °F]]&lt;=RESISTANCE_HEAT_THRESHOLD,1,IF($D$33+$D$34*Tbl_HPGeneralCalcs[[#This Row],[Temperature, °F]]&lt;1,1,($D$33+$D$34*Tbl_HPGeneralCalcs[[#This Row],[Temperature, °F]])*INPUT_HEATPUMP_EFFICIENCY_FACTOR))</f>
        <v>1</v>
      </c>
      <c r="H93" s="165">
        <f>KWH_PER_BTU*Tbl_HPGeneralCalcs[[#This Row],[heating load (Btu)]]/Tbl_HPGeneralCalcs[[#This Row],[COP - CHP]]</f>
        <v>0</v>
      </c>
      <c r="I93" s="165">
        <f>HPFUELCALC_REF_FUELPOWER_KW*HPFUELCALC_REF_FUELPOWER_CF*Tbl_HPGeneralCalcs[[#This Row],[Number of hours]]</f>
        <v>0</v>
      </c>
      <c r="J93" s="165">
        <f>Tbl_HPGeneralCalcs[[#This Row],[heating load (Btu)]]/HPFUELCALC_REF_AFUE/100000</f>
        <v>0</v>
      </c>
      <c r="K93" s="165">
        <f>IF(Tbl_HPGeneralCalcs[[#This Row],[Temperature, °F]]&lt;=RESISTANCE_HEAT_THRESHOLD,1,IF($H$33+$H$34*Tbl_HPGeneralCalcs[[#This Row],[Temperature, °F]]&lt;1,1,($H$33+$H$34*Tbl_HPGeneralCalcs[[#This Row],[Temperature, °F]])*INPUT_HEATPUMP_EFFICIENCY_FACTOR))</f>
        <v>1</v>
      </c>
      <c r="L93" s="165">
        <f>KWH_PER_BTU*Tbl_HPGeneralCalcs[[#This Row],[heating load (Btu)]]/Tbl_HPGeneralCalcs[[#This Row],[COP - DMSHP]]</f>
        <v>0</v>
      </c>
      <c r="M93" s="165">
        <f>HPFUELCALC_REF_DMSHPFAN*HPFUELCALC_REF_DMSHPFAN_CF*Tbl_HPGeneralCalcs[[#This Row],[Number of hours]]</f>
        <v>0</v>
      </c>
      <c r="N93" s="165">
        <f>Tbl_HPGeneralCalcs[[#This Row],[heating load (Btu)]]/HPFUELCALC_REF_AFUE/100000</f>
        <v>0</v>
      </c>
    </row>
    <row r="94" spans="2:14" x14ac:dyDescent="0.2">
      <c r="B94" s="16"/>
      <c r="C94" s="164">
        <v>-22</v>
      </c>
      <c r="D94" s="164">
        <v>0</v>
      </c>
      <c r="E94" s="164">
        <f>IF((65-Tbl_HPGeneralCalcs[[#This Row],[Temperature, °F]])*Tbl_HPGeneralCalcs[[#This Row],[Number of hours]]&lt;0,0,(65-Tbl_HPGeneralCalcs[[#This Row],[Temperature, °F]])*Tbl_HPGeneralCalcs[[#This Row],[Number of hours]])</f>
        <v>0</v>
      </c>
      <c r="F94" s="164">
        <f>(Tbl_HPGeneralCalcs[[#This Row],[Heating-degree hours (MMBtu)]]/SUM(Tbl_HPGeneralCalcs[Heating-degree hours (MMBtu)]))*$S$30*10^6</f>
        <v>0</v>
      </c>
      <c r="G94" s="164">
        <f>IF(Tbl_HPGeneralCalcs[[#This Row],[Temperature, °F]]&lt;=RESISTANCE_HEAT_THRESHOLD,1,IF($D$33+$D$34*Tbl_HPGeneralCalcs[[#This Row],[Temperature, °F]]&lt;1,1,($D$33+$D$34*Tbl_HPGeneralCalcs[[#This Row],[Temperature, °F]])*INPUT_HEATPUMP_EFFICIENCY_FACTOR))</f>
        <v>1</v>
      </c>
      <c r="H94" s="165">
        <f>KWH_PER_BTU*Tbl_HPGeneralCalcs[[#This Row],[heating load (Btu)]]/Tbl_HPGeneralCalcs[[#This Row],[COP - CHP]]</f>
        <v>0</v>
      </c>
      <c r="I94" s="165">
        <f>HPFUELCALC_REF_FUELPOWER_KW*HPFUELCALC_REF_FUELPOWER_CF*Tbl_HPGeneralCalcs[[#This Row],[Number of hours]]</f>
        <v>0</v>
      </c>
      <c r="J94" s="165">
        <f>Tbl_HPGeneralCalcs[[#This Row],[heating load (Btu)]]/HPFUELCALC_REF_AFUE/100000</f>
        <v>0</v>
      </c>
      <c r="K94" s="165">
        <f>IF(Tbl_HPGeneralCalcs[[#This Row],[Temperature, °F]]&lt;=RESISTANCE_HEAT_THRESHOLD,1,IF($H$33+$H$34*Tbl_HPGeneralCalcs[[#This Row],[Temperature, °F]]&lt;1,1,($H$33+$H$34*Tbl_HPGeneralCalcs[[#This Row],[Temperature, °F]])*INPUT_HEATPUMP_EFFICIENCY_FACTOR))</f>
        <v>1</v>
      </c>
      <c r="L94" s="165">
        <f>KWH_PER_BTU*Tbl_HPGeneralCalcs[[#This Row],[heating load (Btu)]]/Tbl_HPGeneralCalcs[[#This Row],[COP - DMSHP]]</f>
        <v>0</v>
      </c>
      <c r="M94" s="165">
        <f>HPFUELCALC_REF_DMSHPFAN*HPFUELCALC_REF_DMSHPFAN_CF*Tbl_HPGeneralCalcs[[#This Row],[Number of hours]]</f>
        <v>0</v>
      </c>
      <c r="N94" s="165">
        <f>Tbl_HPGeneralCalcs[[#This Row],[heating load (Btu)]]/HPFUELCALC_REF_AFUE/100000</f>
        <v>0</v>
      </c>
    </row>
    <row r="95" spans="2:14" x14ac:dyDescent="0.2">
      <c r="B95" s="16"/>
      <c r="C95" s="164">
        <v>-21</v>
      </c>
      <c r="D95" s="164">
        <v>0</v>
      </c>
      <c r="E95" s="164">
        <f>IF((65-Tbl_HPGeneralCalcs[[#This Row],[Temperature, °F]])*Tbl_HPGeneralCalcs[[#This Row],[Number of hours]]&lt;0,0,(65-Tbl_HPGeneralCalcs[[#This Row],[Temperature, °F]])*Tbl_HPGeneralCalcs[[#This Row],[Number of hours]])</f>
        <v>0</v>
      </c>
      <c r="F95" s="164">
        <f>(Tbl_HPGeneralCalcs[[#This Row],[Heating-degree hours (MMBtu)]]/SUM(Tbl_HPGeneralCalcs[Heating-degree hours (MMBtu)]))*$S$30*10^6</f>
        <v>0</v>
      </c>
      <c r="G95" s="164">
        <f>IF(Tbl_HPGeneralCalcs[[#This Row],[Temperature, °F]]&lt;=RESISTANCE_HEAT_THRESHOLD,1,IF($D$33+$D$34*Tbl_HPGeneralCalcs[[#This Row],[Temperature, °F]]&lt;1,1,($D$33+$D$34*Tbl_HPGeneralCalcs[[#This Row],[Temperature, °F]])*INPUT_HEATPUMP_EFFICIENCY_FACTOR))</f>
        <v>1</v>
      </c>
      <c r="H95" s="165">
        <f>KWH_PER_BTU*Tbl_HPGeneralCalcs[[#This Row],[heating load (Btu)]]/Tbl_HPGeneralCalcs[[#This Row],[COP - CHP]]</f>
        <v>0</v>
      </c>
      <c r="I95" s="165">
        <f>HPFUELCALC_REF_FUELPOWER_KW*HPFUELCALC_REF_FUELPOWER_CF*Tbl_HPGeneralCalcs[[#This Row],[Number of hours]]</f>
        <v>0</v>
      </c>
      <c r="J95" s="165">
        <f>Tbl_HPGeneralCalcs[[#This Row],[heating load (Btu)]]/HPFUELCALC_REF_AFUE/100000</f>
        <v>0</v>
      </c>
      <c r="K95" s="165">
        <f>IF(Tbl_HPGeneralCalcs[[#This Row],[Temperature, °F]]&lt;=RESISTANCE_HEAT_THRESHOLD,1,IF($H$33+$H$34*Tbl_HPGeneralCalcs[[#This Row],[Temperature, °F]]&lt;1,1,($H$33+$H$34*Tbl_HPGeneralCalcs[[#This Row],[Temperature, °F]])*INPUT_HEATPUMP_EFFICIENCY_FACTOR))</f>
        <v>1</v>
      </c>
      <c r="L95" s="165">
        <f>KWH_PER_BTU*Tbl_HPGeneralCalcs[[#This Row],[heating load (Btu)]]/Tbl_HPGeneralCalcs[[#This Row],[COP - DMSHP]]</f>
        <v>0</v>
      </c>
      <c r="M95" s="165">
        <f>HPFUELCALC_REF_DMSHPFAN*HPFUELCALC_REF_DMSHPFAN_CF*Tbl_HPGeneralCalcs[[#This Row],[Number of hours]]</f>
        <v>0</v>
      </c>
      <c r="N95" s="165">
        <f>Tbl_HPGeneralCalcs[[#This Row],[heating load (Btu)]]/HPFUELCALC_REF_AFUE/100000</f>
        <v>0</v>
      </c>
    </row>
    <row r="96" spans="2:14" x14ac:dyDescent="0.2">
      <c r="B96" s="16"/>
      <c r="C96" s="164">
        <v>-20</v>
      </c>
      <c r="D96" s="164">
        <v>0</v>
      </c>
      <c r="E96" s="164">
        <f>IF((65-Tbl_HPGeneralCalcs[[#This Row],[Temperature, °F]])*Tbl_HPGeneralCalcs[[#This Row],[Number of hours]]&lt;0,0,(65-Tbl_HPGeneralCalcs[[#This Row],[Temperature, °F]])*Tbl_HPGeneralCalcs[[#This Row],[Number of hours]])</f>
        <v>0</v>
      </c>
      <c r="F96" s="164">
        <f>(Tbl_HPGeneralCalcs[[#This Row],[Heating-degree hours (MMBtu)]]/SUM(Tbl_HPGeneralCalcs[Heating-degree hours (MMBtu)]))*$S$30*10^6</f>
        <v>0</v>
      </c>
      <c r="G96" s="164">
        <f>IF(Tbl_HPGeneralCalcs[[#This Row],[Temperature, °F]]&lt;=RESISTANCE_HEAT_THRESHOLD,1,IF($D$33+$D$34*Tbl_HPGeneralCalcs[[#This Row],[Temperature, °F]]&lt;1,1,($D$33+$D$34*Tbl_HPGeneralCalcs[[#This Row],[Temperature, °F]])*INPUT_HEATPUMP_EFFICIENCY_FACTOR))</f>
        <v>1</v>
      </c>
      <c r="H96" s="165">
        <f>KWH_PER_BTU*Tbl_HPGeneralCalcs[[#This Row],[heating load (Btu)]]/Tbl_HPGeneralCalcs[[#This Row],[COP - CHP]]</f>
        <v>0</v>
      </c>
      <c r="I96" s="165">
        <f>HPFUELCALC_REF_FUELPOWER_KW*HPFUELCALC_REF_FUELPOWER_CF*Tbl_HPGeneralCalcs[[#This Row],[Number of hours]]</f>
        <v>0</v>
      </c>
      <c r="J96" s="165">
        <f>Tbl_HPGeneralCalcs[[#This Row],[heating load (Btu)]]/HPFUELCALC_REF_AFUE/100000</f>
        <v>0</v>
      </c>
      <c r="K96" s="165">
        <f>IF(Tbl_HPGeneralCalcs[[#This Row],[Temperature, °F]]&lt;=RESISTANCE_HEAT_THRESHOLD,1,IF($H$33+$H$34*Tbl_HPGeneralCalcs[[#This Row],[Temperature, °F]]&lt;1,1,($H$33+$H$34*Tbl_HPGeneralCalcs[[#This Row],[Temperature, °F]])*INPUT_HEATPUMP_EFFICIENCY_FACTOR))</f>
        <v>1</v>
      </c>
      <c r="L96" s="165">
        <f>KWH_PER_BTU*Tbl_HPGeneralCalcs[[#This Row],[heating load (Btu)]]/Tbl_HPGeneralCalcs[[#This Row],[COP - DMSHP]]</f>
        <v>0</v>
      </c>
      <c r="M96" s="165">
        <f>HPFUELCALC_REF_DMSHPFAN*HPFUELCALC_REF_DMSHPFAN_CF*Tbl_HPGeneralCalcs[[#This Row],[Number of hours]]</f>
        <v>0</v>
      </c>
      <c r="N96" s="165">
        <f>Tbl_HPGeneralCalcs[[#This Row],[heating load (Btu)]]/HPFUELCALC_REF_AFUE/100000</f>
        <v>0</v>
      </c>
    </row>
    <row r="97" spans="2:14" x14ac:dyDescent="0.2">
      <c r="B97" s="16"/>
      <c r="C97" s="164">
        <v>-19</v>
      </c>
      <c r="D97" s="164">
        <v>0</v>
      </c>
      <c r="E97" s="164">
        <f>IF((65-Tbl_HPGeneralCalcs[[#This Row],[Temperature, °F]])*Tbl_HPGeneralCalcs[[#This Row],[Number of hours]]&lt;0,0,(65-Tbl_HPGeneralCalcs[[#This Row],[Temperature, °F]])*Tbl_HPGeneralCalcs[[#This Row],[Number of hours]])</f>
        <v>0</v>
      </c>
      <c r="F97" s="164">
        <f>(Tbl_HPGeneralCalcs[[#This Row],[Heating-degree hours (MMBtu)]]/SUM(Tbl_HPGeneralCalcs[Heating-degree hours (MMBtu)]))*$S$30*10^6</f>
        <v>0</v>
      </c>
      <c r="G97" s="164">
        <f>IF(Tbl_HPGeneralCalcs[[#This Row],[Temperature, °F]]&lt;=RESISTANCE_HEAT_THRESHOLD,1,IF($D$33+$D$34*Tbl_HPGeneralCalcs[[#This Row],[Temperature, °F]]&lt;1,1,($D$33+$D$34*Tbl_HPGeneralCalcs[[#This Row],[Temperature, °F]])*INPUT_HEATPUMP_EFFICIENCY_FACTOR))</f>
        <v>1</v>
      </c>
      <c r="H97" s="165">
        <f>KWH_PER_BTU*Tbl_HPGeneralCalcs[[#This Row],[heating load (Btu)]]/Tbl_HPGeneralCalcs[[#This Row],[COP - CHP]]</f>
        <v>0</v>
      </c>
      <c r="I97" s="165">
        <f>HPFUELCALC_REF_FUELPOWER_KW*HPFUELCALC_REF_FUELPOWER_CF*Tbl_HPGeneralCalcs[[#This Row],[Number of hours]]</f>
        <v>0</v>
      </c>
      <c r="J97" s="165">
        <f>Tbl_HPGeneralCalcs[[#This Row],[heating load (Btu)]]/HPFUELCALC_REF_AFUE/100000</f>
        <v>0</v>
      </c>
      <c r="K97" s="165">
        <f>IF(Tbl_HPGeneralCalcs[[#This Row],[Temperature, °F]]&lt;=RESISTANCE_HEAT_THRESHOLD,1,IF($H$33+$H$34*Tbl_HPGeneralCalcs[[#This Row],[Temperature, °F]]&lt;1,1,($H$33+$H$34*Tbl_HPGeneralCalcs[[#This Row],[Temperature, °F]])*INPUT_HEATPUMP_EFFICIENCY_FACTOR))</f>
        <v>1</v>
      </c>
      <c r="L97" s="165">
        <f>KWH_PER_BTU*Tbl_HPGeneralCalcs[[#This Row],[heating load (Btu)]]/Tbl_HPGeneralCalcs[[#This Row],[COP - DMSHP]]</f>
        <v>0</v>
      </c>
      <c r="M97" s="165">
        <f>HPFUELCALC_REF_DMSHPFAN*HPFUELCALC_REF_DMSHPFAN_CF*Tbl_HPGeneralCalcs[[#This Row],[Number of hours]]</f>
        <v>0</v>
      </c>
      <c r="N97" s="165">
        <f>Tbl_HPGeneralCalcs[[#This Row],[heating load (Btu)]]/HPFUELCALC_REF_AFUE/100000</f>
        <v>0</v>
      </c>
    </row>
    <row r="98" spans="2:14" x14ac:dyDescent="0.2">
      <c r="B98" s="16"/>
      <c r="C98" s="164">
        <v>-18</v>
      </c>
      <c r="D98" s="164">
        <v>0</v>
      </c>
      <c r="E98" s="164">
        <f>IF((65-Tbl_HPGeneralCalcs[[#This Row],[Temperature, °F]])*Tbl_HPGeneralCalcs[[#This Row],[Number of hours]]&lt;0,0,(65-Tbl_HPGeneralCalcs[[#This Row],[Temperature, °F]])*Tbl_HPGeneralCalcs[[#This Row],[Number of hours]])</f>
        <v>0</v>
      </c>
      <c r="F98" s="164">
        <f>(Tbl_HPGeneralCalcs[[#This Row],[Heating-degree hours (MMBtu)]]/SUM(Tbl_HPGeneralCalcs[Heating-degree hours (MMBtu)]))*$S$30*10^6</f>
        <v>0</v>
      </c>
      <c r="G98" s="164">
        <f>IF(Tbl_HPGeneralCalcs[[#This Row],[Temperature, °F]]&lt;=RESISTANCE_HEAT_THRESHOLD,1,IF($D$33+$D$34*Tbl_HPGeneralCalcs[[#This Row],[Temperature, °F]]&lt;1,1,($D$33+$D$34*Tbl_HPGeneralCalcs[[#This Row],[Temperature, °F]])*INPUT_HEATPUMP_EFFICIENCY_FACTOR))</f>
        <v>1</v>
      </c>
      <c r="H98" s="165">
        <f>KWH_PER_BTU*Tbl_HPGeneralCalcs[[#This Row],[heating load (Btu)]]/Tbl_HPGeneralCalcs[[#This Row],[COP - CHP]]</f>
        <v>0</v>
      </c>
      <c r="I98" s="165">
        <f>HPFUELCALC_REF_FUELPOWER_KW*HPFUELCALC_REF_FUELPOWER_CF*Tbl_HPGeneralCalcs[[#This Row],[Number of hours]]</f>
        <v>0</v>
      </c>
      <c r="J98" s="165">
        <f>Tbl_HPGeneralCalcs[[#This Row],[heating load (Btu)]]/HPFUELCALC_REF_AFUE/100000</f>
        <v>0</v>
      </c>
      <c r="K98" s="165">
        <f>IF(Tbl_HPGeneralCalcs[[#This Row],[Temperature, °F]]&lt;=RESISTANCE_HEAT_THRESHOLD,1,IF($H$33+$H$34*Tbl_HPGeneralCalcs[[#This Row],[Temperature, °F]]&lt;1,1,($H$33+$H$34*Tbl_HPGeneralCalcs[[#This Row],[Temperature, °F]])*INPUT_HEATPUMP_EFFICIENCY_FACTOR))</f>
        <v>1</v>
      </c>
      <c r="L98" s="165">
        <f>KWH_PER_BTU*Tbl_HPGeneralCalcs[[#This Row],[heating load (Btu)]]/Tbl_HPGeneralCalcs[[#This Row],[COP - DMSHP]]</f>
        <v>0</v>
      </c>
      <c r="M98" s="165">
        <f>HPFUELCALC_REF_DMSHPFAN*HPFUELCALC_REF_DMSHPFAN_CF*Tbl_HPGeneralCalcs[[#This Row],[Number of hours]]</f>
        <v>0</v>
      </c>
      <c r="N98" s="165">
        <f>Tbl_HPGeneralCalcs[[#This Row],[heating load (Btu)]]/HPFUELCALC_REF_AFUE/100000</f>
        <v>0</v>
      </c>
    </row>
    <row r="99" spans="2:14" x14ac:dyDescent="0.2">
      <c r="B99" s="16"/>
      <c r="C99" s="164">
        <v>-17</v>
      </c>
      <c r="D99" s="164">
        <v>0</v>
      </c>
      <c r="E99" s="164">
        <f>IF((65-Tbl_HPGeneralCalcs[[#This Row],[Temperature, °F]])*Tbl_HPGeneralCalcs[[#This Row],[Number of hours]]&lt;0,0,(65-Tbl_HPGeneralCalcs[[#This Row],[Temperature, °F]])*Tbl_HPGeneralCalcs[[#This Row],[Number of hours]])</f>
        <v>0</v>
      </c>
      <c r="F99" s="164">
        <f>(Tbl_HPGeneralCalcs[[#This Row],[Heating-degree hours (MMBtu)]]/SUM(Tbl_HPGeneralCalcs[Heating-degree hours (MMBtu)]))*$S$30*10^6</f>
        <v>0</v>
      </c>
      <c r="G99" s="164">
        <f>IF(Tbl_HPGeneralCalcs[[#This Row],[Temperature, °F]]&lt;=RESISTANCE_HEAT_THRESHOLD,1,IF($D$33+$D$34*Tbl_HPGeneralCalcs[[#This Row],[Temperature, °F]]&lt;1,1,($D$33+$D$34*Tbl_HPGeneralCalcs[[#This Row],[Temperature, °F]])*INPUT_HEATPUMP_EFFICIENCY_FACTOR))</f>
        <v>1</v>
      </c>
      <c r="H99" s="165">
        <f>KWH_PER_BTU*Tbl_HPGeneralCalcs[[#This Row],[heating load (Btu)]]/Tbl_HPGeneralCalcs[[#This Row],[COP - CHP]]</f>
        <v>0</v>
      </c>
      <c r="I99" s="165">
        <f>HPFUELCALC_REF_FUELPOWER_KW*HPFUELCALC_REF_FUELPOWER_CF*Tbl_HPGeneralCalcs[[#This Row],[Number of hours]]</f>
        <v>0</v>
      </c>
      <c r="J99" s="165">
        <f>Tbl_HPGeneralCalcs[[#This Row],[heating load (Btu)]]/HPFUELCALC_REF_AFUE/100000</f>
        <v>0</v>
      </c>
      <c r="K99" s="165">
        <f>IF(Tbl_HPGeneralCalcs[[#This Row],[Temperature, °F]]&lt;=RESISTANCE_HEAT_THRESHOLD,1,IF($H$33+$H$34*Tbl_HPGeneralCalcs[[#This Row],[Temperature, °F]]&lt;1,1,($H$33+$H$34*Tbl_HPGeneralCalcs[[#This Row],[Temperature, °F]])*INPUT_HEATPUMP_EFFICIENCY_FACTOR))</f>
        <v>1</v>
      </c>
      <c r="L99" s="165">
        <f>KWH_PER_BTU*Tbl_HPGeneralCalcs[[#This Row],[heating load (Btu)]]/Tbl_HPGeneralCalcs[[#This Row],[COP - DMSHP]]</f>
        <v>0</v>
      </c>
      <c r="M99" s="165">
        <f>HPFUELCALC_REF_DMSHPFAN*HPFUELCALC_REF_DMSHPFAN_CF*Tbl_HPGeneralCalcs[[#This Row],[Number of hours]]</f>
        <v>0</v>
      </c>
      <c r="N99" s="165">
        <f>Tbl_HPGeneralCalcs[[#This Row],[heating load (Btu)]]/HPFUELCALC_REF_AFUE/100000</f>
        <v>0</v>
      </c>
    </row>
    <row r="100" spans="2:14" x14ac:dyDescent="0.2">
      <c r="B100" s="16"/>
      <c r="C100" s="164">
        <v>-16</v>
      </c>
      <c r="D100" s="164">
        <v>0</v>
      </c>
      <c r="E100" s="164">
        <f>IF((65-Tbl_HPGeneralCalcs[[#This Row],[Temperature, °F]])*Tbl_HPGeneralCalcs[[#This Row],[Number of hours]]&lt;0,0,(65-Tbl_HPGeneralCalcs[[#This Row],[Temperature, °F]])*Tbl_HPGeneralCalcs[[#This Row],[Number of hours]])</f>
        <v>0</v>
      </c>
      <c r="F100" s="164">
        <f>(Tbl_HPGeneralCalcs[[#This Row],[Heating-degree hours (MMBtu)]]/SUM(Tbl_HPGeneralCalcs[Heating-degree hours (MMBtu)]))*$S$30*10^6</f>
        <v>0</v>
      </c>
      <c r="G100" s="164">
        <f>IF(Tbl_HPGeneralCalcs[[#This Row],[Temperature, °F]]&lt;=RESISTANCE_HEAT_THRESHOLD,1,IF($D$33+$D$34*Tbl_HPGeneralCalcs[[#This Row],[Temperature, °F]]&lt;1,1,($D$33+$D$34*Tbl_HPGeneralCalcs[[#This Row],[Temperature, °F]])*INPUT_HEATPUMP_EFFICIENCY_FACTOR))</f>
        <v>1</v>
      </c>
      <c r="H100" s="165">
        <f>KWH_PER_BTU*Tbl_HPGeneralCalcs[[#This Row],[heating load (Btu)]]/Tbl_HPGeneralCalcs[[#This Row],[COP - CHP]]</f>
        <v>0</v>
      </c>
      <c r="I100" s="165">
        <f>HPFUELCALC_REF_FUELPOWER_KW*HPFUELCALC_REF_FUELPOWER_CF*Tbl_HPGeneralCalcs[[#This Row],[Number of hours]]</f>
        <v>0</v>
      </c>
      <c r="J100" s="165">
        <f>Tbl_HPGeneralCalcs[[#This Row],[heating load (Btu)]]/HPFUELCALC_REF_AFUE/100000</f>
        <v>0</v>
      </c>
      <c r="K100" s="165">
        <f>IF(Tbl_HPGeneralCalcs[[#This Row],[Temperature, °F]]&lt;=RESISTANCE_HEAT_THRESHOLD,1,IF($H$33+$H$34*Tbl_HPGeneralCalcs[[#This Row],[Temperature, °F]]&lt;1,1,($H$33+$H$34*Tbl_HPGeneralCalcs[[#This Row],[Temperature, °F]])*INPUT_HEATPUMP_EFFICIENCY_FACTOR))</f>
        <v>1</v>
      </c>
      <c r="L100" s="165">
        <f>KWH_PER_BTU*Tbl_HPGeneralCalcs[[#This Row],[heating load (Btu)]]/Tbl_HPGeneralCalcs[[#This Row],[COP - DMSHP]]</f>
        <v>0</v>
      </c>
      <c r="M100" s="165">
        <f>HPFUELCALC_REF_DMSHPFAN*HPFUELCALC_REF_DMSHPFAN_CF*Tbl_HPGeneralCalcs[[#This Row],[Number of hours]]</f>
        <v>0</v>
      </c>
      <c r="N100" s="165">
        <f>Tbl_HPGeneralCalcs[[#This Row],[heating load (Btu)]]/HPFUELCALC_REF_AFUE/100000</f>
        <v>0</v>
      </c>
    </row>
    <row r="101" spans="2:14" x14ac:dyDescent="0.2">
      <c r="B101" s="16"/>
      <c r="C101" s="164">
        <v>-15</v>
      </c>
      <c r="D101" s="164">
        <v>0</v>
      </c>
      <c r="E101" s="164">
        <f>IF((65-Tbl_HPGeneralCalcs[[#This Row],[Temperature, °F]])*Tbl_HPGeneralCalcs[[#This Row],[Number of hours]]&lt;0,0,(65-Tbl_HPGeneralCalcs[[#This Row],[Temperature, °F]])*Tbl_HPGeneralCalcs[[#This Row],[Number of hours]])</f>
        <v>0</v>
      </c>
      <c r="F101" s="164">
        <f>(Tbl_HPGeneralCalcs[[#This Row],[Heating-degree hours (MMBtu)]]/SUM(Tbl_HPGeneralCalcs[Heating-degree hours (MMBtu)]))*$S$30*10^6</f>
        <v>0</v>
      </c>
      <c r="G101" s="164">
        <f>IF(Tbl_HPGeneralCalcs[[#This Row],[Temperature, °F]]&lt;=RESISTANCE_HEAT_THRESHOLD,1,IF($D$33+$D$34*Tbl_HPGeneralCalcs[[#This Row],[Temperature, °F]]&lt;1,1,($D$33+$D$34*Tbl_HPGeneralCalcs[[#This Row],[Temperature, °F]])*INPUT_HEATPUMP_EFFICIENCY_FACTOR))</f>
        <v>1</v>
      </c>
      <c r="H101" s="165">
        <f>KWH_PER_BTU*Tbl_HPGeneralCalcs[[#This Row],[heating load (Btu)]]/Tbl_HPGeneralCalcs[[#This Row],[COP - CHP]]</f>
        <v>0</v>
      </c>
      <c r="I101" s="165">
        <f>HPFUELCALC_REF_FUELPOWER_KW*HPFUELCALC_REF_FUELPOWER_CF*Tbl_HPGeneralCalcs[[#This Row],[Number of hours]]</f>
        <v>0</v>
      </c>
      <c r="J101" s="165">
        <f>Tbl_HPGeneralCalcs[[#This Row],[heating load (Btu)]]/HPFUELCALC_REF_AFUE/100000</f>
        <v>0</v>
      </c>
      <c r="K101" s="165">
        <f>IF(Tbl_HPGeneralCalcs[[#This Row],[Temperature, °F]]&lt;=RESISTANCE_HEAT_THRESHOLD,1,IF($H$33+$H$34*Tbl_HPGeneralCalcs[[#This Row],[Temperature, °F]]&lt;1,1,($H$33+$H$34*Tbl_HPGeneralCalcs[[#This Row],[Temperature, °F]])*INPUT_HEATPUMP_EFFICIENCY_FACTOR))</f>
        <v>1</v>
      </c>
      <c r="L101" s="165">
        <f>KWH_PER_BTU*Tbl_HPGeneralCalcs[[#This Row],[heating load (Btu)]]/Tbl_HPGeneralCalcs[[#This Row],[COP - DMSHP]]</f>
        <v>0</v>
      </c>
      <c r="M101" s="165">
        <f>HPFUELCALC_REF_DMSHPFAN*HPFUELCALC_REF_DMSHPFAN_CF*Tbl_HPGeneralCalcs[[#This Row],[Number of hours]]</f>
        <v>0</v>
      </c>
      <c r="N101" s="165">
        <f>Tbl_HPGeneralCalcs[[#This Row],[heating load (Btu)]]/HPFUELCALC_REF_AFUE/100000</f>
        <v>0</v>
      </c>
    </row>
    <row r="102" spans="2:14" x14ac:dyDescent="0.2">
      <c r="B102" s="16"/>
      <c r="C102" s="164">
        <v>-14</v>
      </c>
      <c r="D102" s="164">
        <v>0</v>
      </c>
      <c r="E102" s="164">
        <f>IF((65-Tbl_HPGeneralCalcs[[#This Row],[Temperature, °F]])*Tbl_HPGeneralCalcs[[#This Row],[Number of hours]]&lt;0,0,(65-Tbl_HPGeneralCalcs[[#This Row],[Temperature, °F]])*Tbl_HPGeneralCalcs[[#This Row],[Number of hours]])</f>
        <v>0</v>
      </c>
      <c r="F102" s="164">
        <f>(Tbl_HPGeneralCalcs[[#This Row],[Heating-degree hours (MMBtu)]]/SUM(Tbl_HPGeneralCalcs[Heating-degree hours (MMBtu)]))*$S$30*10^6</f>
        <v>0</v>
      </c>
      <c r="G102" s="164">
        <f>IF(Tbl_HPGeneralCalcs[[#This Row],[Temperature, °F]]&lt;=RESISTANCE_HEAT_THRESHOLD,1,IF($D$33+$D$34*Tbl_HPGeneralCalcs[[#This Row],[Temperature, °F]]&lt;1,1,($D$33+$D$34*Tbl_HPGeneralCalcs[[#This Row],[Temperature, °F]])*INPUT_HEATPUMP_EFFICIENCY_FACTOR))</f>
        <v>1</v>
      </c>
      <c r="H102" s="165">
        <f>KWH_PER_BTU*Tbl_HPGeneralCalcs[[#This Row],[heating load (Btu)]]/Tbl_HPGeneralCalcs[[#This Row],[COP - CHP]]</f>
        <v>0</v>
      </c>
      <c r="I102" s="165">
        <f>HPFUELCALC_REF_FUELPOWER_KW*HPFUELCALC_REF_FUELPOWER_CF*Tbl_HPGeneralCalcs[[#This Row],[Number of hours]]</f>
        <v>0</v>
      </c>
      <c r="J102" s="165">
        <f>Tbl_HPGeneralCalcs[[#This Row],[heating load (Btu)]]/HPFUELCALC_REF_AFUE/100000</f>
        <v>0</v>
      </c>
      <c r="K102" s="165">
        <f>IF(Tbl_HPGeneralCalcs[[#This Row],[Temperature, °F]]&lt;=RESISTANCE_HEAT_THRESHOLD,1,IF($H$33+$H$34*Tbl_HPGeneralCalcs[[#This Row],[Temperature, °F]]&lt;1,1,($H$33+$H$34*Tbl_HPGeneralCalcs[[#This Row],[Temperature, °F]])*INPUT_HEATPUMP_EFFICIENCY_FACTOR))</f>
        <v>1</v>
      </c>
      <c r="L102" s="165">
        <f>KWH_PER_BTU*Tbl_HPGeneralCalcs[[#This Row],[heating load (Btu)]]/Tbl_HPGeneralCalcs[[#This Row],[COP - DMSHP]]</f>
        <v>0</v>
      </c>
      <c r="M102" s="165">
        <f>HPFUELCALC_REF_DMSHPFAN*HPFUELCALC_REF_DMSHPFAN_CF*Tbl_HPGeneralCalcs[[#This Row],[Number of hours]]</f>
        <v>0</v>
      </c>
      <c r="N102" s="165">
        <f>Tbl_HPGeneralCalcs[[#This Row],[heating load (Btu)]]/HPFUELCALC_REF_AFUE/100000</f>
        <v>0</v>
      </c>
    </row>
    <row r="103" spans="2:14" x14ac:dyDescent="0.2">
      <c r="B103" s="16"/>
      <c r="C103" s="164">
        <v>-13</v>
      </c>
      <c r="D103" s="164">
        <v>0</v>
      </c>
      <c r="E103" s="164">
        <f>IF((65-Tbl_HPGeneralCalcs[[#This Row],[Temperature, °F]])*Tbl_HPGeneralCalcs[[#This Row],[Number of hours]]&lt;0,0,(65-Tbl_HPGeneralCalcs[[#This Row],[Temperature, °F]])*Tbl_HPGeneralCalcs[[#This Row],[Number of hours]])</f>
        <v>0</v>
      </c>
      <c r="F103" s="164">
        <f>(Tbl_HPGeneralCalcs[[#This Row],[Heating-degree hours (MMBtu)]]/SUM(Tbl_HPGeneralCalcs[Heating-degree hours (MMBtu)]))*$S$30*10^6</f>
        <v>0</v>
      </c>
      <c r="G103" s="164">
        <f>IF(Tbl_HPGeneralCalcs[[#This Row],[Temperature, °F]]&lt;=RESISTANCE_HEAT_THRESHOLD,1,IF($D$33+$D$34*Tbl_HPGeneralCalcs[[#This Row],[Temperature, °F]]&lt;1,1,($D$33+$D$34*Tbl_HPGeneralCalcs[[#This Row],[Temperature, °F]])*INPUT_HEATPUMP_EFFICIENCY_FACTOR))</f>
        <v>1</v>
      </c>
      <c r="H103" s="165">
        <f>KWH_PER_BTU*Tbl_HPGeneralCalcs[[#This Row],[heating load (Btu)]]/Tbl_HPGeneralCalcs[[#This Row],[COP - CHP]]</f>
        <v>0</v>
      </c>
      <c r="I103" s="165">
        <f>HPFUELCALC_REF_FUELPOWER_KW*HPFUELCALC_REF_FUELPOWER_CF*Tbl_HPGeneralCalcs[[#This Row],[Number of hours]]</f>
        <v>0</v>
      </c>
      <c r="J103" s="165">
        <f>Tbl_HPGeneralCalcs[[#This Row],[heating load (Btu)]]/HPFUELCALC_REF_AFUE/100000</f>
        <v>0</v>
      </c>
      <c r="K103" s="165">
        <f>IF(Tbl_HPGeneralCalcs[[#This Row],[Temperature, °F]]&lt;=RESISTANCE_HEAT_THRESHOLD,1,IF($H$33+$H$34*Tbl_HPGeneralCalcs[[#This Row],[Temperature, °F]]&lt;1,1,($H$33+$H$34*Tbl_HPGeneralCalcs[[#This Row],[Temperature, °F]])*INPUT_HEATPUMP_EFFICIENCY_FACTOR))</f>
        <v>1</v>
      </c>
      <c r="L103" s="165">
        <f>KWH_PER_BTU*Tbl_HPGeneralCalcs[[#This Row],[heating load (Btu)]]/Tbl_HPGeneralCalcs[[#This Row],[COP - DMSHP]]</f>
        <v>0</v>
      </c>
      <c r="M103" s="165">
        <f>HPFUELCALC_REF_DMSHPFAN*HPFUELCALC_REF_DMSHPFAN_CF*Tbl_HPGeneralCalcs[[#This Row],[Number of hours]]</f>
        <v>0</v>
      </c>
      <c r="N103" s="165">
        <f>Tbl_HPGeneralCalcs[[#This Row],[heating load (Btu)]]/HPFUELCALC_REF_AFUE/100000</f>
        <v>0</v>
      </c>
    </row>
    <row r="104" spans="2:14" x14ac:dyDescent="0.2">
      <c r="B104" s="16"/>
      <c r="C104" s="164">
        <v>-12</v>
      </c>
      <c r="D104" s="164">
        <v>0</v>
      </c>
      <c r="E104" s="164">
        <f>IF((65-Tbl_HPGeneralCalcs[[#This Row],[Temperature, °F]])*Tbl_HPGeneralCalcs[[#This Row],[Number of hours]]&lt;0,0,(65-Tbl_HPGeneralCalcs[[#This Row],[Temperature, °F]])*Tbl_HPGeneralCalcs[[#This Row],[Number of hours]])</f>
        <v>0</v>
      </c>
      <c r="F104" s="164">
        <f>(Tbl_HPGeneralCalcs[[#This Row],[Heating-degree hours (MMBtu)]]/SUM(Tbl_HPGeneralCalcs[Heating-degree hours (MMBtu)]))*$S$30*10^6</f>
        <v>0</v>
      </c>
      <c r="G104" s="164">
        <f>IF(Tbl_HPGeneralCalcs[[#This Row],[Temperature, °F]]&lt;=RESISTANCE_HEAT_THRESHOLD,1,IF($D$33+$D$34*Tbl_HPGeneralCalcs[[#This Row],[Temperature, °F]]&lt;1,1,($D$33+$D$34*Tbl_HPGeneralCalcs[[#This Row],[Temperature, °F]])*INPUT_HEATPUMP_EFFICIENCY_FACTOR))</f>
        <v>1</v>
      </c>
      <c r="H104" s="165">
        <f>KWH_PER_BTU*Tbl_HPGeneralCalcs[[#This Row],[heating load (Btu)]]/Tbl_HPGeneralCalcs[[#This Row],[COP - CHP]]</f>
        <v>0</v>
      </c>
      <c r="I104" s="165">
        <f>HPFUELCALC_REF_FUELPOWER_KW*HPFUELCALC_REF_FUELPOWER_CF*Tbl_HPGeneralCalcs[[#This Row],[Number of hours]]</f>
        <v>0</v>
      </c>
      <c r="J104" s="165">
        <f>Tbl_HPGeneralCalcs[[#This Row],[heating load (Btu)]]/HPFUELCALC_REF_AFUE/100000</f>
        <v>0</v>
      </c>
      <c r="K104" s="165">
        <f>IF(Tbl_HPGeneralCalcs[[#This Row],[Temperature, °F]]&lt;=RESISTANCE_HEAT_THRESHOLD,1,IF($H$33+$H$34*Tbl_HPGeneralCalcs[[#This Row],[Temperature, °F]]&lt;1,1,($H$33+$H$34*Tbl_HPGeneralCalcs[[#This Row],[Temperature, °F]])*INPUT_HEATPUMP_EFFICIENCY_FACTOR))</f>
        <v>1</v>
      </c>
      <c r="L104" s="165">
        <f>KWH_PER_BTU*Tbl_HPGeneralCalcs[[#This Row],[heating load (Btu)]]/Tbl_HPGeneralCalcs[[#This Row],[COP - DMSHP]]</f>
        <v>0</v>
      </c>
      <c r="M104" s="165">
        <f>HPFUELCALC_REF_DMSHPFAN*HPFUELCALC_REF_DMSHPFAN_CF*Tbl_HPGeneralCalcs[[#This Row],[Number of hours]]</f>
        <v>0</v>
      </c>
      <c r="N104" s="165">
        <f>Tbl_HPGeneralCalcs[[#This Row],[heating load (Btu)]]/HPFUELCALC_REF_AFUE/100000</f>
        <v>0</v>
      </c>
    </row>
    <row r="105" spans="2:14" x14ac:dyDescent="0.2">
      <c r="B105" s="16"/>
      <c r="C105" s="164">
        <v>-11</v>
      </c>
      <c r="D105" s="164">
        <v>0</v>
      </c>
      <c r="E105" s="164">
        <f>IF((65-Tbl_HPGeneralCalcs[[#This Row],[Temperature, °F]])*Tbl_HPGeneralCalcs[[#This Row],[Number of hours]]&lt;0,0,(65-Tbl_HPGeneralCalcs[[#This Row],[Temperature, °F]])*Tbl_HPGeneralCalcs[[#This Row],[Number of hours]])</f>
        <v>0</v>
      </c>
      <c r="F105" s="164">
        <f>(Tbl_HPGeneralCalcs[[#This Row],[Heating-degree hours (MMBtu)]]/SUM(Tbl_HPGeneralCalcs[Heating-degree hours (MMBtu)]))*$S$30*10^6</f>
        <v>0</v>
      </c>
      <c r="G105" s="164">
        <f>IF(Tbl_HPGeneralCalcs[[#This Row],[Temperature, °F]]&lt;=RESISTANCE_HEAT_THRESHOLD,1,IF($D$33+$D$34*Tbl_HPGeneralCalcs[[#This Row],[Temperature, °F]]&lt;1,1,($D$33+$D$34*Tbl_HPGeneralCalcs[[#This Row],[Temperature, °F]])*INPUT_HEATPUMP_EFFICIENCY_FACTOR))</f>
        <v>1</v>
      </c>
      <c r="H105" s="165">
        <f>KWH_PER_BTU*Tbl_HPGeneralCalcs[[#This Row],[heating load (Btu)]]/Tbl_HPGeneralCalcs[[#This Row],[COP - CHP]]</f>
        <v>0</v>
      </c>
      <c r="I105" s="165">
        <f>HPFUELCALC_REF_FUELPOWER_KW*HPFUELCALC_REF_FUELPOWER_CF*Tbl_HPGeneralCalcs[[#This Row],[Number of hours]]</f>
        <v>0</v>
      </c>
      <c r="J105" s="165">
        <f>Tbl_HPGeneralCalcs[[#This Row],[heating load (Btu)]]/HPFUELCALC_REF_AFUE/100000</f>
        <v>0</v>
      </c>
      <c r="K105" s="165">
        <f>IF(Tbl_HPGeneralCalcs[[#This Row],[Temperature, °F]]&lt;=RESISTANCE_HEAT_THRESHOLD,1,IF($H$33+$H$34*Tbl_HPGeneralCalcs[[#This Row],[Temperature, °F]]&lt;1,1,($H$33+$H$34*Tbl_HPGeneralCalcs[[#This Row],[Temperature, °F]])*INPUT_HEATPUMP_EFFICIENCY_FACTOR))</f>
        <v>1</v>
      </c>
      <c r="L105" s="165">
        <f>KWH_PER_BTU*Tbl_HPGeneralCalcs[[#This Row],[heating load (Btu)]]/Tbl_HPGeneralCalcs[[#This Row],[COP - DMSHP]]</f>
        <v>0</v>
      </c>
      <c r="M105" s="165">
        <f>HPFUELCALC_REF_DMSHPFAN*HPFUELCALC_REF_DMSHPFAN_CF*Tbl_HPGeneralCalcs[[#This Row],[Number of hours]]</f>
        <v>0</v>
      </c>
      <c r="N105" s="165">
        <f>Tbl_HPGeneralCalcs[[#This Row],[heating load (Btu)]]/HPFUELCALC_REF_AFUE/100000</f>
        <v>0</v>
      </c>
    </row>
    <row r="106" spans="2:14" x14ac:dyDescent="0.2">
      <c r="B106" s="16"/>
      <c r="C106" s="164">
        <v>-10</v>
      </c>
      <c r="D106" s="164">
        <v>8</v>
      </c>
      <c r="E106" s="164">
        <f>IF((65-Tbl_HPGeneralCalcs[[#This Row],[Temperature, °F]])*Tbl_HPGeneralCalcs[[#This Row],[Number of hours]]&lt;0,0,(65-Tbl_HPGeneralCalcs[[#This Row],[Temperature, °F]])*Tbl_HPGeneralCalcs[[#This Row],[Number of hours]])</f>
        <v>600</v>
      </c>
      <c r="F106" s="164">
        <f>(Tbl_HPGeneralCalcs[[#This Row],[Heating-degree hours (MMBtu)]]/SUM(Tbl_HPGeneralCalcs[Heating-degree hours (MMBtu)]))*$S$30*10^6</f>
        <v>3270.0042510055264</v>
      </c>
      <c r="G106" s="164">
        <f>IF(Tbl_HPGeneralCalcs[[#This Row],[Temperature, °F]]&lt;=RESISTANCE_HEAT_THRESHOLD,1,IF($D$33+$D$34*Tbl_HPGeneralCalcs[[#This Row],[Temperature, °F]]&lt;1,1,($D$33+$D$34*Tbl_HPGeneralCalcs[[#This Row],[Temperature, °F]])*INPUT_HEATPUMP_EFFICIENCY_FACTOR))</f>
        <v>1</v>
      </c>
      <c r="H106" s="165">
        <f>KWH_PER_BTU*Tbl_HPGeneralCalcs[[#This Row],[heating load (Btu)]]/Tbl_HPGeneralCalcs[[#This Row],[COP - CHP]]</f>
        <v>0.95838342643772745</v>
      </c>
      <c r="I106" s="165">
        <f>HPFUELCALC_REF_FUELPOWER_KW*HPFUELCALC_REF_FUELPOWER_CF*Tbl_HPGeneralCalcs[[#This Row],[Number of hours]]</f>
        <v>2</v>
      </c>
      <c r="J106" s="165">
        <f>Tbl_HPGeneralCalcs[[#This Row],[heating load (Btu)]]/HPFUELCALC_REF_AFUE/100000</f>
        <v>3.2700042510055261E-2</v>
      </c>
      <c r="K106" s="165">
        <f>IF(Tbl_HPGeneralCalcs[[#This Row],[Temperature, °F]]&lt;=RESISTANCE_HEAT_THRESHOLD,1,IF($H$33+$H$34*Tbl_HPGeneralCalcs[[#This Row],[Temperature, °F]]&lt;1,1,($H$33+$H$34*Tbl_HPGeneralCalcs[[#This Row],[Temperature, °F]])*INPUT_HEATPUMP_EFFICIENCY_FACTOR))</f>
        <v>1</v>
      </c>
      <c r="L106" s="165">
        <f>KWH_PER_BTU*Tbl_HPGeneralCalcs[[#This Row],[heating load (Btu)]]/Tbl_HPGeneralCalcs[[#This Row],[COP - DMSHP]]</f>
        <v>0.95838342643772745</v>
      </c>
      <c r="M106" s="165">
        <f>HPFUELCALC_REF_DMSHPFAN*HPFUELCALC_REF_DMSHPFAN_CF*Tbl_HPGeneralCalcs[[#This Row],[Number of hours]]</f>
        <v>2</v>
      </c>
      <c r="N106" s="165">
        <f>Tbl_HPGeneralCalcs[[#This Row],[heating load (Btu)]]/HPFUELCALC_REF_AFUE/100000</f>
        <v>3.2700042510055261E-2</v>
      </c>
    </row>
    <row r="107" spans="2:14" x14ac:dyDescent="0.2">
      <c r="B107" s="16"/>
      <c r="C107" s="164">
        <v>-9</v>
      </c>
      <c r="D107" s="164">
        <v>0</v>
      </c>
      <c r="E107" s="164">
        <f>IF((65-Tbl_HPGeneralCalcs[[#This Row],[Temperature, °F]])*Tbl_HPGeneralCalcs[[#This Row],[Number of hours]]&lt;0,0,(65-Tbl_HPGeneralCalcs[[#This Row],[Temperature, °F]])*Tbl_HPGeneralCalcs[[#This Row],[Number of hours]])</f>
        <v>0</v>
      </c>
      <c r="F107" s="164">
        <f>(Tbl_HPGeneralCalcs[[#This Row],[Heating-degree hours (MMBtu)]]/SUM(Tbl_HPGeneralCalcs[Heating-degree hours (MMBtu)]))*$S$30*10^6</f>
        <v>0</v>
      </c>
      <c r="G107" s="164">
        <f>IF(Tbl_HPGeneralCalcs[[#This Row],[Temperature, °F]]&lt;=RESISTANCE_HEAT_THRESHOLD,1,IF($D$33+$D$34*Tbl_HPGeneralCalcs[[#This Row],[Temperature, °F]]&lt;1,1,($D$33+$D$34*Tbl_HPGeneralCalcs[[#This Row],[Temperature, °F]])*INPUT_HEATPUMP_EFFICIENCY_FACTOR))</f>
        <v>1</v>
      </c>
      <c r="H107" s="165">
        <f>KWH_PER_BTU*Tbl_HPGeneralCalcs[[#This Row],[heating load (Btu)]]/Tbl_HPGeneralCalcs[[#This Row],[COP - CHP]]</f>
        <v>0</v>
      </c>
      <c r="I107" s="165">
        <f>HPFUELCALC_REF_FUELPOWER_KW*HPFUELCALC_REF_FUELPOWER_CF*Tbl_HPGeneralCalcs[[#This Row],[Number of hours]]</f>
        <v>0</v>
      </c>
      <c r="J107" s="165">
        <f>Tbl_HPGeneralCalcs[[#This Row],[heating load (Btu)]]/HPFUELCALC_REF_AFUE/100000</f>
        <v>0</v>
      </c>
      <c r="K107" s="165">
        <f>IF(Tbl_HPGeneralCalcs[[#This Row],[Temperature, °F]]&lt;=RESISTANCE_HEAT_THRESHOLD,1,IF($H$33+$H$34*Tbl_HPGeneralCalcs[[#This Row],[Temperature, °F]]&lt;1,1,($H$33+$H$34*Tbl_HPGeneralCalcs[[#This Row],[Temperature, °F]])*INPUT_HEATPUMP_EFFICIENCY_FACTOR))</f>
        <v>1</v>
      </c>
      <c r="L107" s="165">
        <f>KWH_PER_BTU*Tbl_HPGeneralCalcs[[#This Row],[heating load (Btu)]]/Tbl_HPGeneralCalcs[[#This Row],[COP - DMSHP]]</f>
        <v>0</v>
      </c>
      <c r="M107" s="165">
        <f>HPFUELCALC_REF_DMSHPFAN*HPFUELCALC_REF_DMSHPFAN_CF*Tbl_HPGeneralCalcs[[#This Row],[Number of hours]]</f>
        <v>0</v>
      </c>
      <c r="N107" s="165">
        <f>Tbl_HPGeneralCalcs[[#This Row],[heating load (Btu)]]/HPFUELCALC_REF_AFUE/100000</f>
        <v>0</v>
      </c>
    </row>
    <row r="108" spans="2:14" x14ac:dyDescent="0.2">
      <c r="B108" s="16"/>
      <c r="C108" s="164">
        <v>-8</v>
      </c>
      <c r="D108" s="164">
        <v>10</v>
      </c>
      <c r="E108" s="164">
        <f>IF((65-Tbl_HPGeneralCalcs[[#This Row],[Temperature, °F]])*Tbl_HPGeneralCalcs[[#This Row],[Number of hours]]&lt;0,0,(65-Tbl_HPGeneralCalcs[[#This Row],[Temperature, °F]])*Tbl_HPGeneralCalcs[[#This Row],[Number of hours]])</f>
        <v>730</v>
      </c>
      <c r="F108" s="164">
        <f>(Tbl_HPGeneralCalcs[[#This Row],[Heating-degree hours (MMBtu)]]/SUM(Tbl_HPGeneralCalcs[Heating-degree hours (MMBtu)]))*$S$30*10^6</f>
        <v>3978.5051720567235</v>
      </c>
      <c r="G108" s="164">
        <f>IF(Tbl_HPGeneralCalcs[[#This Row],[Temperature, °F]]&lt;=RESISTANCE_HEAT_THRESHOLD,1,IF($D$33+$D$34*Tbl_HPGeneralCalcs[[#This Row],[Temperature, °F]]&lt;1,1,($D$33+$D$34*Tbl_HPGeneralCalcs[[#This Row],[Temperature, °F]])*INPUT_HEATPUMP_EFFICIENCY_FACTOR))</f>
        <v>1</v>
      </c>
      <c r="H108" s="165">
        <f>KWH_PER_BTU*Tbl_HPGeneralCalcs[[#This Row],[heating load (Btu)]]/Tbl_HPGeneralCalcs[[#This Row],[COP - CHP]]</f>
        <v>1.1660331688325682</v>
      </c>
      <c r="I108" s="165">
        <f>HPFUELCALC_REF_FUELPOWER_KW*HPFUELCALC_REF_FUELPOWER_CF*Tbl_HPGeneralCalcs[[#This Row],[Number of hours]]</f>
        <v>2.5</v>
      </c>
      <c r="J108" s="165">
        <f>Tbl_HPGeneralCalcs[[#This Row],[heating load (Btu)]]/HPFUELCALC_REF_AFUE/100000</f>
        <v>3.9785051720567233E-2</v>
      </c>
      <c r="K108" s="165">
        <f>IF(Tbl_HPGeneralCalcs[[#This Row],[Temperature, °F]]&lt;=RESISTANCE_HEAT_THRESHOLD,1,IF($H$33+$H$34*Tbl_HPGeneralCalcs[[#This Row],[Temperature, °F]]&lt;1,1,($H$33+$H$34*Tbl_HPGeneralCalcs[[#This Row],[Temperature, °F]])*INPUT_HEATPUMP_EFFICIENCY_FACTOR))</f>
        <v>1</v>
      </c>
      <c r="L108" s="165">
        <f>KWH_PER_BTU*Tbl_HPGeneralCalcs[[#This Row],[heating load (Btu)]]/Tbl_HPGeneralCalcs[[#This Row],[COP - DMSHP]]</f>
        <v>1.1660331688325682</v>
      </c>
      <c r="M108" s="165">
        <f>HPFUELCALC_REF_DMSHPFAN*HPFUELCALC_REF_DMSHPFAN_CF*Tbl_HPGeneralCalcs[[#This Row],[Number of hours]]</f>
        <v>2.5</v>
      </c>
      <c r="N108" s="165">
        <f>Tbl_HPGeneralCalcs[[#This Row],[heating load (Btu)]]/HPFUELCALC_REF_AFUE/100000</f>
        <v>3.9785051720567233E-2</v>
      </c>
    </row>
    <row r="109" spans="2:14" x14ac:dyDescent="0.2">
      <c r="B109" s="16"/>
      <c r="C109" s="164">
        <v>-7</v>
      </c>
      <c r="D109" s="164">
        <v>0</v>
      </c>
      <c r="E109" s="164">
        <f>IF((65-Tbl_HPGeneralCalcs[[#This Row],[Temperature, °F]])*Tbl_HPGeneralCalcs[[#This Row],[Number of hours]]&lt;0,0,(65-Tbl_HPGeneralCalcs[[#This Row],[Temperature, °F]])*Tbl_HPGeneralCalcs[[#This Row],[Number of hours]])</f>
        <v>0</v>
      </c>
      <c r="F109" s="164">
        <f>(Tbl_HPGeneralCalcs[[#This Row],[Heating-degree hours (MMBtu)]]/SUM(Tbl_HPGeneralCalcs[Heating-degree hours (MMBtu)]))*$S$30*10^6</f>
        <v>0</v>
      </c>
      <c r="G109" s="164">
        <f>IF(Tbl_HPGeneralCalcs[[#This Row],[Temperature, °F]]&lt;=RESISTANCE_HEAT_THRESHOLD,1,IF($D$33+$D$34*Tbl_HPGeneralCalcs[[#This Row],[Temperature, °F]]&lt;1,1,($D$33+$D$34*Tbl_HPGeneralCalcs[[#This Row],[Temperature, °F]])*INPUT_HEATPUMP_EFFICIENCY_FACTOR))</f>
        <v>1</v>
      </c>
      <c r="H109" s="165">
        <f>KWH_PER_BTU*Tbl_HPGeneralCalcs[[#This Row],[heating load (Btu)]]/Tbl_HPGeneralCalcs[[#This Row],[COP - CHP]]</f>
        <v>0</v>
      </c>
      <c r="I109" s="165">
        <f>HPFUELCALC_REF_FUELPOWER_KW*HPFUELCALC_REF_FUELPOWER_CF*Tbl_HPGeneralCalcs[[#This Row],[Number of hours]]</f>
        <v>0</v>
      </c>
      <c r="J109" s="165">
        <f>Tbl_HPGeneralCalcs[[#This Row],[heating load (Btu)]]/HPFUELCALC_REF_AFUE/100000</f>
        <v>0</v>
      </c>
      <c r="K109" s="165">
        <f>IF(Tbl_HPGeneralCalcs[[#This Row],[Temperature, °F]]&lt;=RESISTANCE_HEAT_THRESHOLD,1,IF($H$33+$H$34*Tbl_HPGeneralCalcs[[#This Row],[Temperature, °F]]&lt;1,1,($H$33+$H$34*Tbl_HPGeneralCalcs[[#This Row],[Temperature, °F]])*INPUT_HEATPUMP_EFFICIENCY_FACTOR))</f>
        <v>1</v>
      </c>
      <c r="L109" s="165">
        <f>KWH_PER_BTU*Tbl_HPGeneralCalcs[[#This Row],[heating load (Btu)]]/Tbl_HPGeneralCalcs[[#This Row],[COP - DMSHP]]</f>
        <v>0</v>
      </c>
      <c r="M109" s="165">
        <f>HPFUELCALC_REF_DMSHPFAN*HPFUELCALC_REF_DMSHPFAN_CF*Tbl_HPGeneralCalcs[[#This Row],[Number of hours]]</f>
        <v>0</v>
      </c>
      <c r="N109" s="165">
        <f>Tbl_HPGeneralCalcs[[#This Row],[heating load (Btu)]]/HPFUELCALC_REF_AFUE/100000</f>
        <v>0</v>
      </c>
    </row>
    <row r="110" spans="2:14" x14ac:dyDescent="0.2">
      <c r="B110" s="16"/>
      <c r="C110" s="164">
        <v>-6</v>
      </c>
      <c r="D110" s="164">
        <v>13</v>
      </c>
      <c r="E110" s="164">
        <f>IF((65-Tbl_HPGeneralCalcs[[#This Row],[Temperature, °F]])*Tbl_HPGeneralCalcs[[#This Row],[Number of hours]]&lt;0,0,(65-Tbl_HPGeneralCalcs[[#This Row],[Temperature, °F]])*Tbl_HPGeneralCalcs[[#This Row],[Number of hours]])</f>
        <v>923</v>
      </c>
      <c r="F110" s="164">
        <f>(Tbl_HPGeneralCalcs[[#This Row],[Heating-degree hours (MMBtu)]]/SUM(Tbl_HPGeneralCalcs[Heating-degree hours (MMBtu)]))*$S$30*10^6</f>
        <v>5030.3565394635016</v>
      </c>
      <c r="G110" s="164">
        <f>IF(Tbl_HPGeneralCalcs[[#This Row],[Temperature, °F]]&lt;=RESISTANCE_HEAT_THRESHOLD,1,IF($D$33+$D$34*Tbl_HPGeneralCalcs[[#This Row],[Temperature, °F]]&lt;1,1,($D$33+$D$34*Tbl_HPGeneralCalcs[[#This Row],[Temperature, °F]])*INPUT_HEATPUMP_EFFICIENCY_FACTOR))</f>
        <v>1</v>
      </c>
      <c r="H110" s="165">
        <f>KWH_PER_BTU*Tbl_HPGeneralCalcs[[#This Row],[heating load (Btu)]]/Tbl_HPGeneralCalcs[[#This Row],[COP - CHP]]</f>
        <v>1.4743131710033708</v>
      </c>
      <c r="I110" s="165">
        <f>HPFUELCALC_REF_FUELPOWER_KW*HPFUELCALC_REF_FUELPOWER_CF*Tbl_HPGeneralCalcs[[#This Row],[Number of hours]]</f>
        <v>3.25</v>
      </c>
      <c r="J110" s="165">
        <f>Tbl_HPGeneralCalcs[[#This Row],[heating load (Btu)]]/HPFUELCALC_REF_AFUE/100000</f>
        <v>5.0303565394635014E-2</v>
      </c>
      <c r="K110" s="165">
        <f>IF(Tbl_HPGeneralCalcs[[#This Row],[Temperature, °F]]&lt;=RESISTANCE_HEAT_THRESHOLD,1,IF($H$33+$H$34*Tbl_HPGeneralCalcs[[#This Row],[Temperature, °F]]&lt;1,1,($H$33+$H$34*Tbl_HPGeneralCalcs[[#This Row],[Temperature, °F]])*INPUT_HEATPUMP_EFFICIENCY_FACTOR))</f>
        <v>1</v>
      </c>
      <c r="L110" s="165">
        <f>KWH_PER_BTU*Tbl_HPGeneralCalcs[[#This Row],[heating load (Btu)]]/Tbl_HPGeneralCalcs[[#This Row],[COP - DMSHP]]</f>
        <v>1.4743131710033708</v>
      </c>
      <c r="M110" s="165">
        <f>HPFUELCALC_REF_DMSHPFAN*HPFUELCALC_REF_DMSHPFAN_CF*Tbl_HPGeneralCalcs[[#This Row],[Number of hours]]</f>
        <v>3.25</v>
      </c>
      <c r="N110" s="165">
        <f>Tbl_HPGeneralCalcs[[#This Row],[heating load (Btu)]]/HPFUELCALC_REF_AFUE/100000</f>
        <v>5.0303565394635014E-2</v>
      </c>
    </row>
    <row r="111" spans="2:14" x14ac:dyDescent="0.2">
      <c r="B111" s="16"/>
      <c r="C111" s="164">
        <v>-5</v>
      </c>
      <c r="D111" s="164">
        <v>0</v>
      </c>
      <c r="E111" s="164">
        <f>IF((65-Tbl_HPGeneralCalcs[[#This Row],[Temperature, °F]])*Tbl_HPGeneralCalcs[[#This Row],[Number of hours]]&lt;0,0,(65-Tbl_HPGeneralCalcs[[#This Row],[Temperature, °F]])*Tbl_HPGeneralCalcs[[#This Row],[Number of hours]])</f>
        <v>0</v>
      </c>
      <c r="F111" s="164">
        <f>(Tbl_HPGeneralCalcs[[#This Row],[Heating-degree hours (MMBtu)]]/SUM(Tbl_HPGeneralCalcs[Heating-degree hours (MMBtu)]))*$S$30*10^6</f>
        <v>0</v>
      </c>
      <c r="G111" s="164">
        <f>IF(Tbl_HPGeneralCalcs[[#This Row],[Temperature, °F]]&lt;=RESISTANCE_HEAT_THRESHOLD,1,IF($D$33+$D$34*Tbl_HPGeneralCalcs[[#This Row],[Temperature, °F]]&lt;1,1,($D$33+$D$34*Tbl_HPGeneralCalcs[[#This Row],[Temperature, °F]])*INPUT_HEATPUMP_EFFICIENCY_FACTOR))</f>
        <v>1</v>
      </c>
      <c r="H111" s="165">
        <f>KWH_PER_BTU*Tbl_HPGeneralCalcs[[#This Row],[heating load (Btu)]]/Tbl_HPGeneralCalcs[[#This Row],[COP - CHP]]</f>
        <v>0</v>
      </c>
      <c r="I111" s="165">
        <f>HPFUELCALC_REF_FUELPOWER_KW*HPFUELCALC_REF_FUELPOWER_CF*Tbl_HPGeneralCalcs[[#This Row],[Number of hours]]</f>
        <v>0</v>
      </c>
      <c r="J111" s="165">
        <f>Tbl_HPGeneralCalcs[[#This Row],[heating load (Btu)]]/HPFUELCALC_REF_AFUE/100000</f>
        <v>0</v>
      </c>
      <c r="K111" s="165">
        <f>IF(Tbl_HPGeneralCalcs[[#This Row],[Temperature, °F]]&lt;=RESISTANCE_HEAT_THRESHOLD,1,IF($H$33+$H$34*Tbl_HPGeneralCalcs[[#This Row],[Temperature, °F]]&lt;1,1,($H$33+$H$34*Tbl_HPGeneralCalcs[[#This Row],[Temperature, °F]])*INPUT_HEATPUMP_EFFICIENCY_FACTOR))</f>
        <v>1</v>
      </c>
      <c r="L111" s="165">
        <f>KWH_PER_BTU*Tbl_HPGeneralCalcs[[#This Row],[heating load (Btu)]]/Tbl_HPGeneralCalcs[[#This Row],[COP - DMSHP]]</f>
        <v>0</v>
      </c>
      <c r="M111" s="165">
        <f>HPFUELCALC_REF_DMSHPFAN*HPFUELCALC_REF_DMSHPFAN_CF*Tbl_HPGeneralCalcs[[#This Row],[Number of hours]]</f>
        <v>0</v>
      </c>
      <c r="N111" s="165">
        <f>Tbl_HPGeneralCalcs[[#This Row],[heating load (Btu)]]/HPFUELCALC_REF_AFUE/100000</f>
        <v>0</v>
      </c>
    </row>
    <row r="112" spans="2:14" x14ac:dyDescent="0.2">
      <c r="B112" s="16"/>
      <c r="C112" s="164">
        <v>-4</v>
      </c>
      <c r="D112" s="164">
        <v>5</v>
      </c>
      <c r="E112" s="164">
        <f>IF((65-Tbl_HPGeneralCalcs[[#This Row],[Temperature, °F]])*Tbl_HPGeneralCalcs[[#This Row],[Number of hours]]&lt;0,0,(65-Tbl_HPGeneralCalcs[[#This Row],[Temperature, °F]])*Tbl_HPGeneralCalcs[[#This Row],[Number of hours]])</f>
        <v>345</v>
      </c>
      <c r="F112" s="164">
        <f>(Tbl_HPGeneralCalcs[[#This Row],[Heating-degree hours (MMBtu)]]/SUM(Tbl_HPGeneralCalcs[Heating-degree hours (MMBtu)]))*$S$30*10^6</f>
        <v>1880.2524443281775</v>
      </c>
      <c r="G112" s="164">
        <f>IF(Tbl_HPGeneralCalcs[[#This Row],[Temperature, °F]]&lt;=RESISTANCE_HEAT_THRESHOLD,1,IF($D$33+$D$34*Tbl_HPGeneralCalcs[[#This Row],[Temperature, °F]]&lt;1,1,($D$33+$D$34*Tbl_HPGeneralCalcs[[#This Row],[Temperature, °F]])*INPUT_HEATPUMP_EFFICIENCY_FACTOR))</f>
        <v>1</v>
      </c>
      <c r="H112" s="165">
        <f>KWH_PER_BTU*Tbl_HPGeneralCalcs[[#This Row],[heating load (Btu)]]/Tbl_HPGeneralCalcs[[#This Row],[COP - CHP]]</f>
        <v>0.5510704702016932</v>
      </c>
      <c r="I112" s="165">
        <f>HPFUELCALC_REF_FUELPOWER_KW*HPFUELCALC_REF_FUELPOWER_CF*Tbl_HPGeneralCalcs[[#This Row],[Number of hours]]</f>
        <v>1.25</v>
      </c>
      <c r="J112" s="165">
        <f>Tbl_HPGeneralCalcs[[#This Row],[heating load (Btu)]]/HPFUELCALC_REF_AFUE/100000</f>
        <v>1.8802524443281773E-2</v>
      </c>
      <c r="K112" s="165">
        <f>IF(Tbl_HPGeneralCalcs[[#This Row],[Temperature, °F]]&lt;=RESISTANCE_HEAT_THRESHOLD,1,IF($H$33+$H$34*Tbl_HPGeneralCalcs[[#This Row],[Temperature, °F]]&lt;1,1,($H$33+$H$34*Tbl_HPGeneralCalcs[[#This Row],[Temperature, °F]])*INPUT_HEATPUMP_EFFICIENCY_FACTOR))</f>
        <v>1</v>
      </c>
      <c r="L112" s="165">
        <f>KWH_PER_BTU*Tbl_HPGeneralCalcs[[#This Row],[heating load (Btu)]]/Tbl_HPGeneralCalcs[[#This Row],[COP - DMSHP]]</f>
        <v>0.5510704702016932</v>
      </c>
      <c r="M112" s="165">
        <f>HPFUELCALC_REF_DMSHPFAN*HPFUELCALC_REF_DMSHPFAN_CF*Tbl_HPGeneralCalcs[[#This Row],[Number of hours]]</f>
        <v>1.25</v>
      </c>
      <c r="N112" s="165">
        <f>Tbl_HPGeneralCalcs[[#This Row],[heating load (Btu)]]/HPFUELCALC_REF_AFUE/100000</f>
        <v>1.8802524443281773E-2</v>
      </c>
    </row>
    <row r="113" spans="2:14" x14ac:dyDescent="0.2">
      <c r="B113" s="16"/>
      <c r="C113" s="164">
        <v>-3</v>
      </c>
      <c r="D113" s="164">
        <v>19</v>
      </c>
      <c r="E113" s="164">
        <f>IF((65-Tbl_HPGeneralCalcs[[#This Row],[Temperature, °F]])*Tbl_HPGeneralCalcs[[#This Row],[Number of hours]]&lt;0,0,(65-Tbl_HPGeneralCalcs[[#This Row],[Temperature, °F]])*Tbl_HPGeneralCalcs[[#This Row],[Number of hours]])</f>
        <v>1292</v>
      </c>
      <c r="F113" s="164">
        <f>(Tbl_HPGeneralCalcs[[#This Row],[Heating-degree hours (MMBtu)]]/SUM(Tbl_HPGeneralCalcs[Heating-degree hours (MMBtu)]))*$S$30*10^6</f>
        <v>7041.4091538318999</v>
      </c>
      <c r="G113" s="164">
        <f>IF(Tbl_HPGeneralCalcs[[#This Row],[Temperature, °F]]&lt;=RESISTANCE_HEAT_THRESHOLD,1,IF($D$33+$D$34*Tbl_HPGeneralCalcs[[#This Row],[Temperature, °F]]&lt;1,1,($D$33+$D$34*Tbl_HPGeneralCalcs[[#This Row],[Temperature, °F]])*INPUT_HEATPUMP_EFFICIENCY_FACTOR))</f>
        <v>1</v>
      </c>
      <c r="H113" s="165">
        <f>KWH_PER_BTU*Tbl_HPGeneralCalcs[[#This Row],[heating load (Btu)]]/Tbl_HPGeneralCalcs[[#This Row],[COP - CHP]]</f>
        <v>2.0637189782625729</v>
      </c>
      <c r="I113" s="165">
        <f>HPFUELCALC_REF_FUELPOWER_KW*HPFUELCALC_REF_FUELPOWER_CF*Tbl_HPGeneralCalcs[[#This Row],[Number of hours]]</f>
        <v>4.75</v>
      </c>
      <c r="J113" s="165">
        <f>Tbl_HPGeneralCalcs[[#This Row],[heating load (Btu)]]/HPFUELCALC_REF_AFUE/100000</f>
        <v>7.0414091538318999E-2</v>
      </c>
      <c r="K113" s="165">
        <f>IF(Tbl_HPGeneralCalcs[[#This Row],[Temperature, °F]]&lt;=RESISTANCE_HEAT_THRESHOLD,1,IF($H$33+$H$34*Tbl_HPGeneralCalcs[[#This Row],[Temperature, °F]]&lt;1,1,($H$33+$H$34*Tbl_HPGeneralCalcs[[#This Row],[Temperature, °F]])*INPUT_HEATPUMP_EFFICIENCY_FACTOR))</f>
        <v>1</v>
      </c>
      <c r="L113" s="165">
        <f>KWH_PER_BTU*Tbl_HPGeneralCalcs[[#This Row],[heating load (Btu)]]/Tbl_HPGeneralCalcs[[#This Row],[COP - DMSHP]]</f>
        <v>2.0637189782625729</v>
      </c>
      <c r="M113" s="165">
        <f>HPFUELCALC_REF_DMSHPFAN*HPFUELCALC_REF_DMSHPFAN_CF*Tbl_HPGeneralCalcs[[#This Row],[Number of hours]]</f>
        <v>4.75</v>
      </c>
      <c r="N113" s="165">
        <f>Tbl_HPGeneralCalcs[[#This Row],[heating load (Btu)]]/HPFUELCALC_REF_AFUE/100000</f>
        <v>7.0414091538318999E-2</v>
      </c>
    </row>
    <row r="114" spans="2:14" x14ac:dyDescent="0.2">
      <c r="B114" s="16"/>
      <c r="C114" s="164">
        <v>-2</v>
      </c>
      <c r="D114" s="164">
        <v>0</v>
      </c>
      <c r="E114" s="164">
        <f>IF((65-Tbl_HPGeneralCalcs[[#This Row],[Temperature, °F]])*Tbl_HPGeneralCalcs[[#This Row],[Number of hours]]&lt;0,0,(65-Tbl_HPGeneralCalcs[[#This Row],[Temperature, °F]])*Tbl_HPGeneralCalcs[[#This Row],[Number of hours]])</f>
        <v>0</v>
      </c>
      <c r="F114" s="164">
        <f>(Tbl_HPGeneralCalcs[[#This Row],[Heating-degree hours (MMBtu)]]/SUM(Tbl_HPGeneralCalcs[Heating-degree hours (MMBtu)]))*$S$30*10^6</f>
        <v>0</v>
      </c>
      <c r="G114" s="164">
        <f>IF(Tbl_HPGeneralCalcs[[#This Row],[Temperature, °F]]&lt;=RESISTANCE_HEAT_THRESHOLD,1,IF($D$33+$D$34*Tbl_HPGeneralCalcs[[#This Row],[Temperature, °F]]&lt;1,1,($D$33+$D$34*Tbl_HPGeneralCalcs[[#This Row],[Temperature, °F]])*INPUT_HEATPUMP_EFFICIENCY_FACTOR))</f>
        <v>1</v>
      </c>
      <c r="H114" s="165">
        <f>KWH_PER_BTU*Tbl_HPGeneralCalcs[[#This Row],[heating load (Btu)]]/Tbl_HPGeneralCalcs[[#This Row],[COP - CHP]]</f>
        <v>0</v>
      </c>
      <c r="I114" s="165">
        <f>HPFUELCALC_REF_FUELPOWER_KW*HPFUELCALC_REF_FUELPOWER_CF*Tbl_HPGeneralCalcs[[#This Row],[Number of hours]]</f>
        <v>0</v>
      </c>
      <c r="J114" s="165">
        <f>Tbl_HPGeneralCalcs[[#This Row],[heating load (Btu)]]/HPFUELCALC_REF_AFUE/100000</f>
        <v>0</v>
      </c>
      <c r="K114" s="165">
        <f>IF(Tbl_HPGeneralCalcs[[#This Row],[Temperature, °F]]&lt;=RESISTANCE_HEAT_THRESHOLD,1,IF($H$33+$H$34*Tbl_HPGeneralCalcs[[#This Row],[Temperature, °F]]&lt;1,1,($H$33+$H$34*Tbl_HPGeneralCalcs[[#This Row],[Temperature, °F]])*INPUT_HEATPUMP_EFFICIENCY_FACTOR))</f>
        <v>1</v>
      </c>
      <c r="L114" s="165">
        <f>KWH_PER_BTU*Tbl_HPGeneralCalcs[[#This Row],[heating load (Btu)]]/Tbl_HPGeneralCalcs[[#This Row],[COP - DMSHP]]</f>
        <v>0</v>
      </c>
      <c r="M114" s="165">
        <f>HPFUELCALC_REF_DMSHPFAN*HPFUELCALC_REF_DMSHPFAN_CF*Tbl_HPGeneralCalcs[[#This Row],[Number of hours]]</f>
        <v>0</v>
      </c>
      <c r="N114" s="165">
        <f>Tbl_HPGeneralCalcs[[#This Row],[heating load (Btu)]]/HPFUELCALC_REF_AFUE/100000</f>
        <v>0</v>
      </c>
    </row>
    <row r="115" spans="2:14" x14ac:dyDescent="0.2">
      <c r="B115" s="16"/>
      <c r="C115" s="164">
        <v>-1</v>
      </c>
      <c r="D115" s="164">
        <v>39</v>
      </c>
      <c r="E115" s="164">
        <f>IF((65-Tbl_HPGeneralCalcs[[#This Row],[Temperature, °F]])*Tbl_HPGeneralCalcs[[#This Row],[Number of hours]]&lt;0,0,(65-Tbl_HPGeneralCalcs[[#This Row],[Temperature, °F]])*Tbl_HPGeneralCalcs[[#This Row],[Number of hours]])</f>
        <v>2574</v>
      </c>
      <c r="F115" s="164">
        <f>(Tbl_HPGeneralCalcs[[#This Row],[Heating-degree hours (MMBtu)]]/SUM(Tbl_HPGeneralCalcs[Heating-degree hours (MMBtu)]))*$S$30*10^6</f>
        <v>14028.318236813708</v>
      </c>
      <c r="G115" s="164">
        <f>IF(Tbl_HPGeneralCalcs[[#This Row],[Temperature, °F]]&lt;=RESISTANCE_HEAT_THRESHOLD,1,IF($D$33+$D$34*Tbl_HPGeneralCalcs[[#This Row],[Temperature, °F]]&lt;1,1,($D$33+$D$34*Tbl_HPGeneralCalcs[[#This Row],[Temperature, °F]])*INPUT_HEATPUMP_EFFICIENCY_FACTOR))</f>
        <v>1</v>
      </c>
      <c r="H115" s="165">
        <f>KWH_PER_BTU*Tbl_HPGeneralCalcs[[#This Row],[heating load (Btu)]]/Tbl_HPGeneralCalcs[[#This Row],[COP - CHP]]</f>
        <v>4.1114648994178511</v>
      </c>
      <c r="I115" s="165">
        <f>HPFUELCALC_REF_FUELPOWER_KW*HPFUELCALC_REF_FUELPOWER_CF*Tbl_HPGeneralCalcs[[#This Row],[Number of hours]]</f>
        <v>9.75</v>
      </c>
      <c r="J115" s="165">
        <f>Tbl_HPGeneralCalcs[[#This Row],[heating load (Btu)]]/HPFUELCALC_REF_AFUE/100000</f>
        <v>0.14028318236813708</v>
      </c>
      <c r="K115" s="165">
        <f>IF(Tbl_HPGeneralCalcs[[#This Row],[Temperature, °F]]&lt;=RESISTANCE_HEAT_THRESHOLD,1,IF($H$33+$H$34*Tbl_HPGeneralCalcs[[#This Row],[Temperature, °F]]&lt;1,1,($H$33+$H$34*Tbl_HPGeneralCalcs[[#This Row],[Temperature, °F]])*INPUT_HEATPUMP_EFFICIENCY_FACTOR))</f>
        <v>1</v>
      </c>
      <c r="L115" s="165">
        <f>KWH_PER_BTU*Tbl_HPGeneralCalcs[[#This Row],[heating load (Btu)]]/Tbl_HPGeneralCalcs[[#This Row],[COP - DMSHP]]</f>
        <v>4.1114648994178511</v>
      </c>
      <c r="M115" s="165">
        <f>HPFUELCALC_REF_DMSHPFAN*HPFUELCALC_REF_DMSHPFAN_CF*Tbl_HPGeneralCalcs[[#This Row],[Number of hours]]</f>
        <v>9.75</v>
      </c>
      <c r="N115" s="165">
        <f>Tbl_HPGeneralCalcs[[#This Row],[heating load (Btu)]]/HPFUELCALC_REF_AFUE/100000</f>
        <v>0.14028318236813708</v>
      </c>
    </row>
    <row r="116" spans="2:14" x14ac:dyDescent="0.2">
      <c r="B116" s="16"/>
      <c r="C116" s="164">
        <v>0</v>
      </c>
      <c r="D116" s="164">
        <v>0</v>
      </c>
      <c r="E116" s="164">
        <f>IF((65-Tbl_HPGeneralCalcs[[#This Row],[Temperature, °F]])*Tbl_HPGeneralCalcs[[#This Row],[Number of hours]]&lt;0,0,(65-Tbl_HPGeneralCalcs[[#This Row],[Temperature, °F]])*Tbl_HPGeneralCalcs[[#This Row],[Number of hours]])</f>
        <v>0</v>
      </c>
      <c r="F116" s="164">
        <f>(Tbl_HPGeneralCalcs[[#This Row],[Heating-degree hours (MMBtu)]]/SUM(Tbl_HPGeneralCalcs[Heating-degree hours (MMBtu)]))*$S$30*10^6</f>
        <v>0</v>
      </c>
      <c r="G116" s="164">
        <f>IF(Tbl_HPGeneralCalcs[[#This Row],[Temperature, °F]]&lt;=RESISTANCE_HEAT_THRESHOLD,1,IF($D$33+$D$34*Tbl_HPGeneralCalcs[[#This Row],[Temperature, °F]]&lt;1,1,($D$33+$D$34*Tbl_HPGeneralCalcs[[#This Row],[Temperature, °F]])*INPUT_HEATPUMP_EFFICIENCY_FACTOR))</f>
        <v>1</v>
      </c>
      <c r="H116" s="165">
        <f>KWH_PER_BTU*Tbl_HPGeneralCalcs[[#This Row],[heating load (Btu)]]/Tbl_HPGeneralCalcs[[#This Row],[COP - CHP]]</f>
        <v>0</v>
      </c>
      <c r="I116" s="165">
        <f>HPFUELCALC_REF_FUELPOWER_KW*HPFUELCALC_REF_FUELPOWER_CF*Tbl_HPGeneralCalcs[[#This Row],[Number of hours]]</f>
        <v>0</v>
      </c>
      <c r="J116" s="165">
        <f>Tbl_HPGeneralCalcs[[#This Row],[heating load (Btu)]]/HPFUELCALC_REF_AFUE/100000</f>
        <v>0</v>
      </c>
      <c r="K116" s="165">
        <f>IF(Tbl_HPGeneralCalcs[[#This Row],[Temperature, °F]]&lt;=RESISTANCE_HEAT_THRESHOLD,1,IF($H$33+$H$34*Tbl_HPGeneralCalcs[[#This Row],[Temperature, °F]]&lt;1,1,($H$33+$H$34*Tbl_HPGeneralCalcs[[#This Row],[Temperature, °F]])*INPUT_HEATPUMP_EFFICIENCY_FACTOR))</f>
        <v>1</v>
      </c>
      <c r="L116" s="165">
        <f>KWH_PER_BTU*Tbl_HPGeneralCalcs[[#This Row],[heating load (Btu)]]/Tbl_HPGeneralCalcs[[#This Row],[COP - DMSHP]]</f>
        <v>0</v>
      </c>
      <c r="M116" s="165">
        <f>HPFUELCALC_REF_DMSHPFAN*HPFUELCALC_REF_DMSHPFAN_CF*Tbl_HPGeneralCalcs[[#This Row],[Number of hours]]</f>
        <v>0</v>
      </c>
      <c r="N116" s="165">
        <f>Tbl_HPGeneralCalcs[[#This Row],[heating load (Btu)]]/HPFUELCALC_REF_AFUE/100000</f>
        <v>0</v>
      </c>
    </row>
    <row r="117" spans="2:14" x14ac:dyDescent="0.2">
      <c r="B117" s="16"/>
      <c r="C117" s="164">
        <v>1</v>
      </c>
      <c r="D117" s="164">
        <v>29</v>
      </c>
      <c r="E117" s="164">
        <f>IF((65-Tbl_HPGeneralCalcs[[#This Row],[Temperature, °F]])*Tbl_HPGeneralCalcs[[#This Row],[Number of hours]]&lt;0,0,(65-Tbl_HPGeneralCalcs[[#This Row],[Temperature, °F]])*Tbl_HPGeneralCalcs[[#This Row],[Number of hours]])</f>
        <v>1856</v>
      </c>
      <c r="F117" s="164">
        <f>(Tbl_HPGeneralCalcs[[#This Row],[Heating-degree hours (MMBtu)]]/SUM(Tbl_HPGeneralCalcs[Heating-degree hours (MMBtu)]))*$S$30*10^6</f>
        <v>10115.213149777095</v>
      </c>
      <c r="G117" s="164">
        <f>IF(Tbl_HPGeneralCalcs[[#This Row],[Temperature, °F]]&lt;=RESISTANCE_HEAT_THRESHOLD,1,IF($D$33+$D$34*Tbl_HPGeneralCalcs[[#This Row],[Temperature, °F]]&lt;1,1,($D$33+$D$34*Tbl_HPGeneralCalcs[[#This Row],[Temperature, °F]])*INPUT_HEATPUMP_EFFICIENCY_FACTOR))</f>
        <v>1.7129999999999999</v>
      </c>
      <c r="H117" s="165">
        <f>KWH_PER_BTU*Tbl_HPGeneralCalcs[[#This Row],[heating load (Btu)]]/Tbl_HPGeneralCalcs[[#This Row],[COP - CHP]]</f>
        <v>1.7306476352095956</v>
      </c>
      <c r="I117" s="165">
        <f>HPFUELCALC_REF_FUELPOWER_KW*HPFUELCALC_REF_FUELPOWER_CF*Tbl_HPGeneralCalcs[[#This Row],[Number of hours]]</f>
        <v>7.25</v>
      </c>
      <c r="J117" s="165">
        <f>Tbl_HPGeneralCalcs[[#This Row],[heating load (Btu)]]/HPFUELCALC_REF_AFUE/100000</f>
        <v>0.10115213149777096</v>
      </c>
      <c r="K117" s="165">
        <f>IF(Tbl_HPGeneralCalcs[[#This Row],[Temperature, °F]]&lt;=RESISTANCE_HEAT_THRESHOLD,1,IF($H$33+$H$34*Tbl_HPGeneralCalcs[[#This Row],[Temperature, °F]]&lt;1,1,($H$33+$H$34*Tbl_HPGeneralCalcs[[#This Row],[Temperature, °F]])*INPUT_HEATPUMP_EFFICIENCY_FACTOR))</f>
        <v>1.8805999999999998</v>
      </c>
      <c r="L117" s="165">
        <f>KWH_PER_BTU*Tbl_HPGeneralCalcs[[#This Row],[heating load (Btu)]]/Tbl_HPGeneralCalcs[[#This Row],[COP - DMSHP]]</f>
        <v>1.5764114639551405</v>
      </c>
      <c r="M117" s="165">
        <f>HPFUELCALC_REF_DMSHPFAN*HPFUELCALC_REF_DMSHPFAN_CF*Tbl_HPGeneralCalcs[[#This Row],[Number of hours]]</f>
        <v>7.25</v>
      </c>
      <c r="N117" s="165">
        <f>Tbl_HPGeneralCalcs[[#This Row],[heating load (Btu)]]/HPFUELCALC_REF_AFUE/100000</f>
        <v>0.10115213149777096</v>
      </c>
    </row>
    <row r="118" spans="2:14" x14ac:dyDescent="0.2">
      <c r="B118" s="16"/>
      <c r="C118" s="164">
        <v>2</v>
      </c>
      <c r="D118" s="164">
        <v>0</v>
      </c>
      <c r="E118" s="164">
        <f>IF((65-Tbl_HPGeneralCalcs[[#This Row],[Temperature, °F]])*Tbl_HPGeneralCalcs[[#This Row],[Number of hours]]&lt;0,0,(65-Tbl_HPGeneralCalcs[[#This Row],[Temperature, °F]])*Tbl_HPGeneralCalcs[[#This Row],[Number of hours]])</f>
        <v>0</v>
      </c>
      <c r="F118" s="164">
        <f>(Tbl_HPGeneralCalcs[[#This Row],[Heating-degree hours (MMBtu)]]/SUM(Tbl_HPGeneralCalcs[Heating-degree hours (MMBtu)]))*$S$30*10^6</f>
        <v>0</v>
      </c>
      <c r="G118" s="164">
        <f>IF(Tbl_HPGeneralCalcs[[#This Row],[Temperature, °F]]&lt;=RESISTANCE_HEAT_THRESHOLD,1,IF($D$33+$D$34*Tbl_HPGeneralCalcs[[#This Row],[Temperature, °F]]&lt;1,1,($D$33+$D$34*Tbl_HPGeneralCalcs[[#This Row],[Temperature, °F]])*INPUT_HEATPUMP_EFFICIENCY_FACTOR))</f>
        <v>1.7583</v>
      </c>
      <c r="H118" s="165">
        <f>KWH_PER_BTU*Tbl_HPGeneralCalcs[[#This Row],[heating load (Btu)]]/Tbl_HPGeneralCalcs[[#This Row],[COP - CHP]]</f>
        <v>0</v>
      </c>
      <c r="I118" s="165">
        <f>HPFUELCALC_REF_FUELPOWER_KW*HPFUELCALC_REF_FUELPOWER_CF*Tbl_HPGeneralCalcs[[#This Row],[Number of hours]]</f>
        <v>0</v>
      </c>
      <c r="J118" s="165">
        <f>Tbl_HPGeneralCalcs[[#This Row],[heating load (Btu)]]/HPFUELCALC_REF_AFUE/100000</f>
        <v>0</v>
      </c>
      <c r="K118" s="165">
        <f>IF(Tbl_HPGeneralCalcs[[#This Row],[Temperature, °F]]&lt;=RESISTANCE_HEAT_THRESHOLD,1,IF($H$33+$H$34*Tbl_HPGeneralCalcs[[#This Row],[Temperature, °F]]&lt;1,1,($H$33+$H$34*Tbl_HPGeneralCalcs[[#This Row],[Temperature, °F]])*INPUT_HEATPUMP_EFFICIENCY_FACTOR))</f>
        <v>1.9077999999999999</v>
      </c>
      <c r="L118" s="165">
        <f>KWH_PER_BTU*Tbl_HPGeneralCalcs[[#This Row],[heating load (Btu)]]/Tbl_HPGeneralCalcs[[#This Row],[COP - DMSHP]]</f>
        <v>0</v>
      </c>
      <c r="M118" s="165">
        <f>HPFUELCALC_REF_DMSHPFAN*HPFUELCALC_REF_DMSHPFAN_CF*Tbl_HPGeneralCalcs[[#This Row],[Number of hours]]</f>
        <v>0</v>
      </c>
      <c r="N118" s="165">
        <f>Tbl_HPGeneralCalcs[[#This Row],[heating load (Btu)]]/HPFUELCALC_REF_AFUE/100000</f>
        <v>0</v>
      </c>
    </row>
    <row r="119" spans="2:14" x14ac:dyDescent="0.2">
      <c r="B119" s="16"/>
      <c r="C119" s="164">
        <v>3</v>
      </c>
      <c r="D119" s="164">
        <v>32</v>
      </c>
      <c r="E119" s="164">
        <f>IF((65-Tbl_HPGeneralCalcs[[#This Row],[Temperature, °F]])*Tbl_HPGeneralCalcs[[#This Row],[Number of hours]]&lt;0,0,(65-Tbl_HPGeneralCalcs[[#This Row],[Temperature, °F]])*Tbl_HPGeneralCalcs[[#This Row],[Number of hours]])</f>
        <v>1984</v>
      </c>
      <c r="F119" s="164">
        <f>(Tbl_HPGeneralCalcs[[#This Row],[Heating-degree hours (MMBtu)]]/SUM(Tbl_HPGeneralCalcs[Heating-degree hours (MMBtu)]))*$S$30*10^6</f>
        <v>10812.814056658273</v>
      </c>
      <c r="G119" s="164">
        <f>IF(Tbl_HPGeneralCalcs[[#This Row],[Temperature, °F]]&lt;=RESISTANCE_HEAT_THRESHOLD,1,IF($D$33+$D$34*Tbl_HPGeneralCalcs[[#This Row],[Temperature, °F]]&lt;1,1,($D$33+$D$34*Tbl_HPGeneralCalcs[[#This Row],[Temperature, °F]])*INPUT_HEATPUMP_EFFICIENCY_FACTOR))</f>
        <v>1.8035999999999999</v>
      </c>
      <c r="H119" s="165">
        <f>KWH_PER_BTU*Tbl_HPGeneralCalcs[[#This Row],[heating load (Btu)]]/Tbl_HPGeneralCalcs[[#This Row],[COP - CHP]]</f>
        <v>1.7570717066352957</v>
      </c>
      <c r="I119" s="165">
        <f>HPFUELCALC_REF_FUELPOWER_KW*HPFUELCALC_REF_FUELPOWER_CF*Tbl_HPGeneralCalcs[[#This Row],[Number of hours]]</f>
        <v>8</v>
      </c>
      <c r="J119" s="165">
        <f>Tbl_HPGeneralCalcs[[#This Row],[heating load (Btu)]]/HPFUELCALC_REF_AFUE/100000</f>
        <v>0.10812814056658274</v>
      </c>
      <c r="K119" s="165">
        <f>IF(Tbl_HPGeneralCalcs[[#This Row],[Temperature, °F]]&lt;=RESISTANCE_HEAT_THRESHOLD,1,IF($H$33+$H$34*Tbl_HPGeneralCalcs[[#This Row],[Temperature, °F]]&lt;1,1,($H$33+$H$34*Tbl_HPGeneralCalcs[[#This Row],[Temperature, °F]])*INPUT_HEATPUMP_EFFICIENCY_FACTOR))</f>
        <v>1.9349999999999998</v>
      </c>
      <c r="L119" s="165">
        <f>KWH_PER_BTU*Tbl_HPGeneralCalcs[[#This Row],[heating load (Btu)]]/Tbl_HPGeneralCalcs[[#This Row],[COP - DMSHP]]</f>
        <v>1.6377542791149453</v>
      </c>
      <c r="M119" s="165">
        <f>HPFUELCALC_REF_DMSHPFAN*HPFUELCALC_REF_DMSHPFAN_CF*Tbl_HPGeneralCalcs[[#This Row],[Number of hours]]</f>
        <v>8</v>
      </c>
      <c r="N119" s="165">
        <f>Tbl_HPGeneralCalcs[[#This Row],[heating load (Btu)]]/HPFUELCALC_REF_AFUE/100000</f>
        <v>0.10812814056658274</v>
      </c>
    </row>
    <row r="120" spans="2:14" x14ac:dyDescent="0.2">
      <c r="B120" s="16"/>
      <c r="C120" s="164">
        <v>4</v>
      </c>
      <c r="D120" s="164">
        <v>0</v>
      </c>
      <c r="E120" s="164">
        <f>IF((65-Tbl_HPGeneralCalcs[[#This Row],[Temperature, °F]])*Tbl_HPGeneralCalcs[[#This Row],[Number of hours]]&lt;0,0,(65-Tbl_HPGeneralCalcs[[#This Row],[Temperature, °F]])*Tbl_HPGeneralCalcs[[#This Row],[Number of hours]])</f>
        <v>0</v>
      </c>
      <c r="F120" s="164">
        <f>(Tbl_HPGeneralCalcs[[#This Row],[Heating-degree hours (MMBtu)]]/SUM(Tbl_HPGeneralCalcs[Heating-degree hours (MMBtu)]))*$S$30*10^6</f>
        <v>0</v>
      </c>
      <c r="G120" s="164">
        <f>IF(Tbl_HPGeneralCalcs[[#This Row],[Temperature, °F]]&lt;=RESISTANCE_HEAT_THRESHOLD,1,IF($D$33+$D$34*Tbl_HPGeneralCalcs[[#This Row],[Temperature, °F]]&lt;1,1,($D$33+$D$34*Tbl_HPGeneralCalcs[[#This Row],[Temperature, °F]])*INPUT_HEATPUMP_EFFICIENCY_FACTOR))</f>
        <v>1.8489</v>
      </c>
      <c r="H120" s="165">
        <f>KWH_PER_BTU*Tbl_HPGeneralCalcs[[#This Row],[heating load (Btu)]]/Tbl_HPGeneralCalcs[[#This Row],[COP - CHP]]</f>
        <v>0</v>
      </c>
      <c r="I120" s="165">
        <f>HPFUELCALC_REF_FUELPOWER_KW*HPFUELCALC_REF_FUELPOWER_CF*Tbl_HPGeneralCalcs[[#This Row],[Number of hours]]</f>
        <v>0</v>
      </c>
      <c r="J120" s="165">
        <f>Tbl_HPGeneralCalcs[[#This Row],[heating load (Btu)]]/HPFUELCALC_REF_AFUE/100000</f>
        <v>0</v>
      </c>
      <c r="K120" s="165">
        <f>IF(Tbl_HPGeneralCalcs[[#This Row],[Temperature, °F]]&lt;=RESISTANCE_HEAT_THRESHOLD,1,IF($H$33+$H$34*Tbl_HPGeneralCalcs[[#This Row],[Temperature, °F]]&lt;1,1,($H$33+$H$34*Tbl_HPGeneralCalcs[[#This Row],[Temperature, °F]])*INPUT_HEATPUMP_EFFICIENCY_FACTOR))</f>
        <v>1.9621999999999999</v>
      </c>
      <c r="L120" s="165">
        <f>KWH_PER_BTU*Tbl_HPGeneralCalcs[[#This Row],[heating load (Btu)]]/Tbl_HPGeneralCalcs[[#This Row],[COP - DMSHP]]</f>
        <v>0</v>
      </c>
      <c r="M120" s="165">
        <f>HPFUELCALC_REF_DMSHPFAN*HPFUELCALC_REF_DMSHPFAN_CF*Tbl_HPGeneralCalcs[[#This Row],[Number of hours]]</f>
        <v>0</v>
      </c>
      <c r="N120" s="165">
        <f>Tbl_HPGeneralCalcs[[#This Row],[heating load (Btu)]]/HPFUELCALC_REF_AFUE/100000</f>
        <v>0</v>
      </c>
    </row>
    <row r="121" spans="2:14" x14ac:dyDescent="0.2">
      <c r="B121" s="16"/>
      <c r="C121" s="164">
        <v>5</v>
      </c>
      <c r="D121" s="164">
        <v>30</v>
      </c>
      <c r="E121" s="164">
        <f>IF((65-Tbl_HPGeneralCalcs[[#This Row],[Temperature, °F]])*Tbl_HPGeneralCalcs[[#This Row],[Number of hours]]&lt;0,0,(65-Tbl_HPGeneralCalcs[[#This Row],[Temperature, °F]])*Tbl_HPGeneralCalcs[[#This Row],[Number of hours]])</f>
        <v>1800</v>
      </c>
      <c r="F121" s="164">
        <f>(Tbl_HPGeneralCalcs[[#This Row],[Heating-degree hours (MMBtu)]]/SUM(Tbl_HPGeneralCalcs[Heating-degree hours (MMBtu)]))*$S$30*10^6</f>
        <v>9810.0127530165792</v>
      </c>
      <c r="G121" s="164">
        <f>IF(Tbl_HPGeneralCalcs[[#This Row],[Temperature, °F]]&lt;=RESISTANCE_HEAT_THRESHOLD,1,IF($D$33+$D$34*Tbl_HPGeneralCalcs[[#This Row],[Temperature, °F]]&lt;1,1,($D$33+$D$34*Tbl_HPGeneralCalcs[[#This Row],[Temperature, °F]])*INPUT_HEATPUMP_EFFICIENCY_FACTOR))</f>
        <v>1.8941999999999999</v>
      </c>
      <c r="H121" s="165">
        <f>KWH_PER_BTU*Tbl_HPGeneralCalcs[[#This Row],[heating load (Btu)]]/Tbl_HPGeneralCalcs[[#This Row],[COP - CHP]]</f>
        <v>1.5178704884981431</v>
      </c>
      <c r="I121" s="165">
        <f>HPFUELCALC_REF_FUELPOWER_KW*HPFUELCALC_REF_FUELPOWER_CF*Tbl_HPGeneralCalcs[[#This Row],[Number of hours]]</f>
        <v>7.5</v>
      </c>
      <c r="J121" s="165">
        <f>Tbl_HPGeneralCalcs[[#This Row],[heating load (Btu)]]/HPFUELCALC_REF_AFUE/100000</f>
        <v>9.8100127530165795E-2</v>
      </c>
      <c r="K121" s="165">
        <f>IF(Tbl_HPGeneralCalcs[[#This Row],[Temperature, °F]]&lt;=RESISTANCE_HEAT_THRESHOLD,1,IF($H$33+$H$34*Tbl_HPGeneralCalcs[[#This Row],[Temperature, °F]]&lt;1,1,($H$33+$H$34*Tbl_HPGeneralCalcs[[#This Row],[Temperature, °F]])*INPUT_HEATPUMP_EFFICIENCY_FACTOR))</f>
        <v>1.9893999999999998</v>
      </c>
      <c r="L121" s="165">
        <f>KWH_PER_BTU*Tbl_HPGeneralCalcs[[#This Row],[heating load (Btu)]]/Tbl_HPGeneralCalcs[[#This Row],[COP - DMSHP]]</f>
        <v>1.4452348845446781</v>
      </c>
      <c r="M121" s="165">
        <f>HPFUELCALC_REF_DMSHPFAN*HPFUELCALC_REF_DMSHPFAN_CF*Tbl_HPGeneralCalcs[[#This Row],[Number of hours]]</f>
        <v>7.5</v>
      </c>
      <c r="N121" s="165">
        <f>Tbl_HPGeneralCalcs[[#This Row],[heating load (Btu)]]/HPFUELCALC_REF_AFUE/100000</f>
        <v>9.8100127530165795E-2</v>
      </c>
    </row>
    <row r="122" spans="2:14" x14ac:dyDescent="0.2">
      <c r="B122" s="16"/>
      <c r="C122" s="164">
        <v>6</v>
      </c>
      <c r="D122" s="164">
        <v>39</v>
      </c>
      <c r="E122" s="164">
        <f>IF((65-Tbl_HPGeneralCalcs[[#This Row],[Temperature, °F]])*Tbl_HPGeneralCalcs[[#This Row],[Number of hours]]&lt;0,0,(65-Tbl_HPGeneralCalcs[[#This Row],[Temperature, °F]])*Tbl_HPGeneralCalcs[[#This Row],[Number of hours]])</f>
        <v>2301</v>
      </c>
      <c r="F122" s="164">
        <f>(Tbl_HPGeneralCalcs[[#This Row],[Heating-degree hours (MMBtu)]]/SUM(Tbl_HPGeneralCalcs[Heating-degree hours (MMBtu)]))*$S$30*10^6</f>
        <v>12540.466302606193</v>
      </c>
      <c r="G122" s="164">
        <f>IF(Tbl_HPGeneralCalcs[[#This Row],[Temperature, °F]]&lt;=RESISTANCE_HEAT_THRESHOLD,1,IF($D$33+$D$34*Tbl_HPGeneralCalcs[[#This Row],[Temperature, °F]]&lt;1,1,($D$33+$D$34*Tbl_HPGeneralCalcs[[#This Row],[Temperature, °F]])*INPUT_HEATPUMP_EFFICIENCY_FACTOR))</f>
        <v>1.9395</v>
      </c>
      <c r="H122" s="165">
        <f>KWH_PER_BTU*Tbl_HPGeneralCalcs[[#This Row],[heating load (Btu)]]/Tbl_HPGeneralCalcs[[#This Row],[COP - CHP]]</f>
        <v>1.8950247179111548</v>
      </c>
      <c r="I122" s="165">
        <f>HPFUELCALC_REF_FUELPOWER_KW*HPFUELCALC_REF_FUELPOWER_CF*Tbl_HPGeneralCalcs[[#This Row],[Number of hours]]</f>
        <v>9.75</v>
      </c>
      <c r="J122" s="165">
        <f>Tbl_HPGeneralCalcs[[#This Row],[heating load (Btu)]]/HPFUELCALC_REF_AFUE/100000</f>
        <v>0.12540466302606193</v>
      </c>
      <c r="K122" s="165">
        <f>IF(Tbl_HPGeneralCalcs[[#This Row],[Temperature, °F]]&lt;=RESISTANCE_HEAT_THRESHOLD,1,IF($H$33+$H$34*Tbl_HPGeneralCalcs[[#This Row],[Temperature, °F]]&lt;1,1,($H$33+$H$34*Tbl_HPGeneralCalcs[[#This Row],[Temperature, °F]])*INPUT_HEATPUMP_EFFICIENCY_FACTOR))</f>
        <v>2.0165999999999999</v>
      </c>
      <c r="L122" s="165">
        <f>KWH_PER_BTU*Tbl_HPGeneralCalcs[[#This Row],[heating load (Btu)]]/Tbl_HPGeneralCalcs[[#This Row],[COP - DMSHP]]</f>
        <v>1.8225728654114277</v>
      </c>
      <c r="M122" s="165">
        <f>HPFUELCALC_REF_DMSHPFAN*HPFUELCALC_REF_DMSHPFAN_CF*Tbl_HPGeneralCalcs[[#This Row],[Number of hours]]</f>
        <v>9.75</v>
      </c>
      <c r="N122" s="165">
        <f>Tbl_HPGeneralCalcs[[#This Row],[heating load (Btu)]]/HPFUELCALC_REF_AFUE/100000</f>
        <v>0.12540466302606193</v>
      </c>
    </row>
    <row r="123" spans="2:14" x14ac:dyDescent="0.2">
      <c r="B123" s="16"/>
      <c r="C123" s="164">
        <v>7</v>
      </c>
      <c r="D123" s="164">
        <v>0</v>
      </c>
      <c r="E123" s="164">
        <f>IF((65-Tbl_HPGeneralCalcs[[#This Row],[Temperature, °F]])*Tbl_HPGeneralCalcs[[#This Row],[Number of hours]]&lt;0,0,(65-Tbl_HPGeneralCalcs[[#This Row],[Temperature, °F]])*Tbl_HPGeneralCalcs[[#This Row],[Number of hours]])</f>
        <v>0</v>
      </c>
      <c r="F123" s="164">
        <f>(Tbl_HPGeneralCalcs[[#This Row],[Heating-degree hours (MMBtu)]]/SUM(Tbl_HPGeneralCalcs[Heating-degree hours (MMBtu)]))*$S$30*10^6</f>
        <v>0</v>
      </c>
      <c r="G123" s="164">
        <f>IF(Tbl_HPGeneralCalcs[[#This Row],[Temperature, °F]]&lt;=RESISTANCE_HEAT_THRESHOLD,1,IF($D$33+$D$34*Tbl_HPGeneralCalcs[[#This Row],[Temperature, °F]]&lt;1,1,($D$33+$D$34*Tbl_HPGeneralCalcs[[#This Row],[Temperature, °F]])*INPUT_HEATPUMP_EFFICIENCY_FACTOR))</f>
        <v>1.9847999999999999</v>
      </c>
      <c r="H123" s="165">
        <f>KWH_PER_BTU*Tbl_HPGeneralCalcs[[#This Row],[heating load (Btu)]]/Tbl_HPGeneralCalcs[[#This Row],[COP - CHP]]</f>
        <v>0</v>
      </c>
      <c r="I123" s="165">
        <f>HPFUELCALC_REF_FUELPOWER_KW*HPFUELCALC_REF_FUELPOWER_CF*Tbl_HPGeneralCalcs[[#This Row],[Number of hours]]</f>
        <v>0</v>
      </c>
      <c r="J123" s="165">
        <f>Tbl_HPGeneralCalcs[[#This Row],[heating load (Btu)]]/HPFUELCALC_REF_AFUE/100000</f>
        <v>0</v>
      </c>
      <c r="K123" s="165">
        <f>IF(Tbl_HPGeneralCalcs[[#This Row],[Temperature, °F]]&lt;=RESISTANCE_HEAT_THRESHOLD,1,IF($H$33+$H$34*Tbl_HPGeneralCalcs[[#This Row],[Temperature, °F]]&lt;1,1,($H$33+$H$34*Tbl_HPGeneralCalcs[[#This Row],[Temperature, °F]])*INPUT_HEATPUMP_EFFICIENCY_FACTOR))</f>
        <v>2.0438000000000001</v>
      </c>
      <c r="L123" s="165">
        <f>KWH_PER_BTU*Tbl_HPGeneralCalcs[[#This Row],[heating load (Btu)]]/Tbl_HPGeneralCalcs[[#This Row],[COP - DMSHP]]</f>
        <v>0</v>
      </c>
      <c r="M123" s="165">
        <f>HPFUELCALC_REF_DMSHPFAN*HPFUELCALC_REF_DMSHPFAN_CF*Tbl_HPGeneralCalcs[[#This Row],[Number of hours]]</f>
        <v>0</v>
      </c>
      <c r="N123" s="165">
        <f>Tbl_HPGeneralCalcs[[#This Row],[heating load (Btu)]]/HPFUELCALC_REF_AFUE/100000</f>
        <v>0</v>
      </c>
    </row>
    <row r="124" spans="2:14" x14ac:dyDescent="0.2">
      <c r="B124" s="16"/>
      <c r="C124" s="164">
        <v>8</v>
      </c>
      <c r="D124" s="164">
        <v>57</v>
      </c>
      <c r="E124" s="164">
        <f>IF((65-Tbl_HPGeneralCalcs[[#This Row],[Temperature, °F]])*Tbl_HPGeneralCalcs[[#This Row],[Number of hours]]&lt;0,0,(65-Tbl_HPGeneralCalcs[[#This Row],[Temperature, °F]])*Tbl_HPGeneralCalcs[[#This Row],[Number of hours]])</f>
        <v>3249</v>
      </c>
      <c r="F124" s="164">
        <f>(Tbl_HPGeneralCalcs[[#This Row],[Heating-degree hours (MMBtu)]]/SUM(Tbl_HPGeneralCalcs[Heating-degree hours (MMBtu)]))*$S$30*10^6</f>
        <v>17707.073019194922</v>
      </c>
      <c r="G124" s="164">
        <f>IF(Tbl_HPGeneralCalcs[[#This Row],[Temperature, °F]]&lt;=RESISTANCE_HEAT_THRESHOLD,1,IF($D$33+$D$34*Tbl_HPGeneralCalcs[[#This Row],[Temperature, °F]]&lt;1,1,($D$33+$D$34*Tbl_HPGeneralCalcs[[#This Row],[Temperature, °F]])*INPUT_HEATPUMP_EFFICIENCY_FACTOR))</f>
        <v>2.0301</v>
      </c>
      <c r="H124" s="165">
        <f>KWH_PER_BTU*Tbl_HPGeneralCalcs[[#This Row],[heating load (Btu)]]/Tbl_HPGeneralCalcs[[#This Row],[COP - CHP]]</f>
        <v>2.5563500586967605</v>
      </c>
      <c r="I124" s="165">
        <f>HPFUELCALC_REF_FUELPOWER_KW*HPFUELCALC_REF_FUELPOWER_CF*Tbl_HPGeneralCalcs[[#This Row],[Number of hours]]</f>
        <v>14.25</v>
      </c>
      <c r="J124" s="165">
        <f>Tbl_HPGeneralCalcs[[#This Row],[heating load (Btu)]]/HPFUELCALC_REF_AFUE/100000</f>
        <v>0.17707073019194922</v>
      </c>
      <c r="K124" s="165">
        <f>IF(Tbl_HPGeneralCalcs[[#This Row],[Temperature, °F]]&lt;=RESISTANCE_HEAT_THRESHOLD,1,IF($H$33+$H$34*Tbl_HPGeneralCalcs[[#This Row],[Temperature, °F]]&lt;1,1,($H$33+$H$34*Tbl_HPGeneralCalcs[[#This Row],[Temperature, °F]])*INPUT_HEATPUMP_EFFICIENCY_FACTOR))</f>
        <v>2.0709999999999997</v>
      </c>
      <c r="L124" s="165">
        <f>KWH_PER_BTU*Tbl_HPGeneralCalcs[[#This Row],[heating load (Btu)]]/Tbl_HPGeneralCalcs[[#This Row],[COP - DMSHP]]</f>
        <v>2.5058649223371772</v>
      </c>
      <c r="M124" s="165">
        <f>HPFUELCALC_REF_DMSHPFAN*HPFUELCALC_REF_DMSHPFAN_CF*Tbl_HPGeneralCalcs[[#This Row],[Number of hours]]</f>
        <v>14.25</v>
      </c>
      <c r="N124" s="165">
        <f>Tbl_HPGeneralCalcs[[#This Row],[heating load (Btu)]]/HPFUELCALC_REF_AFUE/100000</f>
        <v>0.17707073019194922</v>
      </c>
    </row>
    <row r="125" spans="2:14" x14ac:dyDescent="0.2">
      <c r="B125" s="16"/>
      <c r="C125" s="164">
        <v>9</v>
      </c>
      <c r="D125" s="164">
        <v>0</v>
      </c>
      <c r="E125" s="164">
        <f>IF((65-Tbl_HPGeneralCalcs[[#This Row],[Temperature, °F]])*Tbl_HPGeneralCalcs[[#This Row],[Number of hours]]&lt;0,0,(65-Tbl_HPGeneralCalcs[[#This Row],[Temperature, °F]])*Tbl_HPGeneralCalcs[[#This Row],[Number of hours]])</f>
        <v>0</v>
      </c>
      <c r="F125" s="164">
        <f>(Tbl_HPGeneralCalcs[[#This Row],[Heating-degree hours (MMBtu)]]/SUM(Tbl_HPGeneralCalcs[Heating-degree hours (MMBtu)]))*$S$30*10^6</f>
        <v>0</v>
      </c>
      <c r="G125" s="164">
        <f>IF(Tbl_HPGeneralCalcs[[#This Row],[Temperature, °F]]&lt;=RESISTANCE_HEAT_THRESHOLD,1,IF($D$33+$D$34*Tbl_HPGeneralCalcs[[#This Row],[Temperature, °F]]&lt;1,1,($D$33+$D$34*Tbl_HPGeneralCalcs[[#This Row],[Temperature, °F]])*INPUT_HEATPUMP_EFFICIENCY_FACTOR))</f>
        <v>2.0754000000000001</v>
      </c>
      <c r="H125" s="165">
        <f>KWH_PER_BTU*Tbl_HPGeneralCalcs[[#This Row],[heating load (Btu)]]/Tbl_HPGeneralCalcs[[#This Row],[COP - CHP]]</f>
        <v>0</v>
      </c>
      <c r="I125" s="165">
        <f>HPFUELCALC_REF_FUELPOWER_KW*HPFUELCALC_REF_FUELPOWER_CF*Tbl_HPGeneralCalcs[[#This Row],[Number of hours]]</f>
        <v>0</v>
      </c>
      <c r="J125" s="165">
        <f>Tbl_HPGeneralCalcs[[#This Row],[heating load (Btu)]]/HPFUELCALC_REF_AFUE/100000</f>
        <v>0</v>
      </c>
      <c r="K125" s="165">
        <f>IF(Tbl_HPGeneralCalcs[[#This Row],[Temperature, °F]]&lt;=RESISTANCE_HEAT_THRESHOLD,1,IF($H$33+$H$34*Tbl_HPGeneralCalcs[[#This Row],[Temperature, °F]]&lt;1,1,($H$33+$H$34*Tbl_HPGeneralCalcs[[#This Row],[Temperature, °F]])*INPUT_HEATPUMP_EFFICIENCY_FACTOR))</f>
        <v>2.0981999999999998</v>
      </c>
      <c r="L125" s="165">
        <f>KWH_PER_BTU*Tbl_HPGeneralCalcs[[#This Row],[heating load (Btu)]]/Tbl_HPGeneralCalcs[[#This Row],[COP - DMSHP]]</f>
        <v>0</v>
      </c>
      <c r="M125" s="165">
        <f>HPFUELCALC_REF_DMSHPFAN*HPFUELCALC_REF_DMSHPFAN_CF*Tbl_HPGeneralCalcs[[#This Row],[Number of hours]]</f>
        <v>0</v>
      </c>
      <c r="N125" s="165">
        <f>Tbl_HPGeneralCalcs[[#This Row],[heating load (Btu)]]/HPFUELCALC_REF_AFUE/100000</f>
        <v>0</v>
      </c>
    </row>
    <row r="126" spans="2:14" x14ac:dyDescent="0.2">
      <c r="B126" s="16"/>
      <c r="C126" s="164">
        <v>10</v>
      </c>
      <c r="D126" s="164">
        <v>85</v>
      </c>
      <c r="E126" s="164">
        <f>IF((65-Tbl_HPGeneralCalcs[[#This Row],[Temperature, °F]])*Tbl_HPGeneralCalcs[[#This Row],[Number of hours]]&lt;0,0,(65-Tbl_HPGeneralCalcs[[#This Row],[Temperature, °F]])*Tbl_HPGeneralCalcs[[#This Row],[Number of hours]])</f>
        <v>4675</v>
      </c>
      <c r="F126" s="164">
        <f>(Tbl_HPGeneralCalcs[[#This Row],[Heating-degree hours (MMBtu)]]/SUM(Tbl_HPGeneralCalcs[Heating-degree hours (MMBtu)]))*$S$30*10^6</f>
        <v>25478.783122418059</v>
      </c>
      <c r="G126" s="164">
        <f>IF(Tbl_HPGeneralCalcs[[#This Row],[Temperature, °F]]&lt;=RESISTANCE_HEAT_THRESHOLD,1,IF($D$33+$D$34*Tbl_HPGeneralCalcs[[#This Row],[Temperature, °F]]&lt;1,1,($D$33+$D$34*Tbl_HPGeneralCalcs[[#This Row],[Temperature, °F]])*INPUT_HEATPUMP_EFFICIENCY_FACTOR))</f>
        <v>2.1206999999999998</v>
      </c>
      <c r="H126" s="165">
        <f>KWH_PER_BTU*Tbl_HPGeneralCalcs[[#This Row],[heating load (Btu)]]/Tbl_HPGeneralCalcs[[#This Row],[COP - CHP]]</f>
        <v>3.5211978109400799</v>
      </c>
      <c r="I126" s="165">
        <f>HPFUELCALC_REF_FUELPOWER_KW*HPFUELCALC_REF_FUELPOWER_CF*Tbl_HPGeneralCalcs[[#This Row],[Number of hours]]</f>
        <v>21.25</v>
      </c>
      <c r="J126" s="165">
        <f>Tbl_HPGeneralCalcs[[#This Row],[heating load (Btu)]]/HPFUELCALC_REF_AFUE/100000</f>
        <v>0.25478783122418058</v>
      </c>
      <c r="K126" s="165">
        <f>IF(Tbl_HPGeneralCalcs[[#This Row],[Temperature, °F]]&lt;=RESISTANCE_HEAT_THRESHOLD,1,IF($H$33+$H$34*Tbl_HPGeneralCalcs[[#This Row],[Temperature, °F]]&lt;1,1,($H$33+$H$34*Tbl_HPGeneralCalcs[[#This Row],[Temperature, °F]])*INPUT_HEATPUMP_EFFICIENCY_FACTOR))</f>
        <v>2.1254</v>
      </c>
      <c r="L126" s="165">
        <f>KWH_PER_BTU*Tbl_HPGeneralCalcs[[#This Row],[heating load (Btu)]]/Tbl_HPGeneralCalcs[[#This Row],[COP - DMSHP]]</f>
        <v>3.5134112156114741</v>
      </c>
      <c r="M126" s="165">
        <f>HPFUELCALC_REF_DMSHPFAN*HPFUELCALC_REF_DMSHPFAN_CF*Tbl_HPGeneralCalcs[[#This Row],[Number of hours]]</f>
        <v>21.25</v>
      </c>
      <c r="N126" s="165">
        <f>Tbl_HPGeneralCalcs[[#This Row],[heating load (Btu)]]/HPFUELCALC_REF_AFUE/100000</f>
        <v>0.25478783122418058</v>
      </c>
    </row>
    <row r="127" spans="2:14" x14ac:dyDescent="0.2">
      <c r="B127" s="16"/>
      <c r="C127" s="164">
        <v>11</v>
      </c>
      <c r="D127" s="164">
        <v>0</v>
      </c>
      <c r="E127" s="164">
        <f>IF((65-Tbl_HPGeneralCalcs[[#This Row],[Temperature, °F]])*Tbl_HPGeneralCalcs[[#This Row],[Number of hours]]&lt;0,0,(65-Tbl_HPGeneralCalcs[[#This Row],[Temperature, °F]])*Tbl_HPGeneralCalcs[[#This Row],[Number of hours]])</f>
        <v>0</v>
      </c>
      <c r="F127" s="164">
        <f>(Tbl_HPGeneralCalcs[[#This Row],[Heating-degree hours (MMBtu)]]/SUM(Tbl_HPGeneralCalcs[Heating-degree hours (MMBtu)]))*$S$30*10^6</f>
        <v>0</v>
      </c>
      <c r="G127" s="164">
        <f>IF(Tbl_HPGeneralCalcs[[#This Row],[Temperature, °F]]&lt;=RESISTANCE_HEAT_THRESHOLD,1,IF($D$33+$D$34*Tbl_HPGeneralCalcs[[#This Row],[Temperature, °F]]&lt;1,1,($D$33+$D$34*Tbl_HPGeneralCalcs[[#This Row],[Temperature, °F]])*INPUT_HEATPUMP_EFFICIENCY_FACTOR))</f>
        <v>2.1659999999999999</v>
      </c>
      <c r="H127" s="165">
        <f>KWH_PER_BTU*Tbl_HPGeneralCalcs[[#This Row],[heating load (Btu)]]/Tbl_HPGeneralCalcs[[#This Row],[COP - CHP]]</f>
        <v>0</v>
      </c>
      <c r="I127" s="165">
        <f>HPFUELCALC_REF_FUELPOWER_KW*HPFUELCALC_REF_FUELPOWER_CF*Tbl_HPGeneralCalcs[[#This Row],[Number of hours]]</f>
        <v>0</v>
      </c>
      <c r="J127" s="165">
        <f>Tbl_HPGeneralCalcs[[#This Row],[heating load (Btu)]]/HPFUELCALC_REF_AFUE/100000</f>
        <v>0</v>
      </c>
      <c r="K127" s="165">
        <f>IF(Tbl_HPGeneralCalcs[[#This Row],[Temperature, °F]]&lt;=RESISTANCE_HEAT_THRESHOLD,1,IF($H$33+$H$34*Tbl_HPGeneralCalcs[[#This Row],[Temperature, °F]]&lt;1,1,($H$33+$H$34*Tbl_HPGeneralCalcs[[#This Row],[Temperature, °F]])*INPUT_HEATPUMP_EFFICIENCY_FACTOR))</f>
        <v>2.1526000000000001</v>
      </c>
      <c r="L127" s="165">
        <f>KWH_PER_BTU*Tbl_HPGeneralCalcs[[#This Row],[heating load (Btu)]]/Tbl_HPGeneralCalcs[[#This Row],[COP - DMSHP]]</f>
        <v>0</v>
      </c>
      <c r="M127" s="165">
        <f>HPFUELCALC_REF_DMSHPFAN*HPFUELCALC_REF_DMSHPFAN_CF*Tbl_HPGeneralCalcs[[#This Row],[Number of hours]]</f>
        <v>0</v>
      </c>
      <c r="N127" s="165">
        <f>Tbl_HPGeneralCalcs[[#This Row],[heating load (Btu)]]/HPFUELCALC_REF_AFUE/100000</f>
        <v>0</v>
      </c>
    </row>
    <row r="128" spans="2:14" x14ac:dyDescent="0.2">
      <c r="B128" s="16"/>
      <c r="C128" s="164">
        <v>12</v>
      </c>
      <c r="D128" s="164">
        <v>82</v>
      </c>
      <c r="E128" s="164">
        <f>IF((65-Tbl_HPGeneralCalcs[[#This Row],[Temperature, °F]])*Tbl_HPGeneralCalcs[[#This Row],[Number of hours]]&lt;0,0,(65-Tbl_HPGeneralCalcs[[#This Row],[Temperature, °F]])*Tbl_HPGeneralCalcs[[#This Row],[Number of hours]])</f>
        <v>4346</v>
      </c>
      <c r="F128" s="164">
        <f>(Tbl_HPGeneralCalcs[[#This Row],[Heating-degree hours (MMBtu)]]/SUM(Tbl_HPGeneralCalcs[Heating-degree hours (MMBtu)]))*$S$30*10^6</f>
        <v>23685.730791450031</v>
      </c>
      <c r="G128" s="164">
        <f>IF(Tbl_HPGeneralCalcs[[#This Row],[Temperature, °F]]&lt;=RESISTANCE_HEAT_THRESHOLD,1,IF($D$33+$D$34*Tbl_HPGeneralCalcs[[#This Row],[Temperature, °F]]&lt;1,1,($D$33+$D$34*Tbl_HPGeneralCalcs[[#This Row],[Temperature, °F]])*INPUT_HEATPUMP_EFFICIENCY_FACTOR))</f>
        <v>2.2113</v>
      </c>
      <c r="H128" s="165">
        <f>KWH_PER_BTU*Tbl_HPGeneralCalcs[[#This Row],[heating load (Btu)]]/Tbl_HPGeneralCalcs[[#This Row],[COP - CHP]]</f>
        <v>3.1392803413515153</v>
      </c>
      <c r="I128" s="165">
        <f>HPFUELCALC_REF_FUELPOWER_KW*HPFUELCALC_REF_FUELPOWER_CF*Tbl_HPGeneralCalcs[[#This Row],[Number of hours]]</f>
        <v>20.5</v>
      </c>
      <c r="J128" s="165">
        <f>Tbl_HPGeneralCalcs[[#This Row],[heating load (Btu)]]/HPFUELCALC_REF_AFUE/100000</f>
        <v>0.2368573079145003</v>
      </c>
      <c r="K128" s="165">
        <f>IF(Tbl_HPGeneralCalcs[[#This Row],[Temperature, °F]]&lt;=RESISTANCE_HEAT_THRESHOLD,1,IF($H$33+$H$34*Tbl_HPGeneralCalcs[[#This Row],[Temperature, °F]]&lt;1,1,($H$33+$H$34*Tbl_HPGeneralCalcs[[#This Row],[Temperature, °F]])*INPUT_HEATPUMP_EFFICIENCY_FACTOR))</f>
        <v>2.1797999999999997</v>
      </c>
      <c r="L128" s="165">
        <f>KWH_PER_BTU*Tbl_HPGeneralCalcs[[#This Row],[heating load (Btu)]]/Tbl_HPGeneralCalcs[[#This Row],[COP - DMSHP]]</f>
        <v>3.1846456642034164</v>
      </c>
      <c r="M128" s="165">
        <f>HPFUELCALC_REF_DMSHPFAN*HPFUELCALC_REF_DMSHPFAN_CF*Tbl_HPGeneralCalcs[[#This Row],[Number of hours]]</f>
        <v>20.5</v>
      </c>
      <c r="N128" s="165">
        <f>Tbl_HPGeneralCalcs[[#This Row],[heating load (Btu)]]/HPFUELCALC_REF_AFUE/100000</f>
        <v>0.2368573079145003</v>
      </c>
    </row>
    <row r="129" spans="2:14" x14ac:dyDescent="0.2">
      <c r="B129" s="16"/>
      <c r="C129" s="164">
        <v>13</v>
      </c>
      <c r="D129" s="164">
        <v>1</v>
      </c>
      <c r="E129" s="164">
        <f>IF((65-Tbl_HPGeneralCalcs[[#This Row],[Temperature, °F]])*Tbl_HPGeneralCalcs[[#This Row],[Number of hours]]&lt;0,0,(65-Tbl_HPGeneralCalcs[[#This Row],[Temperature, °F]])*Tbl_HPGeneralCalcs[[#This Row],[Number of hours]])</f>
        <v>52</v>
      </c>
      <c r="F129" s="164">
        <f>(Tbl_HPGeneralCalcs[[#This Row],[Heating-degree hours (MMBtu)]]/SUM(Tbl_HPGeneralCalcs[Heating-degree hours (MMBtu)]))*$S$30*10^6</f>
        <v>283.40036842047897</v>
      </c>
      <c r="G129" s="164">
        <f>IF(Tbl_HPGeneralCalcs[[#This Row],[Temperature, °F]]&lt;=RESISTANCE_HEAT_THRESHOLD,1,IF($D$33+$D$34*Tbl_HPGeneralCalcs[[#This Row],[Temperature, °F]]&lt;1,1,($D$33+$D$34*Tbl_HPGeneralCalcs[[#This Row],[Temperature, °F]])*INPUT_HEATPUMP_EFFICIENCY_FACTOR))</f>
        <v>2.2565999999999997</v>
      </c>
      <c r="H129" s="165">
        <f>KWH_PER_BTU*Tbl_HPGeneralCalcs[[#This Row],[heating load (Btu)]]/Tbl_HPGeneralCalcs[[#This Row],[COP - CHP]]</f>
        <v>3.6807540972230969E-2</v>
      </c>
      <c r="I129" s="165">
        <f>HPFUELCALC_REF_FUELPOWER_KW*HPFUELCALC_REF_FUELPOWER_CF*Tbl_HPGeneralCalcs[[#This Row],[Number of hours]]</f>
        <v>0.25</v>
      </c>
      <c r="J129" s="165">
        <f>Tbl_HPGeneralCalcs[[#This Row],[heating load (Btu)]]/HPFUELCALC_REF_AFUE/100000</f>
        <v>2.8340036842047895E-3</v>
      </c>
      <c r="K129" s="165">
        <f>IF(Tbl_HPGeneralCalcs[[#This Row],[Temperature, °F]]&lt;=RESISTANCE_HEAT_THRESHOLD,1,IF($H$33+$H$34*Tbl_HPGeneralCalcs[[#This Row],[Temperature, °F]]&lt;1,1,($H$33+$H$34*Tbl_HPGeneralCalcs[[#This Row],[Temperature, °F]])*INPUT_HEATPUMP_EFFICIENCY_FACTOR))</f>
        <v>2.2069999999999999</v>
      </c>
      <c r="L129" s="165">
        <f>KWH_PER_BTU*Tbl_HPGeneralCalcs[[#This Row],[heating load (Btu)]]/Tbl_HPGeneralCalcs[[#This Row],[COP - DMSHP]]</f>
        <v>3.7634751680079924E-2</v>
      </c>
      <c r="M129" s="165">
        <f>HPFUELCALC_REF_DMSHPFAN*HPFUELCALC_REF_DMSHPFAN_CF*Tbl_HPGeneralCalcs[[#This Row],[Number of hours]]</f>
        <v>0.25</v>
      </c>
      <c r="N129" s="165">
        <f>Tbl_HPGeneralCalcs[[#This Row],[heating load (Btu)]]/HPFUELCALC_REF_AFUE/100000</f>
        <v>2.8340036842047895E-3</v>
      </c>
    </row>
    <row r="130" spans="2:14" x14ac:dyDescent="0.2">
      <c r="B130" s="16"/>
      <c r="C130" s="164">
        <v>14</v>
      </c>
      <c r="D130" s="164">
        <v>51</v>
      </c>
      <c r="E130" s="164">
        <f>IF((65-Tbl_HPGeneralCalcs[[#This Row],[Temperature, °F]])*Tbl_HPGeneralCalcs[[#This Row],[Number of hours]]&lt;0,0,(65-Tbl_HPGeneralCalcs[[#This Row],[Temperature, °F]])*Tbl_HPGeneralCalcs[[#This Row],[Number of hours]])</f>
        <v>2601</v>
      </c>
      <c r="F130" s="164">
        <f>(Tbl_HPGeneralCalcs[[#This Row],[Heating-degree hours (MMBtu)]]/SUM(Tbl_HPGeneralCalcs[Heating-degree hours (MMBtu)]))*$S$30*10^6</f>
        <v>14175.468428108956</v>
      </c>
      <c r="G130" s="164">
        <f>IF(Tbl_HPGeneralCalcs[[#This Row],[Temperature, °F]]&lt;=RESISTANCE_HEAT_THRESHOLD,1,IF($D$33+$D$34*Tbl_HPGeneralCalcs[[#This Row],[Temperature, °F]]&lt;1,1,($D$33+$D$34*Tbl_HPGeneralCalcs[[#This Row],[Temperature, °F]])*INPUT_HEATPUMP_EFFICIENCY_FACTOR))</f>
        <v>2.3018999999999998</v>
      </c>
      <c r="H130" s="165">
        <f>KWH_PER_BTU*Tbl_HPGeneralCalcs[[#This Row],[heating load (Btu)]]/Tbl_HPGeneralCalcs[[#This Row],[COP - CHP]]</f>
        <v>1.8048534487195571</v>
      </c>
      <c r="I130" s="165">
        <f>HPFUELCALC_REF_FUELPOWER_KW*HPFUELCALC_REF_FUELPOWER_CF*Tbl_HPGeneralCalcs[[#This Row],[Number of hours]]</f>
        <v>12.75</v>
      </c>
      <c r="J130" s="165">
        <f>Tbl_HPGeneralCalcs[[#This Row],[heating load (Btu)]]/HPFUELCALC_REF_AFUE/100000</f>
        <v>0.14175468428108956</v>
      </c>
      <c r="K130" s="165">
        <f>IF(Tbl_HPGeneralCalcs[[#This Row],[Temperature, °F]]&lt;=RESISTANCE_HEAT_THRESHOLD,1,IF($H$33+$H$34*Tbl_HPGeneralCalcs[[#This Row],[Temperature, °F]]&lt;1,1,($H$33+$H$34*Tbl_HPGeneralCalcs[[#This Row],[Temperature, °F]])*INPUT_HEATPUMP_EFFICIENCY_FACTOR))</f>
        <v>2.2342</v>
      </c>
      <c r="L130" s="165">
        <f>KWH_PER_BTU*Tbl_HPGeneralCalcs[[#This Row],[heating load (Btu)]]/Tbl_HPGeneralCalcs[[#This Row],[COP - DMSHP]]</f>
        <v>1.8595435294993949</v>
      </c>
      <c r="M130" s="165">
        <f>HPFUELCALC_REF_DMSHPFAN*HPFUELCALC_REF_DMSHPFAN_CF*Tbl_HPGeneralCalcs[[#This Row],[Number of hours]]</f>
        <v>12.75</v>
      </c>
      <c r="N130" s="165">
        <f>Tbl_HPGeneralCalcs[[#This Row],[heating load (Btu)]]/HPFUELCALC_REF_AFUE/100000</f>
        <v>0.14175468428108956</v>
      </c>
    </row>
    <row r="131" spans="2:14" x14ac:dyDescent="0.2">
      <c r="B131" s="16"/>
      <c r="C131" s="164">
        <v>15</v>
      </c>
      <c r="D131" s="164">
        <v>101</v>
      </c>
      <c r="E131" s="164">
        <f>IF((65-Tbl_HPGeneralCalcs[[#This Row],[Temperature, °F]])*Tbl_HPGeneralCalcs[[#This Row],[Number of hours]]&lt;0,0,(65-Tbl_HPGeneralCalcs[[#This Row],[Temperature, °F]])*Tbl_HPGeneralCalcs[[#This Row],[Number of hours]])</f>
        <v>5050</v>
      </c>
      <c r="F131" s="164">
        <f>(Tbl_HPGeneralCalcs[[#This Row],[Heating-degree hours (MMBtu)]]/SUM(Tbl_HPGeneralCalcs[Heating-degree hours (MMBtu)]))*$S$30*10^6</f>
        <v>27522.535779296515</v>
      </c>
      <c r="G131" s="164">
        <f>IF(Tbl_HPGeneralCalcs[[#This Row],[Temperature, °F]]&lt;=RESISTANCE_HEAT_THRESHOLD,1,IF($D$33+$D$34*Tbl_HPGeneralCalcs[[#This Row],[Temperature, °F]]&lt;1,1,($D$33+$D$34*Tbl_HPGeneralCalcs[[#This Row],[Temperature, °F]])*INPUT_HEATPUMP_EFFICIENCY_FACTOR))</f>
        <v>2.3472</v>
      </c>
      <c r="H131" s="165">
        <f>KWH_PER_BTU*Tbl_HPGeneralCalcs[[#This Row],[heating load (Btu)]]/Tbl_HPGeneralCalcs[[#This Row],[COP - CHP]]</f>
        <v>3.4366026922223103</v>
      </c>
      <c r="I131" s="165">
        <f>HPFUELCALC_REF_FUELPOWER_KW*HPFUELCALC_REF_FUELPOWER_CF*Tbl_HPGeneralCalcs[[#This Row],[Number of hours]]</f>
        <v>25.25</v>
      </c>
      <c r="J131" s="165">
        <f>Tbl_HPGeneralCalcs[[#This Row],[heating load (Btu)]]/HPFUELCALC_REF_AFUE/100000</f>
        <v>0.27522535779296514</v>
      </c>
      <c r="K131" s="165">
        <f>IF(Tbl_HPGeneralCalcs[[#This Row],[Temperature, °F]]&lt;=RESISTANCE_HEAT_THRESHOLD,1,IF($H$33+$H$34*Tbl_HPGeneralCalcs[[#This Row],[Temperature, °F]]&lt;1,1,($H$33+$H$34*Tbl_HPGeneralCalcs[[#This Row],[Temperature, °F]])*INPUT_HEATPUMP_EFFICIENCY_FACTOR))</f>
        <v>2.2614000000000001</v>
      </c>
      <c r="L131" s="165">
        <f>KWH_PER_BTU*Tbl_HPGeneralCalcs[[#This Row],[heating load (Btu)]]/Tbl_HPGeneralCalcs[[#This Row],[COP - DMSHP]]</f>
        <v>3.5669911732485211</v>
      </c>
      <c r="M131" s="165">
        <f>HPFUELCALC_REF_DMSHPFAN*HPFUELCALC_REF_DMSHPFAN_CF*Tbl_HPGeneralCalcs[[#This Row],[Number of hours]]</f>
        <v>25.25</v>
      </c>
      <c r="N131" s="165">
        <f>Tbl_HPGeneralCalcs[[#This Row],[heating load (Btu)]]/HPFUELCALC_REF_AFUE/100000</f>
        <v>0.27522535779296514</v>
      </c>
    </row>
    <row r="132" spans="2:14" x14ac:dyDescent="0.2">
      <c r="B132" s="16"/>
      <c r="C132" s="164">
        <v>16</v>
      </c>
      <c r="D132" s="164">
        <v>0</v>
      </c>
      <c r="E132" s="164">
        <f>IF((65-Tbl_HPGeneralCalcs[[#This Row],[Temperature, °F]])*Tbl_HPGeneralCalcs[[#This Row],[Number of hours]]&lt;0,0,(65-Tbl_HPGeneralCalcs[[#This Row],[Temperature, °F]])*Tbl_HPGeneralCalcs[[#This Row],[Number of hours]])</f>
        <v>0</v>
      </c>
      <c r="F132" s="164">
        <f>(Tbl_HPGeneralCalcs[[#This Row],[Heating-degree hours (MMBtu)]]/SUM(Tbl_HPGeneralCalcs[Heating-degree hours (MMBtu)]))*$S$30*10^6</f>
        <v>0</v>
      </c>
      <c r="G132" s="164">
        <f>IF(Tbl_HPGeneralCalcs[[#This Row],[Temperature, °F]]&lt;=RESISTANCE_HEAT_THRESHOLD,1,IF($D$33+$D$34*Tbl_HPGeneralCalcs[[#This Row],[Temperature, °F]]&lt;1,1,($D$33+$D$34*Tbl_HPGeneralCalcs[[#This Row],[Temperature, °F]])*INPUT_HEATPUMP_EFFICIENCY_FACTOR))</f>
        <v>2.3925000000000001</v>
      </c>
      <c r="H132" s="165">
        <f>KWH_PER_BTU*Tbl_HPGeneralCalcs[[#This Row],[heating load (Btu)]]/Tbl_HPGeneralCalcs[[#This Row],[COP - CHP]]</f>
        <v>0</v>
      </c>
      <c r="I132" s="165">
        <f>HPFUELCALC_REF_FUELPOWER_KW*HPFUELCALC_REF_FUELPOWER_CF*Tbl_HPGeneralCalcs[[#This Row],[Number of hours]]</f>
        <v>0</v>
      </c>
      <c r="J132" s="165">
        <f>Tbl_HPGeneralCalcs[[#This Row],[heating load (Btu)]]/HPFUELCALC_REF_AFUE/100000</f>
        <v>0</v>
      </c>
      <c r="K132" s="165">
        <f>IF(Tbl_HPGeneralCalcs[[#This Row],[Temperature, °F]]&lt;=RESISTANCE_HEAT_THRESHOLD,1,IF($H$33+$H$34*Tbl_HPGeneralCalcs[[#This Row],[Temperature, °F]]&lt;1,1,($H$33+$H$34*Tbl_HPGeneralCalcs[[#This Row],[Temperature, °F]])*INPUT_HEATPUMP_EFFICIENCY_FACTOR))</f>
        <v>2.2885999999999997</v>
      </c>
      <c r="L132" s="165">
        <f>KWH_PER_BTU*Tbl_HPGeneralCalcs[[#This Row],[heating load (Btu)]]/Tbl_HPGeneralCalcs[[#This Row],[COP - DMSHP]]</f>
        <v>0</v>
      </c>
      <c r="M132" s="165">
        <f>HPFUELCALC_REF_DMSHPFAN*HPFUELCALC_REF_DMSHPFAN_CF*Tbl_HPGeneralCalcs[[#This Row],[Number of hours]]</f>
        <v>0</v>
      </c>
      <c r="N132" s="165">
        <f>Tbl_HPGeneralCalcs[[#This Row],[heating load (Btu)]]/HPFUELCALC_REF_AFUE/100000</f>
        <v>0</v>
      </c>
    </row>
    <row r="133" spans="2:14" x14ac:dyDescent="0.2">
      <c r="B133" s="16"/>
      <c r="C133" s="164">
        <v>17</v>
      </c>
      <c r="D133" s="164">
        <v>137</v>
      </c>
      <c r="E133" s="164">
        <f>IF((65-Tbl_HPGeneralCalcs[[#This Row],[Temperature, °F]])*Tbl_HPGeneralCalcs[[#This Row],[Number of hours]]&lt;0,0,(65-Tbl_HPGeneralCalcs[[#This Row],[Temperature, °F]])*Tbl_HPGeneralCalcs[[#This Row],[Number of hours]])</f>
        <v>6576</v>
      </c>
      <c r="F133" s="164">
        <f>(Tbl_HPGeneralCalcs[[#This Row],[Heating-degree hours (MMBtu)]]/SUM(Tbl_HPGeneralCalcs[Heating-degree hours (MMBtu)]))*$S$30*10^6</f>
        <v>35839.246591020572</v>
      </c>
      <c r="G133" s="164">
        <f>IF(Tbl_HPGeneralCalcs[[#This Row],[Temperature, °F]]&lt;=RESISTANCE_HEAT_THRESHOLD,1,IF($D$33+$D$34*Tbl_HPGeneralCalcs[[#This Row],[Temperature, °F]]&lt;1,1,($D$33+$D$34*Tbl_HPGeneralCalcs[[#This Row],[Temperature, °F]])*INPUT_HEATPUMP_EFFICIENCY_FACTOR))</f>
        <v>2.4378000000000002</v>
      </c>
      <c r="H133" s="165">
        <f>KWH_PER_BTU*Tbl_HPGeneralCalcs[[#This Row],[heating load (Btu)]]/Tbl_HPGeneralCalcs[[#This Row],[COP - CHP]]</f>
        <v>4.3087547599300571</v>
      </c>
      <c r="I133" s="165">
        <f>HPFUELCALC_REF_FUELPOWER_KW*HPFUELCALC_REF_FUELPOWER_CF*Tbl_HPGeneralCalcs[[#This Row],[Number of hours]]</f>
        <v>34.25</v>
      </c>
      <c r="J133" s="165">
        <f>Tbl_HPGeneralCalcs[[#This Row],[heating load (Btu)]]/HPFUELCALC_REF_AFUE/100000</f>
        <v>0.35839246591020574</v>
      </c>
      <c r="K133" s="165">
        <f>IF(Tbl_HPGeneralCalcs[[#This Row],[Temperature, °F]]&lt;=RESISTANCE_HEAT_THRESHOLD,1,IF($H$33+$H$34*Tbl_HPGeneralCalcs[[#This Row],[Temperature, °F]]&lt;1,1,($H$33+$H$34*Tbl_HPGeneralCalcs[[#This Row],[Temperature, °F]])*INPUT_HEATPUMP_EFFICIENCY_FACTOR))</f>
        <v>2.3157999999999999</v>
      </c>
      <c r="L133" s="165">
        <f>KWH_PER_BTU*Tbl_HPGeneralCalcs[[#This Row],[heating load (Btu)]]/Tbl_HPGeneralCalcs[[#This Row],[COP - DMSHP]]</f>
        <v>4.5357467630009038</v>
      </c>
      <c r="M133" s="165">
        <f>HPFUELCALC_REF_DMSHPFAN*HPFUELCALC_REF_DMSHPFAN_CF*Tbl_HPGeneralCalcs[[#This Row],[Number of hours]]</f>
        <v>34.25</v>
      </c>
      <c r="N133" s="165">
        <f>Tbl_HPGeneralCalcs[[#This Row],[heating load (Btu)]]/HPFUELCALC_REF_AFUE/100000</f>
        <v>0.35839246591020574</v>
      </c>
    </row>
    <row r="134" spans="2:14" x14ac:dyDescent="0.2">
      <c r="B134" s="16"/>
      <c r="C134" s="164">
        <v>18</v>
      </c>
      <c r="D134" s="164">
        <v>1</v>
      </c>
      <c r="E134" s="164">
        <f>IF((65-Tbl_HPGeneralCalcs[[#This Row],[Temperature, °F]])*Tbl_HPGeneralCalcs[[#This Row],[Number of hours]]&lt;0,0,(65-Tbl_HPGeneralCalcs[[#This Row],[Temperature, °F]])*Tbl_HPGeneralCalcs[[#This Row],[Number of hours]])</f>
        <v>47</v>
      </c>
      <c r="F134" s="164">
        <f>(Tbl_HPGeneralCalcs[[#This Row],[Heating-degree hours (MMBtu)]]/SUM(Tbl_HPGeneralCalcs[Heating-degree hours (MMBtu)]))*$S$30*10^6</f>
        <v>256.1503329954329</v>
      </c>
      <c r="G134" s="164">
        <f>IF(Tbl_HPGeneralCalcs[[#This Row],[Temperature, °F]]&lt;=RESISTANCE_HEAT_THRESHOLD,1,IF($D$33+$D$34*Tbl_HPGeneralCalcs[[#This Row],[Temperature, °F]]&lt;1,1,($D$33+$D$34*Tbl_HPGeneralCalcs[[#This Row],[Temperature, °F]])*INPUT_HEATPUMP_EFFICIENCY_FACTOR))</f>
        <v>2.4830999999999999</v>
      </c>
      <c r="H134" s="165">
        <f>KWH_PER_BTU*Tbl_HPGeneralCalcs[[#This Row],[heating load (Btu)]]/Tbl_HPGeneralCalcs[[#This Row],[COP - CHP]]</f>
        <v>3.0233727358660006E-2</v>
      </c>
      <c r="I134" s="165">
        <f>HPFUELCALC_REF_FUELPOWER_KW*HPFUELCALC_REF_FUELPOWER_CF*Tbl_HPGeneralCalcs[[#This Row],[Number of hours]]</f>
        <v>0.25</v>
      </c>
      <c r="J134" s="165">
        <f>Tbl_HPGeneralCalcs[[#This Row],[heating load (Btu)]]/HPFUELCALC_REF_AFUE/100000</f>
        <v>2.5615033299543292E-3</v>
      </c>
      <c r="K134" s="165">
        <f>IF(Tbl_HPGeneralCalcs[[#This Row],[Temperature, °F]]&lt;=RESISTANCE_HEAT_THRESHOLD,1,IF($H$33+$H$34*Tbl_HPGeneralCalcs[[#This Row],[Temperature, °F]]&lt;1,1,($H$33+$H$34*Tbl_HPGeneralCalcs[[#This Row],[Temperature, °F]])*INPUT_HEATPUMP_EFFICIENCY_FACTOR))</f>
        <v>2.343</v>
      </c>
      <c r="L134" s="165">
        <f>KWH_PER_BTU*Tbl_HPGeneralCalcs[[#This Row],[heating load (Btu)]]/Tbl_HPGeneralCalcs[[#This Row],[COP - DMSHP]]</f>
        <v>3.2041557150784744E-2</v>
      </c>
      <c r="M134" s="165">
        <f>HPFUELCALC_REF_DMSHPFAN*HPFUELCALC_REF_DMSHPFAN_CF*Tbl_HPGeneralCalcs[[#This Row],[Number of hours]]</f>
        <v>0.25</v>
      </c>
      <c r="N134" s="165">
        <f>Tbl_HPGeneralCalcs[[#This Row],[heating load (Btu)]]/HPFUELCALC_REF_AFUE/100000</f>
        <v>2.5615033299543292E-3</v>
      </c>
    </row>
    <row r="135" spans="2:14" x14ac:dyDescent="0.2">
      <c r="B135" s="16"/>
      <c r="C135" s="164">
        <v>19</v>
      </c>
      <c r="D135" s="164">
        <v>184</v>
      </c>
      <c r="E135" s="164">
        <f>IF((65-Tbl_HPGeneralCalcs[[#This Row],[Temperature, °F]])*Tbl_HPGeneralCalcs[[#This Row],[Number of hours]]&lt;0,0,(65-Tbl_HPGeneralCalcs[[#This Row],[Temperature, °F]])*Tbl_HPGeneralCalcs[[#This Row],[Number of hours]])</f>
        <v>8464</v>
      </c>
      <c r="F135" s="164">
        <f>(Tbl_HPGeneralCalcs[[#This Row],[Heating-degree hours (MMBtu)]]/SUM(Tbl_HPGeneralCalcs[Heating-degree hours (MMBtu)]))*$S$30*10^6</f>
        <v>46128.859967517958</v>
      </c>
      <c r="G135" s="164">
        <f>IF(Tbl_HPGeneralCalcs[[#This Row],[Temperature, °F]]&lt;=RESISTANCE_HEAT_THRESHOLD,1,IF($D$33+$D$34*Tbl_HPGeneralCalcs[[#This Row],[Temperature, °F]]&lt;1,1,($D$33+$D$34*Tbl_HPGeneralCalcs[[#This Row],[Temperature, °F]])*INPUT_HEATPUMP_EFFICIENCY_FACTOR))</f>
        <v>2.5284</v>
      </c>
      <c r="H135" s="165">
        <f>KWH_PER_BTU*Tbl_HPGeneralCalcs[[#This Row],[heating load (Btu)]]/Tbl_HPGeneralCalcs[[#This Row],[COP - CHP]]</f>
        <v>5.3470952126304683</v>
      </c>
      <c r="I135" s="165">
        <f>HPFUELCALC_REF_FUELPOWER_KW*HPFUELCALC_REF_FUELPOWER_CF*Tbl_HPGeneralCalcs[[#This Row],[Number of hours]]</f>
        <v>46</v>
      </c>
      <c r="J135" s="165">
        <f>Tbl_HPGeneralCalcs[[#This Row],[heating load (Btu)]]/HPFUELCALC_REF_AFUE/100000</f>
        <v>0.4612885996751796</v>
      </c>
      <c r="K135" s="165">
        <f>IF(Tbl_HPGeneralCalcs[[#This Row],[Temperature, °F]]&lt;=RESISTANCE_HEAT_THRESHOLD,1,IF($H$33+$H$34*Tbl_HPGeneralCalcs[[#This Row],[Temperature, °F]]&lt;1,1,($H$33+$H$34*Tbl_HPGeneralCalcs[[#This Row],[Temperature, °F]])*INPUT_HEATPUMP_EFFICIENCY_FACTOR))</f>
        <v>2.3701999999999996</v>
      </c>
      <c r="L135" s="165">
        <f>KWH_PER_BTU*Tbl_HPGeneralCalcs[[#This Row],[heating load (Btu)]]/Tbl_HPGeneralCalcs[[#This Row],[COP - DMSHP]]</f>
        <v>5.7039893408213977</v>
      </c>
      <c r="M135" s="165">
        <f>HPFUELCALC_REF_DMSHPFAN*HPFUELCALC_REF_DMSHPFAN_CF*Tbl_HPGeneralCalcs[[#This Row],[Number of hours]]</f>
        <v>46</v>
      </c>
      <c r="N135" s="165">
        <f>Tbl_HPGeneralCalcs[[#This Row],[heating load (Btu)]]/HPFUELCALC_REF_AFUE/100000</f>
        <v>0.4612885996751796</v>
      </c>
    </row>
    <row r="136" spans="2:14" x14ac:dyDescent="0.2">
      <c r="B136" s="16"/>
      <c r="C136" s="164">
        <v>20</v>
      </c>
      <c r="D136" s="164">
        <v>0</v>
      </c>
      <c r="E136" s="164">
        <f>IF((65-Tbl_HPGeneralCalcs[[#This Row],[Temperature, °F]])*Tbl_HPGeneralCalcs[[#This Row],[Number of hours]]&lt;0,0,(65-Tbl_HPGeneralCalcs[[#This Row],[Temperature, °F]])*Tbl_HPGeneralCalcs[[#This Row],[Number of hours]])</f>
        <v>0</v>
      </c>
      <c r="F136" s="164">
        <f>(Tbl_HPGeneralCalcs[[#This Row],[Heating-degree hours (MMBtu)]]/SUM(Tbl_HPGeneralCalcs[Heating-degree hours (MMBtu)]))*$S$30*10^6</f>
        <v>0</v>
      </c>
      <c r="G136" s="164">
        <f>IF(Tbl_HPGeneralCalcs[[#This Row],[Temperature, °F]]&lt;=RESISTANCE_HEAT_THRESHOLD,1,IF($D$33+$D$34*Tbl_HPGeneralCalcs[[#This Row],[Temperature, °F]]&lt;1,1,($D$33+$D$34*Tbl_HPGeneralCalcs[[#This Row],[Temperature, °F]])*INPUT_HEATPUMP_EFFICIENCY_FACTOR))</f>
        <v>2.5737000000000001</v>
      </c>
      <c r="H136" s="165">
        <f>KWH_PER_BTU*Tbl_HPGeneralCalcs[[#This Row],[heating load (Btu)]]/Tbl_HPGeneralCalcs[[#This Row],[COP - CHP]]</f>
        <v>0</v>
      </c>
      <c r="I136" s="165">
        <f>HPFUELCALC_REF_FUELPOWER_KW*HPFUELCALC_REF_FUELPOWER_CF*Tbl_HPGeneralCalcs[[#This Row],[Number of hours]]</f>
        <v>0</v>
      </c>
      <c r="J136" s="165">
        <f>Tbl_HPGeneralCalcs[[#This Row],[heating load (Btu)]]/HPFUELCALC_REF_AFUE/100000</f>
        <v>0</v>
      </c>
      <c r="K136" s="165">
        <f>IF(Tbl_HPGeneralCalcs[[#This Row],[Temperature, °F]]&lt;=RESISTANCE_HEAT_THRESHOLD,1,IF($H$33+$H$34*Tbl_HPGeneralCalcs[[#This Row],[Temperature, °F]]&lt;1,1,($H$33+$H$34*Tbl_HPGeneralCalcs[[#This Row],[Temperature, °F]])*INPUT_HEATPUMP_EFFICIENCY_FACTOR))</f>
        <v>2.3973999999999998</v>
      </c>
      <c r="L136" s="165">
        <f>KWH_PER_BTU*Tbl_HPGeneralCalcs[[#This Row],[heating load (Btu)]]/Tbl_HPGeneralCalcs[[#This Row],[COP - DMSHP]]</f>
        <v>0</v>
      </c>
      <c r="M136" s="165">
        <f>HPFUELCALC_REF_DMSHPFAN*HPFUELCALC_REF_DMSHPFAN_CF*Tbl_HPGeneralCalcs[[#This Row],[Number of hours]]</f>
        <v>0</v>
      </c>
      <c r="N136" s="165">
        <f>Tbl_HPGeneralCalcs[[#This Row],[heating load (Btu)]]/HPFUELCALC_REF_AFUE/100000</f>
        <v>0</v>
      </c>
    </row>
    <row r="137" spans="2:14" x14ac:dyDescent="0.2">
      <c r="B137" s="16"/>
      <c r="C137" s="164">
        <v>21</v>
      </c>
      <c r="D137" s="164">
        <v>176</v>
      </c>
      <c r="E137" s="164">
        <f>IF((65-Tbl_HPGeneralCalcs[[#This Row],[Temperature, °F]])*Tbl_HPGeneralCalcs[[#This Row],[Number of hours]]&lt;0,0,(65-Tbl_HPGeneralCalcs[[#This Row],[Temperature, °F]])*Tbl_HPGeneralCalcs[[#This Row],[Number of hours]])</f>
        <v>7744</v>
      </c>
      <c r="F137" s="164">
        <f>(Tbl_HPGeneralCalcs[[#This Row],[Heating-degree hours (MMBtu)]]/SUM(Tbl_HPGeneralCalcs[Heating-degree hours (MMBtu)]))*$S$30*10^6</f>
        <v>42204.854866311325</v>
      </c>
      <c r="G137" s="164">
        <f>IF(Tbl_HPGeneralCalcs[[#This Row],[Temperature, °F]]&lt;=RESISTANCE_HEAT_THRESHOLD,1,IF($D$33+$D$34*Tbl_HPGeneralCalcs[[#This Row],[Temperature, °F]]&lt;1,1,($D$33+$D$34*Tbl_HPGeneralCalcs[[#This Row],[Temperature, °F]])*INPUT_HEATPUMP_EFFICIENCY_FACTOR))</f>
        <v>2.6189999999999998</v>
      </c>
      <c r="H137" s="165">
        <f>KWH_PER_BTU*Tbl_HPGeneralCalcs[[#This Row],[heating load (Btu)]]/Tbl_HPGeneralCalcs[[#This Row],[COP - CHP]]</f>
        <v>4.722999398201452</v>
      </c>
      <c r="I137" s="165">
        <f>HPFUELCALC_REF_FUELPOWER_KW*HPFUELCALC_REF_FUELPOWER_CF*Tbl_HPGeneralCalcs[[#This Row],[Number of hours]]</f>
        <v>44</v>
      </c>
      <c r="J137" s="165">
        <f>Tbl_HPGeneralCalcs[[#This Row],[heating load (Btu)]]/HPFUELCALC_REF_AFUE/100000</f>
        <v>0.42204854866311325</v>
      </c>
      <c r="K137" s="165">
        <f>IF(Tbl_HPGeneralCalcs[[#This Row],[Temperature, °F]]&lt;=RESISTANCE_HEAT_THRESHOLD,1,IF($H$33+$H$34*Tbl_HPGeneralCalcs[[#This Row],[Temperature, °F]]&lt;1,1,($H$33+$H$34*Tbl_HPGeneralCalcs[[#This Row],[Temperature, °F]])*INPUT_HEATPUMP_EFFICIENCY_FACTOR))</f>
        <v>2.4245999999999999</v>
      </c>
      <c r="L137" s="165">
        <f>KWH_PER_BTU*Tbl_HPGeneralCalcs[[#This Row],[heating load (Btu)]]/Tbl_HPGeneralCalcs[[#This Row],[COP - DMSHP]]</f>
        <v>5.1016808644269576</v>
      </c>
      <c r="M137" s="165">
        <f>HPFUELCALC_REF_DMSHPFAN*HPFUELCALC_REF_DMSHPFAN_CF*Tbl_HPGeneralCalcs[[#This Row],[Number of hours]]</f>
        <v>44</v>
      </c>
      <c r="N137" s="165">
        <f>Tbl_HPGeneralCalcs[[#This Row],[heating load (Btu)]]/HPFUELCALC_REF_AFUE/100000</f>
        <v>0.42204854866311325</v>
      </c>
    </row>
    <row r="138" spans="2:14" x14ac:dyDescent="0.2">
      <c r="B138" s="16"/>
      <c r="C138" s="164">
        <v>22</v>
      </c>
      <c r="D138" s="164">
        <v>0</v>
      </c>
      <c r="E138" s="164">
        <f>IF((65-Tbl_HPGeneralCalcs[[#This Row],[Temperature, °F]])*Tbl_HPGeneralCalcs[[#This Row],[Number of hours]]&lt;0,0,(65-Tbl_HPGeneralCalcs[[#This Row],[Temperature, °F]])*Tbl_HPGeneralCalcs[[#This Row],[Number of hours]])</f>
        <v>0</v>
      </c>
      <c r="F138" s="164">
        <f>(Tbl_HPGeneralCalcs[[#This Row],[Heating-degree hours (MMBtu)]]/SUM(Tbl_HPGeneralCalcs[Heating-degree hours (MMBtu)]))*$S$30*10^6</f>
        <v>0</v>
      </c>
      <c r="G138" s="164">
        <f>IF(Tbl_HPGeneralCalcs[[#This Row],[Temperature, °F]]&lt;=RESISTANCE_HEAT_THRESHOLD,1,IF($D$33+$D$34*Tbl_HPGeneralCalcs[[#This Row],[Temperature, °F]]&lt;1,1,($D$33+$D$34*Tbl_HPGeneralCalcs[[#This Row],[Temperature, °F]])*INPUT_HEATPUMP_EFFICIENCY_FACTOR))</f>
        <v>2.6642999999999999</v>
      </c>
      <c r="H138" s="165">
        <f>KWH_PER_BTU*Tbl_HPGeneralCalcs[[#This Row],[heating load (Btu)]]/Tbl_HPGeneralCalcs[[#This Row],[COP - CHP]]</f>
        <v>0</v>
      </c>
      <c r="I138" s="165">
        <f>HPFUELCALC_REF_FUELPOWER_KW*HPFUELCALC_REF_FUELPOWER_CF*Tbl_HPGeneralCalcs[[#This Row],[Number of hours]]</f>
        <v>0</v>
      </c>
      <c r="J138" s="165">
        <f>Tbl_HPGeneralCalcs[[#This Row],[heating load (Btu)]]/HPFUELCALC_REF_AFUE/100000</f>
        <v>0</v>
      </c>
      <c r="K138" s="165">
        <f>IF(Tbl_HPGeneralCalcs[[#This Row],[Temperature, °F]]&lt;=RESISTANCE_HEAT_THRESHOLD,1,IF($H$33+$H$34*Tbl_HPGeneralCalcs[[#This Row],[Temperature, °F]]&lt;1,1,($H$33+$H$34*Tbl_HPGeneralCalcs[[#This Row],[Temperature, °F]])*INPUT_HEATPUMP_EFFICIENCY_FACTOR))</f>
        <v>2.4518</v>
      </c>
      <c r="L138" s="165">
        <f>KWH_PER_BTU*Tbl_HPGeneralCalcs[[#This Row],[heating load (Btu)]]/Tbl_HPGeneralCalcs[[#This Row],[COP - DMSHP]]</f>
        <v>0</v>
      </c>
      <c r="M138" s="165">
        <f>HPFUELCALC_REF_DMSHPFAN*HPFUELCALC_REF_DMSHPFAN_CF*Tbl_HPGeneralCalcs[[#This Row],[Number of hours]]</f>
        <v>0</v>
      </c>
      <c r="N138" s="165">
        <f>Tbl_HPGeneralCalcs[[#This Row],[heating load (Btu)]]/HPFUELCALC_REF_AFUE/100000</f>
        <v>0</v>
      </c>
    </row>
    <row r="139" spans="2:14" x14ac:dyDescent="0.2">
      <c r="B139" s="16"/>
      <c r="C139" s="164">
        <v>23</v>
      </c>
      <c r="D139" s="164">
        <v>114</v>
      </c>
      <c r="E139" s="164">
        <f>IF((65-Tbl_HPGeneralCalcs[[#This Row],[Temperature, °F]])*Tbl_HPGeneralCalcs[[#This Row],[Number of hours]]&lt;0,0,(65-Tbl_HPGeneralCalcs[[#This Row],[Temperature, °F]])*Tbl_HPGeneralCalcs[[#This Row],[Number of hours]])</f>
        <v>4788</v>
      </c>
      <c r="F139" s="164">
        <f>(Tbl_HPGeneralCalcs[[#This Row],[Heating-degree hours (MMBtu)]]/SUM(Tbl_HPGeneralCalcs[Heating-degree hours (MMBtu)]))*$S$30*10^6</f>
        <v>26094.633923024099</v>
      </c>
      <c r="G139" s="164">
        <f>IF(Tbl_HPGeneralCalcs[[#This Row],[Temperature, °F]]&lt;=RESISTANCE_HEAT_THRESHOLD,1,IF($D$33+$D$34*Tbl_HPGeneralCalcs[[#This Row],[Temperature, °F]]&lt;1,1,($D$33+$D$34*Tbl_HPGeneralCalcs[[#This Row],[Temperature, °F]])*INPUT_HEATPUMP_EFFICIENCY_FACTOR))</f>
        <v>2.7096</v>
      </c>
      <c r="H139" s="165">
        <f>KWH_PER_BTU*Tbl_HPGeneralCalcs[[#This Row],[heating load (Btu)]]/Tbl_HPGeneralCalcs[[#This Row],[COP - CHP]]</f>
        <v>2.8225198342829438</v>
      </c>
      <c r="I139" s="165">
        <f>HPFUELCALC_REF_FUELPOWER_KW*HPFUELCALC_REF_FUELPOWER_CF*Tbl_HPGeneralCalcs[[#This Row],[Number of hours]]</f>
        <v>28.5</v>
      </c>
      <c r="J139" s="165">
        <f>Tbl_HPGeneralCalcs[[#This Row],[heating load (Btu)]]/HPFUELCALC_REF_AFUE/100000</f>
        <v>0.26094633923024096</v>
      </c>
      <c r="K139" s="165">
        <f>IF(Tbl_HPGeneralCalcs[[#This Row],[Temperature, °F]]&lt;=RESISTANCE_HEAT_THRESHOLD,1,IF($H$33+$H$34*Tbl_HPGeneralCalcs[[#This Row],[Temperature, °F]]&lt;1,1,($H$33+$H$34*Tbl_HPGeneralCalcs[[#This Row],[Temperature, °F]])*INPUT_HEATPUMP_EFFICIENCY_FACTOR))</f>
        <v>2.4790000000000001</v>
      </c>
      <c r="L139" s="165">
        <f>KWH_PER_BTU*Tbl_HPGeneralCalcs[[#This Row],[heating load (Btu)]]/Tbl_HPGeneralCalcs[[#This Row],[COP - DMSHP]]</f>
        <v>3.0850745231839714</v>
      </c>
      <c r="M139" s="165">
        <f>HPFUELCALC_REF_DMSHPFAN*HPFUELCALC_REF_DMSHPFAN_CF*Tbl_HPGeneralCalcs[[#This Row],[Number of hours]]</f>
        <v>28.5</v>
      </c>
      <c r="N139" s="165">
        <f>Tbl_HPGeneralCalcs[[#This Row],[heating load (Btu)]]/HPFUELCALC_REF_AFUE/100000</f>
        <v>0.26094633923024096</v>
      </c>
    </row>
    <row r="140" spans="2:14" x14ac:dyDescent="0.2">
      <c r="B140" s="16"/>
      <c r="C140" s="164">
        <v>24</v>
      </c>
      <c r="D140" s="164">
        <v>255</v>
      </c>
      <c r="E140" s="164">
        <f>IF((65-Tbl_HPGeneralCalcs[[#This Row],[Temperature, °F]])*Tbl_HPGeneralCalcs[[#This Row],[Number of hours]]&lt;0,0,(65-Tbl_HPGeneralCalcs[[#This Row],[Temperature, °F]])*Tbl_HPGeneralCalcs[[#This Row],[Number of hours]])</f>
        <v>10455</v>
      </c>
      <c r="F140" s="164">
        <f>(Tbl_HPGeneralCalcs[[#This Row],[Heating-degree hours (MMBtu)]]/SUM(Tbl_HPGeneralCalcs[Heating-degree hours (MMBtu)]))*$S$30*10^6</f>
        <v>56979.824073771291</v>
      </c>
      <c r="G140" s="164">
        <f>IF(Tbl_HPGeneralCalcs[[#This Row],[Temperature, °F]]&lt;=RESISTANCE_HEAT_THRESHOLD,1,IF($D$33+$D$34*Tbl_HPGeneralCalcs[[#This Row],[Temperature, °F]]&lt;1,1,($D$33+$D$34*Tbl_HPGeneralCalcs[[#This Row],[Temperature, °F]])*INPUT_HEATPUMP_EFFICIENCY_FACTOR))</f>
        <v>2.7549000000000001</v>
      </c>
      <c r="H140" s="165">
        <f>KWH_PER_BTU*Tbl_HPGeneralCalcs[[#This Row],[heating load (Btu)]]/Tbl_HPGeneralCalcs[[#This Row],[COP - CHP]]</f>
        <v>6.0618647521425091</v>
      </c>
      <c r="I140" s="165">
        <f>HPFUELCALC_REF_FUELPOWER_KW*HPFUELCALC_REF_FUELPOWER_CF*Tbl_HPGeneralCalcs[[#This Row],[Number of hours]]</f>
        <v>63.75</v>
      </c>
      <c r="J140" s="165">
        <f>Tbl_HPGeneralCalcs[[#This Row],[heating load (Btu)]]/HPFUELCALC_REF_AFUE/100000</f>
        <v>0.5697982407377129</v>
      </c>
      <c r="K140" s="165">
        <f>IF(Tbl_HPGeneralCalcs[[#This Row],[Temperature, °F]]&lt;=RESISTANCE_HEAT_THRESHOLD,1,IF($H$33+$H$34*Tbl_HPGeneralCalcs[[#This Row],[Temperature, °F]]&lt;1,1,($H$33+$H$34*Tbl_HPGeneralCalcs[[#This Row],[Temperature, °F]])*INPUT_HEATPUMP_EFFICIENCY_FACTOR))</f>
        <v>2.5061999999999998</v>
      </c>
      <c r="L140" s="165">
        <f>KWH_PER_BTU*Tbl_HPGeneralCalcs[[#This Row],[heating load (Btu)]]/Tbl_HPGeneralCalcs[[#This Row],[COP - DMSHP]]</f>
        <v>6.6634072323347695</v>
      </c>
      <c r="M140" s="165">
        <f>HPFUELCALC_REF_DMSHPFAN*HPFUELCALC_REF_DMSHPFAN_CF*Tbl_HPGeneralCalcs[[#This Row],[Number of hours]]</f>
        <v>63.75</v>
      </c>
      <c r="N140" s="165">
        <f>Tbl_HPGeneralCalcs[[#This Row],[heating load (Btu)]]/HPFUELCALC_REF_AFUE/100000</f>
        <v>0.5697982407377129</v>
      </c>
    </row>
    <row r="141" spans="2:14" x14ac:dyDescent="0.2">
      <c r="B141" s="16"/>
      <c r="C141" s="164">
        <v>25</v>
      </c>
      <c r="D141" s="164">
        <v>1</v>
      </c>
      <c r="E141" s="164">
        <f>IF((65-Tbl_HPGeneralCalcs[[#This Row],[Temperature, °F]])*Tbl_HPGeneralCalcs[[#This Row],[Number of hours]]&lt;0,0,(65-Tbl_HPGeneralCalcs[[#This Row],[Temperature, °F]])*Tbl_HPGeneralCalcs[[#This Row],[Number of hours]])</f>
        <v>40</v>
      </c>
      <c r="F141" s="164">
        <f>(Tbl_HPGeneralCalcs[[#This Row],[Heating-degree hours (MMBtu)]]/SUM(Tbl_HPGeneralCalcs[Heating-degree hours (MMBtu)]))*$S$30*10^6</f>
        <v>218.00028340036843</v>
      </c>
      <c r="G141" s="164">
        <f>IF(Tbl_HPGeneralCalcs[[#This Row],[Temperature, °F]]&lt;=RESISTANCE_HEAT_THRESHOLD,1,IF($D$33+$D$34*Tbl_HPGeneralCalcs[[#This Row],[Temperature, °F]]&lt;1,1,($D$33+$D$34*Tbl_HPGeneralCalcs[[#This Row],[Temperature, °F]])*INPUT_HEATPUMP_EFFICIENCY_FACTOR))</f>
        <v>2.8002000000000002</v>
      </c>
      <c r="H141" s="165">
        <f>KWH_PER_BTU*Tbl_HPGeneralCalcs[[#This Row],[heating load (Btu)]]/Tbl_HPGeneralCalcs[[#This Row],[COP - CHP]]</f>
        <v>2.2817023223049009E-2</v>
      </c>
      <c r="I141" s="165">
        <f>HPFUELCALC_REF_FUELPOWER_KW*HPFUELCALC_REF_FUELPOWER_CF*Tbl_HPGeneralCalcs[[#This Row],[Number of hours]]</f>
        <v>0.25</v>
      </c>
      <c r="J141" s="165">
        <f>Tbl_HPGeneralCalcs[[#This Row],[heating load (Btu)]]/HPFUELCALC_REF_AFUE/100000</f>
        <v>2.1800028340036842E-3</v>
      </c>
      <c r="K141" s="165">
        <f>IF(Tbl_HPGeneralCalcs[[#This Row],[Temperature, °F]]&lt;=RESISTANCE_HEAT_THRESHOLD,1,IF($H$33+$H$34*Tbl_HPGeneralCalcs[[#This Row],[Temperature, °F]]&lt;1,1,($H$33+$H$34*Tbl_HPGeneralCalcs[[#This Row],[Temperature, °F]])*INPUT_HEATPUMP_EFFICIENCY_FACTOR))</f>
        <v>2.5333999999999999</v>
      </c>
      <c r="L141" s="165">
        <f>KWH_PER_BTU*Tbl_HPGeneralCalcs[[#This Row],[heating load (Btu)]]/Tbl_HPGeneralCalcs[[#This Row],[COP - DMSHP]]</f>
        <v>2.521995280223488E-2</v>
      </c>
      <c r="M141" s="165">
        <f>HPFUELCALC_REF_DMSHPFAN*HPFUELCALC_REF_DMSHPFAN_CF*Tbl_HPGeneralCalcs[[#This Row],[Number of hours]]</f>
        <v>0.25</v>
      </c>
      <c r="N141" s="165">
        <f>Tbl_HPGeneralCalcs[[#This Row],[heating load (Btu)]]/HPFUELCALC_REF_AFUE/100000</f>
        <v>2.1800028340036842E-3</v>
      </c>
    </row>
    <row r="142" spans="2:14" x14ac:dyDescent="0.2">
      <c r="B142" s="16"/>
      <c r="C142" s="164">
        <v>26</v>
      </c>
      <c r="D142" s="164">
        <v>297</v>
      </c>
      <c r="E142" s="164">
        <f>IF((65-Tbl_HPGeneralCalcs[[#This Row],[Temperature, °F]])*Tbl_HPGeneralCalcs[[#This Row],[Number of hours]]&lt;0,0,(65-Tbl_HPGeneralCalcs[[#This Row],[Temperature, °F]])*Tbl_HPGeneralCalcs[[#This Row],[Number of hours]])</f>
        <v>11583</v>
      </c>
      <c r="F142" s="164">
        <f>(Tbl_HPGeneralCalcs[[#This Row],[Heating-degree hours (MMBtu)]]/SUM(Tbl_HPGeneralCalcs[Heating-degree hours (MMBtu)]))*$S$30*10^6</f>
        <v>63127.432065661684</v>
      </c>
      <c r="G142" s="164">
        <f>IF(Tbl_HPGeneralCalcs[[#This Row],[Temperature, °F]]&lt;=RESISTANCE_HEAT_THRESHOLD,1,IF($D$33+$D$34*Tbl_HPGeneralCalcs[[#This Row],[Temperature, °F]]&lt;1,1,($D$33+$D$34*Tbl_HPGeneralCalcs[[#This Row],[Temperature, °F]])*INPUT_HEATPUMP_EFFICIENCY_FACTOR))</f>
        <v>2.8454999999999999</v>
      </c>
      <c r="H142" s="165">
        <f>KWH_PER_BTU*Tbl_HPGeneralCalcs[[#This Row],[heating load (Btu)]]/Tbl_HPGeneralCalcs[[#This Row],[COP - CHP]]</f>
        <v>6.502053082895916</v>
      </c>
      <c r="I142" s="165">
        <f>HPFUELCALC_REF_FUELPOWER_KW*HPFUELCALC_REF_FUELPOWER_CF*Tbl_HPGeneralCalcs[[#This Row],[Number of hours]]</f>
        <v>74.25</v>
      </c>
      <c r="J142" s="165">
        <f>Tbl_HPGeneralCalcs[[#This Row],[heating load (Btu)]]/HPFUELCALC_REF_AFUE/100000</f>
        <v>0.63127432065661682</v>
      </c>
      <c r="K142" s="165">
        <f>IF(Tbl_HPGeneralCalcs[[#This Row],[Temperature, °F]]&lt;=RESISTANCE_HEAT_THRESHOLD,1,IF($H$33+$H$34*Tbl_HPGeneralCalcs[[#This Row],[Temperature, °F]]&lt;1,1,($H$33+$H$34*Tbl_HPGeneralCalcs[[#This Row],[Temperature, °F]])*INPUT_HEATPUMP_EFFICIENCY_FACTOR))</f>
        <v>2.5606</v>
      </c>
      <c r="L142" s="165">
        <f>KWH_PER_BTU*Tbl_HPGeneralCalcs[[#This Row],[heating load (Btu)]]/Tbl_HPGeneralCalcs[[#This Row],[COP - DMSHP]]</f>
        <v>7.225490919073783</v>
      </c>
      <c r="M142" s="165">
        <f>HPFUELCALC_REF_DMSHPFAN*HPFUELCALC_REF_DMSHPFAN_CF*Tbl_HPGeneralCalcs[[#This Row],[Number of hours]]</f>
        <v>74.25</v>
      </c>
      <c r="N142" s="165">
        <f>Tbl_HPGeneralCalcs[[#This Row],[heating load (Btu)]]/HPFUELCALC_REF_AFUE/100000</f>
        <v>0.63127432065661682</v>
      </c>
    </row>
    <row r="143" spans="2:14" x14ac:dyDescent="0.2">
      <c r="B143" s="16"/>
      <c r="C143" s="164">
        <v>27</v>
      </c>
      <c r="D143" s="164">
        <v>3</v>
      </c>
      <c r="E143" s="164">
        <f>IF((65-Tbl_HPGeneralCalcs[[#This Row],[Temperature, °F]])*Tbl_HPGeneralCalcs[[#This Row],[Number of hours]]&lt;0,0,(65-Tbl_HPGeneralCalcs[[#This Row],[Temperature, °F]])*Tbl_HPGeneralCalcs[[#This Row],[Number of hours]])</f>
        <v>114</v>
      </c>
      <c r="F143" s="164">
        <f>(Tbl_HPGeneralCalcs[[#This Row],[Heating-degree hours (MMBtu)]]/SUM(Tbl_HPGeneralCalcs[Heating-degree hours (MMBtu)]))*$S$30*10^6</f>
        <v>621.30080769104995</v>
      </c>
      <c r="G143" s="164">
        <f>IF(Tbl_HPGeneralCalcs[[#This Row],[Temperature, °F]]&lt;=RESISTANCE_HEAT_THRESHOLD,1,IF($D$33+$D$34*Tbl_HPGeneralCalcs[[#This Row],[Temperature, °F]]&lt;1,1,($D$33+$D$34*Tbl_HPGeneralCalcs[[#This Row],[Temperature, °F]])*INPUT_HEATPUMP_EFFICIENCY_FACTOR))</f>
        <v>2.8908</v>
      </c>
      <c r="H143" s="165">
        <f>KWH_PER_BTU*Tbl_HPGeneralCalcs[[#This Row],[heating load (Btu)]]/Tbl_HPGeneralCalcs[[#This Row],[COP - CHP]]</f>
        <v>6.2990470120094164E-2</v>
      </c>
      <c r="I143" s="165">
        <f>HPFUELCALC_REF_FUELPOWER_KW*HPFUELCALC_REF_FUELPOWER_CF*Tbl_HPGeneralCalcs[[#This Row],[Number of hours]]</f>
        <v>0.75</v>
      </c>
      <c r="J143" s="165">
        <f>Tbl_HPGeneralCalcs[[#This Row],[heating load (Btu)]]/HPFUELCALC_REF_AFUE/100000</f>
        <v>6.2130080769104996E-3</v>
      </c>
      <c r="K143" s="165">
        <f>IF(Tbl_HPGeneralCalcs[[#This Row],[Temperature, °F]]&lt;=RESISTANCE_HEAT_THRESHOLD,1,IF($H$33+$H$34*Tbl_HPGeneralCalcs[[#This Row],[Temperature, °F]]&lt;1,1,($H$33+$H$34*Tbl_HPGeneralCalcs[[#This Row],[Temperature, °F]])*INPUT_HEATPUMP_EFFICIENCY_FACTOR))</f>
        <v>2.5877999999999997</v>
      </c>
      <c r="L143" s="165">
        <f>KWH_PER_BTU*Tbl_HPGeneralCalcs[[#This Row],[heating load (Btu)]]/Tbl_HPGeneralCalcs[[#This Row],[COP - DMSHP]]</f>
        <v>7.0365890340508636E-2</v>
      </c>
      <c r="M143" s="165">
        <f>HPFUELCALC_REF_DMSHPFAN*HPFUELCALC_REF_DMSHPFAN_CF*Tbl_HPGeneralCalcs[[#This Row],[Number of hours]]</f>
        <v>0.75</v>
      </c>
      <c r="N143" s="165">
        <f>Tbl_HPGeneralCalcs[[#This Row],[heating load (Btu)]]/HPFUELCALC_REF_AFUE/100000</f>
        <v>6.2130080769104996E-3</v>
      </c>
    </row>
    <row r="144" spans="2:14" x14ac:dyDescent="0.2">
      <c r="B144" s="16"/>
      <c r="C144" s="164">
        <v>28</v>
      </c>
      <c r="D144" s="164">
        <v>320</v>
      </c>
      <c r="E144" s="164">
        <f>IF((65-Tbl_HPGeneralCalcs[[#This Row],[Temperature, °F]])*Tbl_HPGeneralCalcs[[#This Row],[Number of hours]]&lt;0,0,(65-Tbl_HPGeneralCalcs[[#This Row],[Temperature, °F]])*Tbl_HPGeneralCalcs[[#This Row],[Number of hours]])</f>
        <v>11840</v>
      </c>
      <c r="F144" s="164">
        <f>(Tbl_HPGeneralCalcs[[#This Row],[Heating-degree hours (MMBtu)]]/SUM(Tbl_HPGeneralCalcs[Heating-degree hours (MMBtu)]))*$S$30*10^6</f>
        <v>64528.083886509048</v>
      </c>
      <c r="G144" s="164">
        <f>IF(Tbl_HPGeneralCalcs[[#This Row],[Temperature, °F]]&lt;=RESISTANCE_HEAT_THRESHOLD,1,IF($D$33+$D$34*Tbl_HPGeneralCalcs[[#This Row],[Temperature, °F]]&lt;1,1,($D$33+$D$34*Tbl_HPGeneralCalcs[[#This Row],[Temperature, °F]])*INPUT_HEATPUMP_EFFICIENCY_FACTOR))</f>
        <v>2.9360999999999997</v>
      </c>
      <c r="H144" s="165">
        <f>KWH_PER_BTU*Tbl_HPGeneralCalcs[[#This Row],[heating load (Btu)]]/Tbl_HPGeneralCalcs[[#This Row],[COP - CHP]]</f>
        <v>6.4412314345689259</v>
      </c>
      <c r="I144" s="165">
        <f>HPFUELCALC_REF_FUELPOWER_KW*HPFUELCALC_REF_FUELPOWER_CF*Tbl_HPGeneralCalcs[[#This Row],[Number of hours]]</f>
        <v>80</v>
      </c>
      <c r="J144" s="165">
        <f>Tbl_HPGeneralCalcs[[#This Row],[heating load (Btu)]]/HPFUELCALC_REF_AFUE/100000</f>
        <v>0.64528083886509047</v>
      </c>
      <c r="K144" s="165">
        <f>IF(Tbl_HPGeneralCalcs[[#This Row],[Temperature, °F]]&lt;=RESISTANCE_HEAT_THRESHOLD,1,IF($H$33+$H$34*Tbl_HPGeneralCalcs[[#This Row],[Temperature, °F]]&lt;1,1,($H$33+$H$34*Tbl_HPGeneralCalcs[[#This Row],[Temperature, °F]])*INPUT_HEATPUMP_EFFICIENCY_FACTOR))</f>
        <v>2.6149999999999998</v>
      </c>
      <c r="L144" s="165">
        <f>KWH_PER_BTU*Tbl_HPGeneralCalcs[[#This Row],[heating load (Btu)]]/Tbl_HPGeneralCalcs[[#This Row],[COP - DMSHP]]</f>
        <v>7.2321604646416144</v>
      </c>
      <c r="M144" s="165">
        <f>HPFUELCALC_REF_DMSHPFAN*HPFUELCALC_REF_DMSHPFAN_CF*Tbl_HPGeneralCalcs[[#This Row],[Number of hours]]</f>
        <v>80</v>
      </c>
      <c r="N144" s="165">
        <f>Tbl_HPGeneralCalcs[[#This Row],[heating load (Btu)]]/HPFUELCALC_REF_AFUE/100000</f>
        <v>0.64528083886509047</v>
      </c>
    </row>
    <row r="145" spans="2:14" x14ac:dyDescent="0.2">
      <c r="B145" s="16"/>
      <c r="C145" s="164">
        <v>29</v>
      </c>
      <c r="D145" s="164">
        <v>2</v>
      </c>
      <c r="E145" s="164">
        <f>IF((65-Tbl_HPGeneralCalcs[[#This Row],[Temperature, °F]])*Tbl_HPGeneralCalcs[[#This Row],[Number of hours]]&lt;0,0,(65-Tbl_HPGeneralCalcs[[#This Row],[Temperature, °F]])*Tbl_HPGeneralCalcs[[#This Row],[Number of hours]])</f>
        <v>72</v>
      </c>
      <c r="F145" s="164">
        <f>(Tbl_HPGeneralCalcs[[#This Row],[Heating-degree hours (MMBtu)]]/SUM(Tbl_HPGeneralCalcs[Heating-degree hours (MMBtu)]))*$S$30*10^6</f>
        <v>392.40051012066317</v>
      </c>
      <c r="G145" s="164">
        <f>IF(Tbl_HPGeneralCalcs[[#This Row],[Temperature, °F]]&lt;=RESISTANCE_HEAT_THRESHOLD,1,IF($D$33+$D$34*Tbl_HPGeneralCalcs[[#This Row],[Temperature, °F]]&lt;1,1,($D$33+$D$34*Tbl_HPGeneralCalcs[[#This Row],[Temperature, °F]])*INPUT_HEATPUMP_EFFICIENCY_FACTOR))</f>
        <v>2.9813999999999998</v>
      </c>
      <c r="H145" s="165">
        <f>KWH_PER_BTU*Tbl_HPGeneralCalcs[[#This Row],[heating load (Btu)]]/Tbl_HPGeneralCalcs[[#This Row],[COP - CHP]]</f>
        <v>3.8574498951005336E-2</v>
      </c>
      <c r="I145" s="165">
        <f>HPFUELCALC_REF_FUELPOWER_KW*HPFUELCALC_REF_FUELPOWER_CF*Tbl_HPGeneralCalcs[[#This Row],[Number of hours]]</f>
        <v>0.5</v>
      </c>
      <c r="J145" s="165">
        <f>Tbl_HPGeneralCalcs[[#This Row],[heating load (Btu)]]/HPFUELCALC_REF_AFUE/100000</f>
        <v>3.924005101206632E-3</v>
      </c>
      <c r="K145" s="165">
        <f>IF(Tbl_HPGeneralCalcs[[#This Row],[Temperature, °F]]&lt;=RESISTANCE_HEAT_THRESHOLD,1,IF($H$33+$H$34*Tbl_HPGeneralCalcs[[#This Row],[Temperature, °F]]&lt;1,1,($H$33+$H$34*Tbl_HPGeneralCalcs[[#This Row],[Temperature, °F]])*INPUT_HEATPUMP_EFFICIENCY_FACTOR))</f>
        <v>2.6421999999999999</v>
      </c>
      <c r="L145" s="165">
        <f>KWH_PER_BTU*Tbl_HPGeneralCalcs[[#This Row],[heating load (Btu)]]/Tbl_HPGeneralCalcs[[#This Row],[COP - DMSHP]]</f>
        <v>4.3526610844193216E-2</v>
      </c>
      <c r="M145" s="165">
        <f>HPFUELCALC_REF_DMSHPFAN*HPFUELCALC_REF_DMSHPFAN_CF*Tbl_HPGeneralCalcs[[#This Row],[Number of hours]]</f>
        <v>0.5</v>
      </c>
      <c r="N145" s="165">
        <f>Tbl_HPGeneralCalcs[[#This Row],[heating load (Btu)]]/HPFUELCALC_REF_AFUE/100000</f>
        <v>3.924005101206632E-3</v>
      </c>
    </row>
    <row r="146" spans="2:14" x14ac:dyDescent="0.2">
      <c r="B146" s="16"/>
      <c r="C146" s="164">
        <v>30</v>
      </c>
      <c r="D146" s="164">
        <v>332</v>
      </c>
      <c r="E146" s="164">
        <f>IF((65-Tbl_HPGeneralCalcs[[#This Row],[Temperature, °F]])*Tbl_HPGeneralCalcs[[#This Row],[Number of hours]]&lt;0,0,(65-Tbl_HPGeneralCalcs[[#This Row],[Temperature, °F]])*Tbl_HPGeneralCalcs[[#This Row],[Number of hours]])</f>
        <v>11620</v>
      </c>
      <c r="F146" s="164">
        <f>(Tbl_HPGeneralCalcs[[#This Row],[Heating-degree hours (MMBtu)]]/SUM(Tbl_HPGeneralCalcs[Heating-degree hours (MMBtu)]))*$S$30*10^6</f>
        <v>63329.082327807024</v>
      </c>
      <c r="G146" s="164">
        <f>IF(Tbl_HPGeneralCalcs[[#This Row],[Temperature, °F]]&lt;=RESISTANCE_HEAT_THRESHOLD,1,IF($D$33+$D$34*Tbl_HPGeneralCalcs[[#This Row],[Temperature, °F]]&lt;1,1,($D$33+$D$34*Tbl_HPGeneralCalcs[[#This Row],[Temperature, °F]])*INPUT_HEATPUMP_EFFICIENCY_FACTOR))</f>
        <v>3.0266999999999999</v>
      </c>
      <c r="H146" s="165">
        <f>KWH_PER_BTU*Tbl_HPGeneralCalcs[[#This Row],[heating load (Btu)]]/Tbl_HPGeneralCalcs[[#This Row],[COP - CHP]]</f>
        <v>6.1323198066135802</v>
      </c>
      <c r="I146" s="165">
        <f>HPFUELCALC_REF_FUELPOWER_KW*HPFUELCALC_REF_FUELPOWER_CF*Tbl_HPGeneralCalcs[[#This Row],[Number of hours]]</f>
        <v>83</v>
      </c>
      <c r="J146" s="165">
        <f>Tbl_HPGeneralCalcs[[#This Row],[heating load (Btu)]]/HPFUELCALC_REF_AFUE/100000</f>
        <v>0.63329082327807029</v>
      </c>
      <c r="K146" s="165">
        <f>IF(Tbl_HPGeneralCalcs[[#This Row],[Temperature, °F]]&lt;=RESISTANCE_HEAT_THRESHOLD,1,IF($H$33+$H$34*Tbl_HPGeneralCalcs[[#This Row],[Temperature, °F]]&lt;1,1,($H$33+$H$34*Tbl_HPGeneralCalcs[[#This Row],[Temperature, °F]])*INPUT_HEATPUMP_EFFICIENCY_FACTOR))</f>
        <v>2.6694</v>
      </c>
      <c r="L146" s="165">
        <f>KWH_PER_BTU*Tbl_HPGeneralCalcs[[#This Row],[heating load (Btu)]]/Tbl_HPGeneralCalcs[[#This Row],[COP - DMSHP]]</f>
        <v>6.9531326735136441</v>
      </c>
      <c r="M146" s="165">
        <f>HPFUELCALC_REF_DMSHPFAN*HPFUELCALC_REF_DMSHPFAN_CF*Tbl_HPGeneralCalcs[[#This Row],[Number of hours]]</f>
        <v>83</v>
      </c>
      <c r="N146" s="165">
        <f>Tbl_HPGeneralCalcs[[#This Row],[heating load (Btu)]]/HPFUELCALC_REF_AFUE/100000</f>
        <v>0.63329082327807029</v>
      </c>
    </row>
    <row r="147" spans="2:14" x14ac:dyDescent="0.2">
      <c r="B147" s="16"/>
      <c r="C147" s="164">
        <v>31</v>
      </c>
      <c r="D147" s="164">
        <v>2</v>
      </c>
      <c r="E147" s="164">
        <f>IF((65-Tbl_HPGeneralCalcs[[#This Row],[Temperature, °F]])*Tbl_HPGeneralCalcs[[#This Row],[Number of hours]]&lt;0,0,(65-Tbl_HPGeneralCalcs[[#This Row],[Temperature, °F]])*Tbl_HPGeneralCalcs[[#This Row],[Number of hours]])</f>
        <v>68</v>
      </c>
      <c r="F147" s="164">
        <f>(Tbl_HPGeneralCalcs[[#This Row],[Heating-degree hours (MMBtu)]]/SUM(Tbl_HPGeneralCalcs[Heating-degree hours (MMBtu)]))*$S$30*10^6</f>
        <v>370.6004817806263</v>
      </c>
      <c r="G147" s="164">
        <f>IF(Tbl_HPGeneralCalcs[[#This Row],[Temperature, °F]]&lt;=RESISTANCE_HEAT_THRESHOLD,1,IF($D$33+$D$34*Tbl_HPGeneralCalcs[[#This Row],[Temperature, °F]]&lt;1,1,($D$33+$D$34*Tbl_HPGeneralCalcs[[#This Row],[Temperature, °F]])*INPUT_HEATPUMP_EFFICIENCY_FACTOR))</f>
        <v>3.0720000000000001</v>
      </c>
      <c r="H147" s="165">
        <f>KWH_PER_BTU*Tbl_HPGeneralCalcs[[#This Row],[heating load (Btu)]]/Tbl_HPGeneralCalcs[[#This Row],[COP - CHP]]</f>
        <v>3.5357027451044631E-2</v>
      </c>
      <c r="I147" s="165">
        <f>HPFUELCALC_REF_FUELPOWER_KW*HPFUELCALC_REF_FUELPOWER_CF*Tbl_HPGeneralCalcs[[#This Row],[Number of hours]]</f>
        <v>0.5</v>
      </c>
      <c r="J147" s="165">
        <f>Tbl_HPGeneralCalcs[[#This Row],[heating load (Btu)]]/HPFUELCALC_REF_AFUE/100000</f>
        <v>3.706004817806263E-3</v>
      </c>
      <c r="K147" s="165">
        <f>IF(Tbl_HPGeneralCalcs[[#This Row],[Temperature, °F]]&lt;=RESISTANCE_HEAT_THRESHOLD,1,IF($H$33+$H$34*Tbl_HPGeneralCalcs[[#This Row],[Temperature, °F]]&lt;1,1,($H$33+$H$34*Tbl_HPGeneralCalcs[[#This Row],[Temperature, °F]])*INPUT_HEATPUMP_EFFICIENCY_FACTOR))</f>
        <v>2.6966000000000001</v>
      </c>
      <c r="L147" s="165">
        <f>KWH_PER_BTU*Tbl_HPGeneralCalcs[[#This Row],[heating load (Btu)]]/Tbl_HPGeneralCalcs[[#This Row],[COP - DMSHP]]</f>
        <v>4.0279162029818696E-2</v>
      </c>
      <c r="M147" s="165">
        <f>HPFUELCALC_REF_DMSHPFAN*HPFUELCALC_REF_DMSHPFAN_CF*Tbl_HPGeneralCalcs[[#This Row],[Number of hours]]</f>
        <v>0.5</v>
      </c>
      <c r="N147" s="165">
        <f>Tbl_HPGeneralCalcs[[#This Row],[heating load (Btu)]]/HPFUELCALC_REF_AFUE/100000</f>
        <v>3.706004817806263E-3</v>
      </c>
    </row>
    <row r="148" spans="2:14" x14ac:dyDescent="0.2">
      <c r="B148" s="16"/>
      <c r="C148" s="164">
        <v>32</v>
      </c>
      <c r="D148" s="164">
        <v>201</v>
      </c>
      <c r="E148" s="164">
        <f>IF((65-Tbl_HPGeneralCalcs[[#This Row],[Temperature, °F]])*Tbl_HPGeneralCalcs[[#This Row],[Number of hours]]&lt;0,0,(65-Tbl_HPGeneralCalcs[[#This Row],[Temperature, °F]])*Tbl_HPGeneralCalcs[[#This Row],[Number of hours]])</f>
        <v>6633</v>
      </c>
      <c r="F148" s="164">
        <f>(Tbl_HPGeneralCalcs[[#This Row],[Heating-degree hours (MMBtu)]]/SUM(Tbl_HPGeneralCalcs[Heating-degree hours (MMBtu)]))*$S$30*10^6</f>
        <v>36149.896994866096</v>
      </c>
      <c r="G148" s="164">
        <f>IF(Tbl_HPGeneralCalcs[[#This Row],[Temperature, °F]]&lt;=RESISTANCE_HEAT_THRESHOLD,1,IF($D$33+$D$34*Tbl_HPGeneralCalcs[[#This Row],[Temperature, °F]]&lt;1,1,($D$33+$D$34*Tbl_HPGeneralCalcs[[#This Row],[Temperature, °F]])*INPUT_HEATPUMP_EFFICIENCY_FACTOR))</f>
        <v>3.1173000000000002</v>
      </c>
      <c r="H148" s="165">
        <f>KWH_PER_BTU*Tbl_HPGeneralCalcs[[#This Row],[heating load (Btu)]]/Tbl_HPGeneralCalcs[[#This Row],[COP - CHP]]</f>
        <v>3.3987517336377882</v>
      </c>
      <c r="I148" s="165">
        <f>HPFUELCALC_REF_FUELPOWER_KW*HPFUELCALC_REF_FUELPOWER_CF*Tbl_HPGeneralCalcs[[#This Row],[Number of hours]]</f>
        <v>50.25</v>
      </c>
      <c r="J148" s="165">
        <f>Tbl_HPGeneralCalcs[[#This Row],[heating load (Btu)]]/HPFUELCALC_REF_AFUE/100000</f>
        <v>0.36149896994866099</v>
      </c>
      <c r="K148" s="165">
        <f>IF(Tbl_HPGeneralCalcs[[#This Row],[Temperature, °F]]&lt;=RESISTANCE_HEAT_THRESHOLD,1,IF($H$33+$H$34*Tbl_HPGeneralCalcs[[#This Row],[Temperature, °F]]&lt;1,1,($H$33+$H$34*Tbl_HPGeneralCalcs[[#This Row],[Temperature, °F]])*INPUT_HEATPUMP_EFFICIENCY_FACTOR))</f>
        <v>2.7237999999999998</v>
      </c>
      <c r="L148" s="165">
        <f>KWH_PER_BTU*Tbl_HPGeneralCalcs[[#This Row],[heating load (Btu)]]/Tbl_HPGeneralCalcs[[#This Row],[COP - DMSHP]]</f>
        <v>3.8897601803616557</v>
      </c>
      <c r="M148" s="165">
        <f>HPFUELCALC_REF_DMSHPFAN*HPFUELCALC_REF_DMSHPFAN_CF*Tbl_HPGeneralCalcs[[#This Row],[Number of hours]]</f>
        <v>50.25</v>
      </c>
      <c r="N148" s="165">
        <f>Tbl_HPGeneralCalcs[[#This Row],[heating load (Btu)]]/HPFUELCALC_REF_AFUE/100000</f>
        <v>0.36149896994866099</v>
      </c>
    </row>
    <row r="149" spans="2:14" x14ac:dyDescent="0.2">
      <c r="B149" s="16"/>
      <c r="C149" s="164">
        <v>33</v>
      </c>
      <c r="D149" s="164">
        <v>330</v>
      </c>
      <c r="E149" s="164">
        <f>IF((65-Tbl_HPGeneralCalcs[[#This Row],[Temperature, °F]])*Tbl_HPGeneralCalcs[[#This Row],[Number of hours]]&lt;0,0,(65-Tbl_HPGeneralCalcs[[#This Row],[Temperature, °F]])*Tbl_HPGeneralCalcs[[#This Row],[Number of hours]])</f>
        <v>10560</v>
      </c>
      <c r="F149" s="164">
        <f>(Tbl_HPGeneralCalcs[[#This Row],[Heating-degree hours (MMBtu)]]/SUM(Tbl_HPGeneralCalcs[Heating-degree hours (MMBtu)]))*$S$30*10^6</f>
        <v>57552.074817697263</v>
      </c>
      <c r="G149" s="164">
        <f>IF(Tbl_HPGeneralCalcs[[#This Row],[Temperature, °F]]&lt;=RESISTANCE_HEAT_THRESHOLD,1,IF($D$33+$D$34*Tbl_HPGeneralCalcs[[#This Row],[Temperature, °F]]&lt;1,1,($D$33+$D$34*Tbl_HPGeneralCalcs[[#This Row],[Temperature, °F]])*INPUT_HEATPUMP_EFFICIENCY_FACTOR))</f>
        <v>3.1625999999999999</v>
      </c>
      <c r="H149" s="165">
        <f>KWH_PER_BTU*Tbl_HPGeneralCalcs[[#This Row],[heating load (Btu)]]/Tbl_HPGeneralCalcs[[#This Row],[COP - CHP]]</f>
        <v>5.3334434659153871</v>
      </c>
      <c r="I149" s="165">
        <f>HPFUELCALC_REF_FUELPOWER_KW*HPFUELCALC_REF_FUELPOWER_CF*Tbl_HPGeneralCalcs[[#This Row],[Number of hours]]</f>
        <v>82.5</v>
      </c>
      <c r="J149" s="165">
        <f>Tbl_HPGeneralCalcs[[#This Row],[heating load (Btu)]]/HPFUELCALC_REF_AFUE/100000</f>
        <v>0.57552074817697263</v>
      </c>
      <c r="K149" s="165">
        <f>IF(Tbl_HPGeneralCalcs[[#This Row],[Temperature, °F]]&lt;=RESISTANCE_HEAT_THRESHOLD,1,IF($H$33+$H$34*Tbl_HPGeneralCalcs[[#This Row],[Temperature, °F]]&lt;1,1,($H$33+$H$34*Tbl_HPGeneralCalcs[[#This Row],[Temperature, °F]])*INPUT_HEATPUMP_EFFICIENCY_FACTOR))</f>
        <v>2.7509999999999999</v>
      </c>
      <c r="L149" s="165">
        <f>KWH_PER_BTU*Tbl_HPGeneralCalcs[[#This Row],[heating load (Btu)]]/Tbl_HPGeneralCalcs[[#This Row],[COP - DMSHP]]</f>
        <v>6.1314243203576888</v>
      </c>
      <c r="M149" s="165">
        <f>HPFUELCALC_REF_DMSHPFAN*HPFUELCALC_REF_DMSHPFAN_CF*Tbl_HPGeneralCalcs[[#This Row],[Number of hours]]</f>
        <v>82.5</v>
      </c>
      <c r="N149" s="165">
        <f>Tbl_HPGeneralCalcs[[#This Row],[heating load (Btu)]]/HPFUELCALC_REF_AFUE/100000</f>
        <v>0.57552074817697263</v>
      </c>
    </row>
    <row r="150" spans="2:14" x14ac:dyDescent="0.2">
      <c r="B150" s="16"/>
      <c r="C150" s="164">
        <v>34</v>
      </c>
      <c r="D150" s="164">
        <v>1</v>
      </c>
      <c r="E150" s="164">
        <f>IF((65-Tbl_HPGeneralCalcs[[#This Row],[Temperature, °F]])*Tbl_HPGeneralCalcs[[#This Row],[Number of hours]]&lt;0,0,(65-Tbl_HPGeneralCalcs[[#This Row],[Temperature, °F]])*Tbl_HPGeneralCalcs[[#This Row],[Number of hours]])</f>
        <v>31</v>
      </c>
      <c r="F150" s="164">
        <f>(Tbl_HPGeneralCalcs[[#This Row],[Heating-degree hours (MMBtu)]]/SUM(Tbl_HPGeneralCalcs[Heating-degree hours (MMBtu)]))*$S$30*10^6</f>
        <v>168.95021963528552</v>
      </c>
      <c r="G150" s="164">
        <f>IF(Tbl_HPGeneralCalcs[[#This Row],[Temperature, °F]]&lt;=RESISTANCE_HEAT_THRESHOLD,1,IF($D$33+$D$34*Tbl_HPGeneralCalcs[[#This Row],[Temperature, °F]]&lt;1,1,($D$33+$D$34*Tbl_HPGeneralCalcs[[#This Row],[Temperature, °F]])*INPUT_HEATPUMP_EFFICIENCY_FACTOR))</f>
        <v>3.2079</v>
      </c>
      <c r="H150" s="165">
        <f>KWH_PER_BTU*Tbl_HPGeneralCalcs[[#This Row],[heating load (Btu)]]/Tbl_HPGeneralCalcs[[#This Row],[COP - CHP]]</f>
        <v>1.5435791961288045E-2</v>
      </c>
      <c r="I150" s="165">
        <f>HPFUELCALC_REF_FUELPOWER_KW*HPFUELCALC_REF_FUELPOWER_CF*Tbl_HPGeneralCalcs[[#This Row],[Number of hours]]</f>
        <v>0.25</v>
      </c>
      <c r="J150" s="165">
        <f>Tbl_HPGeneralCalcs[[#This Row],[heating load (Btu)]]/HPFUELCALC_REF_AFUE/100000</f>
        <v>1.6895021963528553E-3</v>
      </c>
      <c r="K150" s="165">
        <f>IF(Tbl_HPGeneralCalcs[[#This Row],[Temperature, °F]]&lt;=RESISTANCE_HEAT_THRESHOLD,1,IF($H$33+$H$34*Tbl_HPGeneralCalcs[[#This Row],[Temperature, °F]]&lt;1,1,($H$33+$H$34*Tbl_HPGeneralCalcs[[#This Row],[Temperature, °F]])*INPUT_HEATPUMP_EFFICIENCY_FACTOR))</f>
        <v>2.7782</v>
      </c>
      <c r="L150" s="165">
        <f>KWH_PER_BTU*Tbl_HPGeneralCalcs[[#This Row],[heating load (Btu)]]/Tbl_HPGeneralCalcs[[#This Row],[COP - DMSHP]]</f>
        <v>1.782322260190624E-2</v>
      </c>
      <c r="M150" s="165">
        <f>HPFUELCALC_REF_DMSHPFAN*HPFUELCALC_REF_DMSHPFAN_CF*Tbl_HPGeneralCalcs[[#This Row],[Number of hours]]</f>
        <v>0.25</v>
      </c>
      <c r="N150" s="165">
        <f>Tbl_HPGeneralCalcs[[#This Row],[heating load (Btu)]]/HPFUELCALC_REF_AFUE/100000</f>
        <v>1.6895021963528553E-3</v>
      </c>
    </row>
    <row r="151" spans="2:14" x14ac:dyDescent="0.2">
      <c r="B151" s="16"/>
      <c r="C151" s="164">
        <v>35</v>
      </c>
      <c r="D151" s="164">
        <v>307</v>
      </c>
      <c r="E151" s="164">
        <f>IF((65-Tbl_HPGeneralCalcs[[#This Row],[Temperature, °F]])*Tbl_HPGeneralCalcs[[#This Row],[Number of hours]]&lt;0,0,(65-Tbl_HPGeneralCalcs[[#This Row],[Temperature, °F]])*Tbl_HPGeneralCalcs[[#This Row],[Number of hours]])</f>
        <v>9210</v>
      </c>
      <c r="F151" s="164">
        <f>(Tbl_HPGeneralCalcs[[#This Row],[Heating-degree hours (MMBtu)]]/SUM(Tbl_HPGeneralCalcs[Heating-degree hours (MMBtu)]))*$S$30*10^6</f>
        <v>50194.56525293483</v>
      </c>
      <c r="G151" s="164">
        <f>IF(Tbl_HPGeneralCalcs[[#This Row],[Temperature, °F]]&lt;=RESISTANCE_HEAT_THRESHOLD,1,IF($D$33+$D$34*Tbl_HPGeneralCalcs[[#This Row],[Temperature, °F]]&lt;1,1,($D$33+$D$34*Tbl_HPGeneralCalcs[[#This Row],[Temperature, °F]])*INPUT_HEATPUMP_EFFICIENCY_FACTOR))</f>
        <v>3.2531999999999996</v>
      </c>
      <c r="H151" s="165">
        <f>KWH_PER_BTU*Tbl_HPGeneralCalcs[[#This Row],[heating load (Btu)]]/Tbl_HPGeneralCalcs[[#This Row],[COP - CHP]]</f>
        <v>4.5220661489668998</v>
      </c>
      <c r="I151" s="165">
        <f>HPFUELCALC_REF_FUELPOWER_KW*HPFUELCALC_REF_FUELPOWER_CF*Tbl_HPGeneralCalcs[[#This Row],[Number of hours]]</f>
        <v>76.75</v>
      </c>
      <c r="J151" s="165">
        <f>Tbl_HPGeneralCalcs[[#This Row],[heating load (Btu)]]/HPFUELCALC_REF_AFUE/100000</f>
        <v>0.50194565252934831</v>
      </c>
      <c r="K151" s="165">
        <f>IF(Tbl_HPGeneralCalcs[[#This Row],[Temperature, °F]]&lt;=RESISTANCE_HEAT_THRESHOLD,1,IF($H$33+$H$34*Tbl_HPGeneralCalcs[[#This Row],[Temperature, °F]]&lt;1,1,($H$33+$H$34*Tbl_HPGeneralCalcs[[#This Row],[Temperature, °F]])*INPUT_HEATPUMP_EFFICIENCY_FACTOR))</f>
        <v>2.8053999999999997</v>
      </c>
      <c r="L151" s="165">
        <f>KWH_PER_BTU*Tbl_HPGeneralCalcs[[#This Row],[heating load (Btu)]]/Tbl_HPGeneralCalcs[[#This Row],[COP - DMSHP]]</f>
        <v>5.2438816553144356</v>
      </c>
      <c r="M151" s="165">
        <f>HPFUELCALC_REF_DMSHPFAN*HPFUELCALC_REF_DMSHPFAN_CF*Tbl_HPGeneralCalcs[[#This Row],[Number of hours]]</f>
        <v>76.75</v>
      </c>
      <c r="N151" s="165">
        <f>Tbl_HPGeneralCalcs[[#This Row],[heating load (Btu)]]/HPFUELCALC_REF_AFUE/100000</f>
        <v>0.50194565252934831</v>
      </c>
    </row>
    <row r="152" spans="2:14" x14ac:dyDescent="0.2">
      <c r="B152" s="16"/>
      <c r="C152" s="164">
        <v>36</v>
      </c>
      <c r="D152" s="164">
        <v>1</v>
      </c>
      <c r="E152" s="164">
        <f>IF((65-Tbl_HPGeneralCalcs[[#This Row],[Temperature, °F]])*Tbl_HPGeneralCalcs[[#This Row],[Number of hours]]&lt;0,0,(65-Tbl_HPGeneralCalcs[[#This Row],[Temperature, °F]])*Tbl_HPGeneralCalcs[[#This Row],[Number of hours]])</f>
        <v>29</v>
      </c>
      <c r="F152" s="164">
        <f>(Tbl_HPGeneralCalcs[[#This Row],[Heating-degree hours (MMBtu)]]/SUM(Tbl_HPGeneralCalcs[Heating-degree hours (MMBtu)]))*$S$30*10^6</f>
        <v>158.05020546526711</v>
      </c>
      <c r="G152" s="164">
        <f>IF(Tbl_HPGeneralCalcs[[#This Row],[Temperature, °F]]&lt;=RESISTANCE_HEAT_THRESHOLD,1,IF($D$33+$D$34*Tbl_HPGeneralCalcs[[#This Row],[Temperature, °F]]&lt;1,1,($D$33+$D$34*Tbl_HPGeneralCalcs[[#This Row],[Temperature, °F]])*INPUT_HEATPUMP_EFFICIENCY_FACTOR))</f>
        <v>3.2984999999999998</v>
      </c>
      <c r="H152" s="165">
        <f>KWH_PER_BTU*Tbl_HPGeneralCalcs[[#This Row],[heating load (Btu)]]/Tbl_HPGeneralCalcs[[#This Row],[COP - CHP]]</f>
        <v>1.4043312296849124E-2</v>
      </c>
      <c r="I152" s="165">
        <f>HPFUELCALC_REF_FUELPOWER_KW*HPFUELCALC_REF_FUELPOWER_CF*Tbl_HPGeneralCalcs[[#This Row],[Number of hours]]</f>
        <v>0.25</v>
      </c>
      <c r="J152" s="165">
        <f>Tbl_HPGeneralCalcs[[#This Row],[heating load (Btu)]]/HPFUELCALC_REF_AFUE/100000</f>
        <v>1.5805020546526712E-3</v>
      </c>
      <c r="K152" s="165">
        <f>IF(Tbl_HPGeneralCalcs[[#This Row],[Temperature, °F]]&lt;=RESISTANCE_HEAT_THRESHOLD,1,IF($H$33+$H$34*Tbl_HPGeneralCalcs[[#This Row],[Temperature, °F]]&lt;1,1,($H$33+$H$34*Tbl_HPGeneralCalcs[[#This Row],[Temperature, °F]])*INPUT_HEATPUMP_EFFICIENCY_FACTOR))</f>
        <v>2.8325999999999998</v>
      </c>
      <c r="L152" s="165">
        <f>KWH_PER_BTU*Tbl_HPGeneralCalcs[[#This Row],[heating load (Btu)]]/Tbl_HPGeneralCalcs[[#This Row],[COP - DMSHP]]</f>
        <v>1.6353126318984973E-2</v>
      </c>
      <c r="M152" s="165">
        <f>HPFUELCALC_REF_DMSHPFAN*HPFUELCALC_REF_DMSHPFAN_CF*Tbl_HPGeneralCalcs[[#This Row],[Number of hours]]</f>
        <v>0.25</v>
      </c>
      <c r="N152" s="165">
        <f>Tbl_HPGeneralCalcs[[#This Row],[heating load (Btu)]]/HPFUELCALC_REF_AFUE/100000</f>
        <v>1.5805020546526712E-3</v>
      </c>
    </row>
    <row r="153" spans="2:14" x14ac:dyDescent="0.2">
      <c r="B153" s="16"/>
      <c r="C153" s="164">
        <v>37</v>
      </c>
      <c r="D153" s="164">
        <v>241</v>
      </c>
      <c r="E153" s="164">
        <f>IF((65-Tbl_HPGeneralCalcs[[#This Row],[Temperature, °F]])*Tbl_HPGeneralCalcs[[#This Row],[Number of hours]]&lt;0,0,(65-Tbl_HPGeneralCalcs[[#This Row],[Temperature, °F]])*Tbl_HPGeneralCalcs[[#This Row],[Number of hours]])</f>
        <v>6748</v>
      </c>
      <c r="F153" s="164">
        <f>(Tbl_HPGeneralCalcs[[#This Row],[Heating-degree hours (MMBtu)]]/SUM(Tbl_HPGeneralCalcs[Heating-degree hours (MMBtu)]))*$S$30*10^6</f>
        <v>36776.647809642156</v>
      </c>
      <c r="G153" s="164">
        <f>IF(Tbl_HPGeneralCalcs[[#This Row],[Temperature, °F]]&lt;=RESISTANCE_HEAT_THRESHOLD,1,IF($D$33+$D$34*Tbl_HPGeneralCalcs[[#This Row],[Temperature, °F]]&lt;1,1,($D$33+$D$34*Tbl_HPGeneralCalcs[[#This Row],[Temperature, °F]])*INPUT_HEATPUMP_EFFICIENCY_FACTOR))</f>
        <v>3.3437999999999999</v>
      </c>
      <c r="H153" s="165">
        <f>KWH_PER_BTU*Tbl_HPGeneralCalcs[[#This Row],[heating load (Btu)]]/Tbl_HPGeneralCalcs[[#This Row],[COP - CHP]]</f>
        <v>3.2234640038288704</v>
      </c>
      <c r="I153" s="165">
        <f>HPFUELCALC_REF_FUELPOWER_KW*HPFUELCALC_REF_FUELPOWER_CF*Tbl_HPGeneralCalcs[[#This Row],[Number of hours]]</f>
        <v>60.25</v>
      </c>
      <c r="J153" s="165">
        <f>Tbl_HPGeneralCalcs[[#This Row],[heating load (Btu)]]/HPFUELCALC_REF_AFUE/100000</f>
        <v>0.36776647809642155</v>
      </c>
      <c r="K153" s="165">
        <f>IF(Tbl_HPGeneralCalcs[[#This Row],[Temperature, °F]]&lt;=RESISTANCE_HEAT_THRESHOLD,1,IF($H$33+$H$34*Tbl_HPGeneralCalcs[[#This Row],[Temperature, °F]]&lt;1,1,($H$33+$H$34*Tbl_HPGeneralCalcs[[#This Row],[Temperature, °F]])*INPUT_HEATPUMP_EFFICIENCY_FACTOR))</f>
        <v>2.8597999999999999</v>
      </c>
      <c r="L153" s="165">
        <f>KWH_PER_BTU*Tbl_HPGeneralCalcs[[#This Row],[heating load (Btu)]]/Tbl_HPGeneralCalcs[[#This Row],[COP - DMSHP]]</f>
        <v>3.7690114469553735</v>
      </c>
      <c r="M153" s="165">
        <f>HPFUELCALC_REF_DMSHPFAN*HPFUELCALC_REF_DMSHPFAN_CF*Tbl_HPGeneralCalcs[[#This Row],[Number of hours]]</f>
        <v>60.25</v>
      </c>
      <c r="N153" s="165">
        <f>Tbl_HPGeneralCalcs[[#This Row],[heating load (Btu)]]/HPFUELCALC_REF_AFUE/100000</f>
        <v>0.36776647809642155</v>
      </c>
    </row>
    <row r="154" spans="2:14" x14ac:dyDescent="0.2">
      <c r="B154" s="16"/>
      <c r="C154" s="164">
        <v>38</v>
      </c>
      <c r="D154" s="164">
        <v>0</v>
      </c>
      <c r="E154" s="164">
        <f>IF((65-Tbl_HPGeneralCalcs[[#This Row],[Temperature, °F]])*Tbl_HPGeneralCalcs[[#This Row],[Number of hours]]&lt;0,0,(65-Tbl_HPGeneralCalcs[[#This Row],[Temperature, °F]])*Tbl_HPGeneralCalcs[[#This Row],[Number of hours]])</f>
        <v>0</v>
      </c>
      <c r="F154" s="164">
        <f>(Tbl_HPGeneralCalcs[[#This Row],[Heating-degree hours (MMBtu)]]/SUM(Tbl_HPGeneralCalcs[Heating-degree hours (MMBtu)]))*$S$30*10^6</f>
        <v>0</v>
      </c>
      <c r="G154" s="164">
        <f>IF(Tbl_HPGeneralCalcs[[#This Row],[Temperature, °F]]&lt;=RESISTANCE_HEAT_THRESHOLD,1,IF($D$33+$D$34*Tbl_HPGeneralCalcs[[#This Row],[Temperature, °F]]&lt;1,1,($D$33+$D$34*Tbl_HPGeneralCalcs[[#This Row],[Temperature, °F]])*INPUT_HEATPUMP_EFFICIENCY_FACTOR))</f>
        <v>3.3891</v>
      </c>
      <c r="H154" s="165">
        <f>KWH_PER_BTU*Tbl_HPGeneralCalcs[[#This Row],[heating load (Btu)]]/Tbl_HPGeneralCalcs[[#This Row],[COP - CHP]]</f>
        <v>0</v>
      </c>
      <c r="I154" s="165">
        <f>HPFUELCALC_REF_FUELPOWER_KW*HPFUELCALC_REF_FUELPOWER_CF*Tbl_HPGeneralCalcs[[#This Row],[Number of hours]]</f>
        <v>0</v>
      </c>
      <c r="J154" s="165">
        <f>Tbl_HPGeneralCalcs[[#This Row],[heating load (Btu)]]/HPFUELCALC_REF_AFUE/100000</f>
        <v>0</v>
      </c>
      <c r="K154" s="165">
        <f>IF(Tbl_HPGeneralCalcs[[#This Row],[Temperature, °F]]&lt;=RESISTANCE_HEAT_THRESHOLD,1,IF($H$33+$H$34*Tbl_HPGeneralCalcs[[#This Row],[Temperature, °F]]&lt;1,1,($H$33+$H$34*Tbl_HPGeneralCalcs[[#This Row],[Temperature, °F]])*INPUT_HEATPUMP_EFFICIENCY_FACTOR))</f>
        <v>2.8869999999999996</v>
      </c>
      <c r="L154" s="165">
        <f>KWH_PER_BTU*Tbl_HPGeneralCalcs[[#This Row],[heating load (Btu)]]/Tbl_HPGeneralCalcs[[#This Row],[COP - DMSHP]]</f>
        <v>0</v>
      </c>
      <c r="M154" s="165">
        <f>HPFUELCALC_REF_DMSHPFAN*HPFUELCALC_REF_DMSHPFAN_CF*Tbl_HPGeneralCalcs[[#This Row],[Number of hours]]</f>
        <v>0</v>
      </c>
      <c r="N154" s="165">
        <f>Tbl_HPGeneralCalcs[[#This Row],[heating load (Btu)]]/HPFUELCALC_REF_AFUE/100000</f>
        <v>0</v>
      </c>
    </row>
    <row r="155" spans="2:14" x14ac:dyDescent="0.2">
      <c r="B155" s="16"/>
      <c r="C155" s="164">
        <v>39</v>
      </c>
      <c r="D155" s="164">
        <v>212</v>
      </c>
      <c r="E155" s="164">
        <f>IF((65-Tbl_HPGeneralCalcs[[#This Row],[Temperature, °F]])*Tbl_HPGeneralCalcs[[#This Row],[Number of hours]]&lt;0,0,(65-Tbl_HPGeneralCalcs[[#This Row],[Temperature, °F]])*Tbl_HPGeneralCalcs[[#This Row],[Number of hours]])</f>
        <v>5512</v>
      </c>
      <c r="F155" s="164">
        <f>(Tbl_HPGeneralCalcs[[#This Row],[Heating-degree hours (MMBtu)]]/SUM(Tbl_HPGeneralCalcs[Heating-degree hours (MMBtu)]))*$S$30*10^6</f>
        <v>30040.439052570768</v>
      </c>
      <c r="G155" s="164">
        <f>IF(Tbl_HPGeneralCalcs[[#This Row],[Temperature, °F]]&lt;=RESISTANCE_HEAT_THRESHOLD,1,IF($D$33+$D$34*Tbl_HPGeneralCalcs[[#This Row],[Temperature, °F]]&lt;1,1,($D$33+$D$34*Tbl_HPGeneralCalcs[[#This Row],[Temperature, °F]])*INPUT_HEATPUMP_EFFICIENCY_FACTOR))</f>
        <v>3.4344000000000001</v>
      </c>
      <c r="H155" s="165">
        <f>KWH_PER_BTU*Tbl_HPGeneralCalcs[[#This Row],[heating load (Btu)]]/Tbl_HPGeneralCalcs[[#This Row],[COP - CHP]]</f>
        <v>2.5635770666029742</v>
      </c>
      <c r="I155" s="165">
        <f>HPFUELCALC_REF_FUELPOWER_KW*HPFUELCALC_REF_FUELPOWER_CF*Tbl_HPGeneralCalcs[[#This Row],[Number of hours]]</f>
        <v>53</v>
      </c>
      <c r="J155" s="165">
        <f>Tbl_HPGeneralCalcs[[#This Row],[heating load (Btu)]]/HPFUELCALC_REF_AFUE/100000</f>
        <v>0.30040439052570767</v>
      </c>
      <c r="K155" s="165">
        <f>IF(Tbl_HPGeneralCalcs[[#This Row],[Temperature, °F]]&lt;=RESISTANCE_HEAT_THRESHOLD,1,IF($H$33+$H$34*Tbl_HPGeneralCalcs[[#This Row],[Temperature, °F]]&lt;1,1,($H$33+$H$34*Tbl_HPGeneralCalcs[[#This Row],[Temperature, °F]])*INPUT_HEATPUMP_EFFICIENCY_FACTOR))</f>
        <v>2.9142000000000001</v>
      </c>
      <c r="L155" s="165">
        <f>KWH_PER_BTU*Tbl_HPGeneralCalcs[[#This Row],[heating load (Btu)]]/Tbl_HPGeneralCalcs[[#This Row],[COP - DMSHP]]</f>
        <v>3.0211890321670629</v>
      </c>
      <c r="M155" s="165">
        <f>HPFUELCALC_REF_DMSHPFAN*HPFUELCALC_REF_DMSHPFAN_CF*Tbl_HPGeneralCalcs[[#This Row],[Number of hours]]</f>
        <v>53</v>
      </c>
      <c r="N155" s="165">
        <f>Tbl_HPGeneralCalcs[[#This Row],[heating load (Btu)]]/HPFUELCALC_REF_AFUE/100000</f>
        <v>0.30040439052570767</v>
      </c>
    </row>
    <row r="156" spans="2:14" x14ac:dyDescent="0.2">
      <c r="B156" s="16"/>
      <c r="C156" s="164">
        <v>40</v>
      </c>
      <c r="D156" s="164">
        <v>0</v>
      </c>
      <c r="E156" s="164">
        <f>IF((65-Tbl_HPGeneralCalcs[[#This Row],[Temperature, °F]])*Tbl_HPGeneralCalcs[[#This Row],[Number of hours]]&lt;0,0,(65-Tbl_HPGeneralCalcs[[#This Row],[Temperature, °F]])*Tbl_HPGeneralCalcs[[#This Row],[Number of hours]])</f>
        <v>0</v>
      </c>
      <c r="F156" s="164">
        <f>(Tbl_HPGeneralCalcs[[#This Row],[Heating-degree hours (MMBtu)]]/SUM(Tbl_HPGeneralCalcs[Heating-degree hours (MMBtu)]))*$S$30*10^6</f>
        <v>0</v>
      </c>
      <c r="G156" s="164">
        <f>IF(Tbl_HPGeneralCalcs[[#This Row],[Temperature, °F]]&lt;=RESISTANCE_HEAT_THRESHOLD,1,IF($D$33+$D$34*Tbl_HPGeneralCalcs[[#This Row],[Temperature, °F]]&lt;1,1,($D$33+$D$34*Tbl_HPGeneralCalcs[[#This Row],[Temperature, °F]])*INPUT_HEATPUMP_EFFICIENCY_FACTOR))</f>
        <v>3.4797000000000002</v>
      </c>
      <c r="H156" s="165">
        <f>KWH_PER_BTU*Tbl_HPGeneralCalcs[[#This Row],[heating load (Btu)]]/Tbl_HPGeneralCalcs[[#This Row],[COP - CHP]]</f>
        <v>0</v>
      </c>
      <c r="I156" s="165">
        <f>HPFUELCALC_REF_FUELPOWER_KW*HPFUELCALC_REF_FUELPOWER_CF*Tbl_HPGeneralCalcs[[#This Row],[Number of hours]]</f>
        <v>0</v>
      </c>
      <c r="J156" s="165">
        <f>Tbl_HPGeneralCalcs[[#This Row],[heating load (Btu)]]/HPFUELCALC_REF_AFUE/100000</f>
        <v>0</v>
      </c>
      <c r="K156" s="165">
        <f>IF(Tbl_HPGeneralCalcs[[#This Row],[Temperature, °F]]&lt;=RESISTANCE_HEAT_THRESHOLD,1,IF($H$33+$H$34*Tbl_HPGeneralCalcs[[#This Row],[Temperature, °F]]&lt;1,1,($H$33+$H$34*Tbl_HPGeneralCalcs[[#This Row],[Temperature, °F]])*INPUT_HEATPUMP_EFFICIENCY_FACTOR))</f>
        <v>2.9413999999999998</v>
      </c>
      <c r="L156" s="165">
        <f>KWH_PER_BTU*Tbl_HPGeneralCalcs[[#This Row],[heating load (Btu)]]/Tbl_HPGeneralCalcs[[#This Row],[COP - DMSHP]]</f>
        <v>0</v>
      </c>
      <c r="M156" s="165">
        <f>HPFUELCALC_REF_DMSHPFAN*HPFUELCALC_REF_DMSHPFAN_CF*Tbl_HPGeneralCalcs[[#This Row],[Number of hours]]</f>
        <v>0</v>
      </c>
      <c r="N156" s="165">
        <f>Tbl_HPGeneralCalcs[[#This Row],[heating load (Btu)]]/HPFUELCALC_REF_AFUE/100000</f>
        <v>0</v>
      </c>
    </row>
    <row r="157" spans="2:14" x14ac:dyDescent="0.2">
      <c r="B157" s="16"/>
      <c r="C157" s="164">
        <v>41</v>
      </c>
      <c r="D157" s="164">
        <v>109</v>
      </c>
      <c r="E157" s="164">
        <f>IF((65-Tbl_HPGeneralCalcs[[#This Row],[Temperature, °F]])*Tbl_HPGeneralCalcs[[#This Row],[Number of hours]]&lt;0,0,(65-Tbl_HPGeneralCalcs[[#This Row],[Temperature, °F]])*Tbl_HPGeneralCalcs[[#This Row],[Number of hours]])</f>
        <v>2616</v>
      </c>
      <c r="F157" s="164">
        <f>(Tbl_HPGeneralCalcs[[#This Row],[Heating-degree hours (MMBtu)]]/SUM(Tbl_HPGeneralCalcs[Heating-degree hours (MMBtu)]))*$S$30*10^6</f>
        <v>14257.218534384094</v>
      </c>
      <c r="G157" s="164">
        <f>IF(Tbl_HPGeneralCalcs[[#This Row],[Temperature, °F]]&lt;=RESISTANCE_HEAT_THRESHOLD,1,IF($D$33+$D$34*Tbl_HPGeneralCalcs[[#This Row],[Temperature, °F]]&lt;1,1,($D$33+$D$34*Tbl_HPGeneralCalcs[[#This Row],[Temperature, °F]])*INPUT_HEATPUMP_EFFICIENCY_FACTOR))</f>
        <v>3.5249999999999999</v>
      </c>
      <c r="H157" s="165">
        <f>KWH_PER_BTU*Tbl_HPGeneralCalcs[[#This Row],[heating load (Btu)]]/Tbl_HPGeneralCalcs[[#This Row],[COP - CHP]]</f>
        <v>1.1854047487286501</v>
      </c>
      <c r="I157" s="165">
        <f>HPFUELCALC_REF_FUELPOWER_KW*HPFUELCALC_REF_FUELPOWER_CF*Tbl_HPGeneralCalcs[[#This Row],[Number of hours]]</f>
        <v>27.25</v>
      </c>
      <c r="J157" s="165">
        <f>Tbl_HPGeneralCalcs[[#This Row],[heating load (Btu)]]/HPFUELCALC_REF_AFUE/100000</f>
        <v>0.14257218534384095</v>
      </c>
      <c r="K157" s="165">
        <f>IF(Tbl_HPGeneralCalcs[[#This Row],[Temperature, °F]]&lt;=RESISTANCE_HEAT_THRESHOLD,1,IF($H$33+$H$34*Tbl_HPGeneralCalcs[[#This Row],[Temperature, °F]]&lt;1,1,($H$33+$H$34*Tbl_HPGeneralCalcs[[#This Row],[Temperature, °F]])*INPUT_HEATPUMP_EFFICIENCY_FACTOR))</f>
        <v>2.9685999999999999</v>
      </c>
      <c r="L157" s="165">
        <f>KWH_PER_BTU*Tbl_HPGeneralCalcs[[#This Row],[heating load (Btu)]]/Tbl_HPGeneralCalcs[[#This Row],[COP - DMSHP]]</f>
        <v>1.4075832848037768</v>
      </c>
      <c r="M157" s="165">
        <f>HPFUELCALC_REF_DMSHPFAN*HPFUELCALC_REF_DMSHPFAN_CF*Tbl_HPGeneralCalcs[[#This Row],[Number of hours]]</f>
        <v>27.25</v>
      </c>
      <c r="N157" s="165">
        <f>Tbl_HPGeneralCalcs[[#This Row],[heating load (Btu)]]/HPFUELCALC_REF_AFUE/100000</f>
        <v>0.14257218534384095</v>
      </c>
    </row>
    <row r="158" spans="2:14" x14ac:dyDescent="0.2">
      <c r="B158" s="16"/>
      <c r="C158" s="164">
        <v>42</v>
      </c>
      <c r="D158" s="164">
        <v>191</v>
      </c>
      <c r="E158" s="164">
        <f>IF((65-Tbl_HPGeneralCalcs[[#This Row],[Temperature, °F]])*Tbl_HPGeneralCalcs[[#This Row],[Number of hours]]&lt;0,0,(65-Tbl_HPGeneralCalcs[[#This Row],[Temperature, °F]])*Tbl_HPGeneralCalcs[[#This Row],[Number of hours]])</f>
        <v>4393</v>
      </c>
      <c r="F158" s="164">
        <f>(Tbl_HPGeneralCalcs[[#This Row],[Heating-degree hours (MMBtu)]]/SUM(Tbl_HPGeneralCalcs[Heating-degree hours (MMBtu)]))*$S$30*10^6</f>
        <v>23941.881124445463</v>
      </c>
      <c r="G158" s="164">
        <f>IF(Tbl_HPGeneralCalcs[[#This Row],[Temperature, °F]]&lt;=RESISTANCE_HEAT_THRESHOLD,1,IF($D$33+$D$34*Tbl_HPGeneralCalcs[[#This Row],[Temperature, °F]]&lt;1,1,($D$33+$D$34*Tbl_HPGeneralCalcs[[#This Row],[Temperature, °F]])*INPUT_HEATPUMP_EFFICIENCY_FACTOR))</f>
        <v>3.5703</v>
      </c>
      <c r="H158" s="165">
        <f>KWH_PER_BTU*Tbl_HPGeneralCalcs[[#This Row],[heating load (Btu)]]/Tbl_HPGeneralCalcs[[#This Row],[COP - CHP]]</f>
        <v>1.965370973653445</v>
      </c>
      <c r="I158" s="165">
        <f>HPFUELCALC_REF_FUELPOWER_KW*HPFUELCALC_REF_FUELPOWER_CF*Tbl_HPGeneralCalcs[[#This Row],[Number of hours]]</f>
        <v>47.75</v>
      </c>
      <c r="J158" s="165">
        <f>Tbl_HPGeneralCalcs[[#This Row],[heating load (Btu)]]/HPFUELCALC_REF_AFUE/100000</f>
        <v>0.23941881124445463</v>
      </c>
      <c r="K158" s="165">
        <f>IF(Tbl_HPGeneralCalcs[[#This Row],[Temperature, °F]]&lt;=RESISTANCE_HEAT_THRESHOLD,1,IF($H$33+$H$34*Tbl_HPGeneralCalcs[[#This Row],[Temperature, °F]]&lt;1,1,($H$33+$H$34*Tbl_HPGeneralCalcs[[#This Row],[Temperature, °F]])*INPUT_HEATPUMP_EFFICIENCY_FACTOR))</f>
        <v>2.9958</v>
      </c>
      <c r="L158" s="165">
        <f>KWH_PER_BTU*Tbl_HPGeneralCalcs[[#This Row],[heating load (Btu)]]/Tbl_HPGeneralCalcs[[#This Row],[COP - DMSHP]]</f>
        <v>2.3422671697826609</v>
      </c>
      <c r="M158" s="165">
        <f>HPFUELCALC_REF_DMSHPFAN*HPFUELCALC_REF_DMSHPFAN_CF*Tbl_HPGeneralCalcs[[#This Row],[Number of hours]]</f>
        <v>47.75</v>
      </c>
      <c r="N158" s="165">
        <f>Tbl_HPGeneralCalcs[[#This Row],[heating load (Btu)]]/HPFUELCALC_REF_AFUE/100000</f>
        <v>0.23941881124445463</v>
      </c>
    </row>
    <row r="159" spans="2:14" x14ac:dyDescent="0.2">
      <c r="B159" s="16"/>
      <c r="C159" s="164">
        <v>43</v>
      </c>
      <c r="D159" s="164">
        <v>1</v>
      </c>
      <c r="E159" s="164">
        <f>IF((65-Tbl_HPGeneralCalcs[[#This Row],[Temperature, °F]])*Tbl_HPGeneralCalcs[[#This Row],[Number of hours]]&lt;0,0,(65-Tbl_HPGeneralCalcs[[#This Row],[Temperature, °F]])*Tbl_HPGeneralCalcs[[#This Row],[Number of hours]])</f>
        <v>22</v>
      </c>
      <c r="F159" s="164">
        <f>(Tbl_HPGeneralCalcs[[#This Row],[Heating-degree hours (MMBtu)]]/SUM(Tbl_HPGeneralCalcs[Heating-degree hours (MMBtu)]))*$S$30*10^6</f>
        <v>119.90015587020264</v>
      </c>
      <c r="G159" s="164">
        <f>IF(Tbl_HPGeneralCalcs[[#This Row],[Temperature, °F]]&lt;=RESISTANCE_HEAT_THRESHOLD,1,IF($D$33+$D$34*Tbl_HPGeneralCalcs[[#This Row],[Temperature, °F]]&lt;1,1,($D$33+$D$34*Tbl_HPGeneralCalcs[[#This Row],[Temperature, °F]])*INPUT_HEATPUMP_EFFICIENCY_FACTOR))</f>
        <v>3.6155999999999997</v>
      </c>
      <c r="H159" s="165">
        <f>KWH_PER_BTU*Tbl_HPGeneralCalcs[[#This Row],[heating load (Btu)]]/Tbl_HPGeneralCalcs[[#This Row],[COP - CHP]]</f>
        <v>9.7191961599872798E-3</v>
      </c>
      <c r="I159" s="165">
        <f>HPFUELCALC_REF_FUELPOWER_KW*HPFUELCALC_REF_FUELPOWER_CF*Tbl_HPGeneralCalcs[[#This Row],[Number of hours]]</f>
        <v>0.25</v>
      </c>
      <c r="J159" s="165">
        <f>Tbl_HPGeneralCalcs[[#This Row],[heating load (Btu)]]/HPFUELCALC_REF_AFUE/100000</f>
        <v>1.1990015587020264E-3</v>
      </c>
      <c r="K159" s="165">
        <f>IF(Tbl_HPGeneralCalcs[[#This Row],[Temperature, °F]]&lt;=RESISTANCE_HEAT_THRESHOLD,1,IF($H$33+$H$34*Tbl_HPGeneralCalcs[[#This Row],[Temperature, °F]]&lt;1,1,($H$33+$H$34*Tbl_HPGeneralCalcs[[#This Row],[Temperature, °F]])*INPUT_HEATPUMP_EFFICIENCY_FACTOR))</f>
        <v>3.0229999999999997</v>
      </c>
      <c r="L159" s="165">
        <f>KWH_PER_BTU*Tbl_HPGeneralCalcs[[#This Row],[heating load (Btu)]]/Tbl_HPGeneralCalcs[[#This Row],[COP - DMSHP]]</f>
        <v>1.1624454394988427E-2</v>
      </c>
      <c r="M159" s="165">
        <f>HPFUELCALC_REF_DMSHPFAN*HPFUELCALC_REF_DMSHPFAN_CF*Tbl_HPGeneralCalcs[[#This Row],[Number of hours]]</f>
        <v>0.25</v>
      </c>
      <c r="N159" s="165">
        <f>Tbl_HPGeneralCalcs[[#This Row],[heating load (Btu)]]/HPFUELCALC_REF_AFUE/100000</f>
        <v>1.1990015587020264E-3</v>
      </c>
    </row>
    <row r="160" spans="2:14" x14ac:dyDescent="0.2">
      <c r="B160" s="16"/>
      <c r="C160" s="164">
        <v>44</v>
      </c>
      <c r="D160" s="164">
        <v>195</v>
      </c>
      <c r="E160" s="164">
        <f>IF((65-Tbl_HPGeneralCalcs[[#This Row],[Temperature, °F]])*Tbl_HPGeneralCalcs[[#This Row],[Number of hours]]&lt;0,0,(65-Tbl_HPGeneralCalcs[[#This Row],[Temperature, °F]])*Tbl_HPGeneralCalcs[[#This Row],[Number of hours]])</f>
        <v>4095</v>
      </c>
      <c r="F160" s="164">
        <f>(Tbl_HPGeneralCalcs[[#This Row],[Heating-degree hours (MMBtu)]]/SUM(Tbl_HPGeneralCalcs[Heating-degree hours (MMBtu)]))*$S$30*10^6</f>
        <v>22317.779013112719</v>
      </c>
      <c r="G160" s="164">
        <f>IF(Tbl_HPGeneralCalcs[[#This Row],[Temperature, °F]]&lt;=RESISTANCE_HEAT_THRESHOLD,1,IF($D$33+$D$34*Tbl_HPGeneralCalcs[[#This Row],[Temperature, °F]]&lt;1,1,($D$33+$D$34*Tbl_HPGeneralCalcs[[#This Row],[Temperature, °F]])*INPUT_HEATPUMP_EFFICIENCY_FACTOR))</f>
        <v>3.6608999999999998</v>
      </c>
      <c r="H160" s="165">
        <f>KWH_PER_BTU*Tbl_HPGeneralCalcs[[#This Row],[heating load (Btu)]]/Tbl_HPGeneralCalcs[[#This Row],[COP - CHP]]</f>
        <v>1.7867100673160947</v>
      </c>
      <c r="I160" s="165">
        <f>HPFUELCALC_REF_FUELPOWER_KW*HPFUELCALC_REF_FUELPOWER_CF*Tbl_HPGeneralCalcs[[#This Row],[Number of hours]]</f>
        <v>48.75</v>
      </c>
      <c r="J160" s="165">
        <f>Tbl_HPGeneralCalcs[[#This Row],[heating load (Btu)]]/HPFUELCALC_REF_AFUE/100000</f>
        <v>0.22317779013112718</v>
      </c>
      <c r="K160" s="165">
        <f>IF(Tbl_HPGeneralCalcs[[#This Row],[Temperature, °F]]&lt;=RESISTANCE_HEAT_THRESHOLD,1,IF($H$33+$H$34*Tbl_HPGeneralCalcs[[#This Row],[Temperature, °F]]&lt;1,1,($H$33+$H$34*Tbl_HPGeneralCalcs[[#This Row],[Temperature, °F]])*INPUT_HEATPUMP_EFFICIENCY_FACTOR))</f>
        <v>3.0501999999999998</v>
      </c>
      <c r="L160" s="165">
        <f>KWH_PER_BTU*Tbl_HPGeneralCalcs[[#This Row],[heating load (Btu)]]/Tbl_HPGeneralCalcs[[#This Row],[COP - DMSHP]]</f>
        <v>2.1444386877704713</v>
      </c>
      <c r="M160" s="165">
        <f>HPFUELCALC_REF_DMSHPFAN*HPFUELCALC_REF_DMSHPFAN_CF*Tbl_HPGeneralCalcs[[#This Row],[Number of hours]]</f>
        <v>48.75</v>
      </c>
      <c r="N160" s="165">
        <f>Tbl_HPGeneralCalcs[[#This Row],[heating load (Btu)]]/HPFUELCALC_REF_AFUE/100000</f>
        <v>0.22317779013112718</v>
      </c>
    </row>
    <row r="161" spans="2:14" x14ac:dyDescent="0.2">
      <c r="B161" s="16"/>
      <c r="C161" s="164">
        <v>45</v>
      </c>
      <c r="D161" s="164">
        <v>4</v>
      </c>
      <c r="E161" s="164">
        <f>IF((65-Tbl_HPGeneralCalcs[[#This Row],[Temperature, °F]])*Tbl_HPGeneralCalcs[[#This Row],[Number of hours]]&lt;0,0,(65-Tbl_HPGeneralCalcs[[#This Row],[Temperature, °F]])*Tbl_HPGeneralCalcs[[#This Row],[Number of hours]])</f>
        <v>80</v>
      </c>
      <c r="F161" s="164">
        <f>(Tbl_HPGeneralCalcs[[#This Row],[Heating-degree hours (MMBtu)]]/SUM(Tbl_HPGeneralCalcs[Heating-degree hours (MMBtu)]))*$S$30*10^6</f>
        <v>436.00056680073686</v>
      </c>
      <c r="G161" s="164">
        <f>IF(Tbl_HPGeneralCalcs[[#This Row],[Temperature, °F]]&lt;=RESISTANCE_HEAT_THRESHOLD,1,IF($D$33+$D$34*Tbl_HPGeneralCalcs[[#This Row],[Temperature, °F]]&lt;1,1,($D$33+$D$34*Tbl_HPGeneralCalcs[[#This Row],[Temperature, °F]])*INPUT_HEATPUMP_EFFICIENCY_FACTOR))</f>
        <v>3.7061999999999999</v>
      </c>
      <c r="H161" s="165">
        <f>KWH_PER_BTU*Tbl_HPGeneralCalcs[[#This Row],[heating load (Btu)]]/Tbl_HPGeneralCalcs[[#This Row],[COP - CHP]]</f>
        <v>3.4478564799083608E-2</v>
      </c>
      <c r="I161" s="165">
        <f>HPFUELCALC_REF_FUELPOWER_KW*HPFUELCALC_REF_FUELPOWER_CF*Tbl_HPGeneralCalcs[[#This Row],[Number of hours]]</f>
        <v>1</v>
      </c>
      <c r="J161" s="165">
        <f>Tbl_HPGeneralCalcs[[#This Row],[heating load (Btu)]]/HPFUELCALC_REF_AFUE/100000</f>
        <v>4.3600056680073683E-3</v>
      </c>
      <c r="K161" s="165">
        <f>IF(Tbl_HPGeneralCalcs[[#This Row],[Temperature, °F]]&lt;=RESISTANCE_HEAT_THRESHOLD,1,IF($H$33+$H$34*Tbl_HPGeneralCalcs[[#This Row],[Temperature, °F]]&lt;1,1,($H$33+$H$34*Tbl_HPGeneralCalcs[[#This Row],[Temperature, °F]])*INPUT_HEATPUMP_EFFICIENCY_FACTOR))</f>
        <v>3.0773999999999999</v>
      </c>
      <c r="L161" s="165">
        <f>KWH_PER_BTU*Tbl_HPGeneralCalcs[[#This Row],[heating load (Btu)]]/Tbl_HPGeneralCalcs[[#This Row],[COP - DMSHP]]</f>
        <v>4.1523512334556339E-2</v>
      </c>
      <c r="M161" s="165">
        <f>HPFUELCALC_REF_DMSHPFAN*HPFUELCALC_REF_DMSHPFAN_CF*Tbl_HPGeneralCalcs[[#This Row],[Number of hours]]</f>
        <v>1</v>
      </c>
      <c r="N161" s="165">
        <f>Tbl_HPGeneralCalcs[[#This Row],[heating load (Btu)]]/HPFUELCALC_REF_AFUE/100000</f>
        <v>4.3600056680073683E-3</v>
      </c>
    </row>
    <row r="162" spans="2:14" x14ac:dyDescent="0.2">
      <c r="B162" s="16"/>
      <c r="C162" s="164">
        <v>46</v>
      </c>
      <c r="D162" s="164">
        <v>233</v>
      </c>
      <c r="E162" s="164">
        <f>IF((65-Tbl_HPGeneralCalcs[[#This Row],[Temperature, °F]])*Tbl_HPGeneralCalcs[[#This Row],[Number of hours]]&lt;0,0,(65-Tbl_HPGeneralCalcs[[#This Row],[Temperature, °F]])*Tbl_HPGeneralCalcs[[#This Row],[Number of hours]])</f>
        <v>4427</v>
      </c>
      <c r="F162" s="164">
        <f>(Tbl_HPGeneralCalcs[[#This Row],[Heating-degree hours (MMBtu)]]/SUM(Tbl_HPGeneralCalcs[Heating-degree hours (MMBtu)]))*$S$30*10^6</f>
        <v>24127.181365335775</v>
      </c>
      <c r="G162" s="164">
        <f>IF(Tbl_HPGeneralCalcs[[#This Row],[Temperature, °F]]&lt;=RESISTANCE_HEAT_THRESHOLD,1,IF($D$33+$D$34*Tbl_HPGeneralCalcs[[#This Row],[Temperature, °F]]&lt;1,1,($D$33+$D$34*Tbl_HPGeneralCalcs[[#This Row],[Temperature, °F]])*INPUT_HEATPUMP_EFFICIENCY_FACTOR))</f>
        <v>3.7515000000000001</v>
      </c>
      <c r="H162" s="165">
        <f>KWH_PER_BTU*Tbl_HPGeneralCalcs[[#This Row],[heating load (Btu)]]/Tbl_HPGeneralCalcs[[#This Row],[COP - CHP]]</f>
        <v>1.8849186675728906</v>
      </c>
      <c r="I162" s="165">
        <f>HPFUELCALC_REF_FUELPOWER_KW*HPFUELCALC_REF_FUELPOWER_CF*Tbl_HPGeneralCalcs[[#This Row],[Number of hours]]</f>
        <v>58.25</v>
      </c>
      <c r="J162" s="165">
        <f>Tbl_HPGeneralCalcs[[#This Row],[heating load (Btu)]]/HPFUELCALC_REF_AFUE/100000</f>
        <v>0.24127181365335776</v>
      </c>
      <c r="K162" s="165">
        <f>IF(Tbl_HPGeneralCalcs[[#This Row],[Temperature, °F]]&lt;=RESISTANCE_HEAT_THRESHOLD,1,IF($H$33+$H$34*Tbl_HPGeneralCalcs[[#This Row],[Temperature, °F]]&lt;1,1,($H$33+$H$34*Tbl_HPGeneralCalcs[[#This Row],[Temperature, °F]])*INPUT_HEATPUMP_EFFICIENCY_FACTOR))</f>
        <v>3.1045999999999996</v>
      </c>
      <c r="L162" s="165">
        <f>KWH_PER_BTU*Tbl_HPGeneralCalcs[[#This Row],[heating load (Btu)]]/Tbl_HPGeneralCalcs[[#This Row],[COP - DMSHP]]</f>
        <v>2.2776758298652644</v>
      </c>
      <c r="M162" s="165">
        <f>HPFUELCALC_REF_DMSHPFAN*HPFUELCALC_REF_DMSHPFAN_CF*Tbl_HPGeneralCalcs[[#This Row],[Number of hours]]</f>
        <v>58.25</v>
      </c>
      <c r="N162" s="165">
        <f>Tbl_HPGeneralCalcs[[#This Row],[heating load (Btu)]]/HPFUELCALC_REF_AFUE/100000</f>
        <v>0.24127181365335776</v>
      </c>
    </row>
    <row r="163" spans="2:14" x14ac:dyDescent="0.2">
      <c r="B163" s="16"/>
      <c r="C163" s="164">
        <v>47</v>
      </c>
      <c r="D163" s="164">
        <v>5</v>
      </c>
      <c r="E163" s="164">
        <f>IF((65-Tbl_HPGeneralCalcs[[#This Row],[Temperature, °F]])*Tbl_HPGeneralCalcs[[#This Row],[Number of hours]]&lt;0,0,(65-Tbl_HPGeneralCalcs[[#This Row],[Temperature, °F]])*Tbl_HPGeneralCalcs[[#This Row],[Number of hours]])</f>
        <v>90</v>
      </c>
      <c r="F163" s="164">
        <f>(Tbl_HPGeneralCalcs[[#This Row],[Heating-degree hours (MMBtu)]]/SUM(Tbl_HPGeneralCalcs[Heating-degree hours (MMBtu)]))*$S$30*10^6</f>
        <v>490.50063765082899</v>
      </c>
      <c r="G163" s="164">
        <f>IF(Tbl_HPGeneralCalcs[[#This Row],[Temperature, °F]]&lt;=RESISTANCE_HEAT_THRESHOLD,1,IF($D$33+$D$34*Tbl_HPGeneralCalcs[[#This Row],[Temperature, °F]]&lt;1,1,($D$33+$D$34*Tbl_HPGeneralCalcs[[#This Row],[Temperature, °F]])*INPUT_HEATPUMP_EFFICIENCY_FACTOR))</f>
        <v>3.7968000000000002</v>
      </c>
      <c r="H163" s="165">
        <f>KWH_PER_BTU*Tbl_HPGeneralCalcs[[#This Row],[heating load (Btu)]]/Tbl_HPGeneralCalcs[[#This Row],[COP - CHP]]</f>
        <v>3.7862809198709213E-2</v>
      </c>
      <c r="I163" s="165">
        <f>HPFUELCALC_REF_FUELPOWER_KW*HPFUELCALC_REF_FUELPOWER_CF*Tbl_HPGeneralCalcs[[#This Row],[Number of hours]]</f>
        <v>1.25</v>
      </c>
      <c r="J163" s="165">
        <f>Tbl_HPGeneralCalcs[[#This Row],[heating load (Btu)]]/HPFUELCALC_REF_AFUE/100000</f>
        <v>4.9050063765082898E-3</v>
      </c>
      <c r="K163" s="165">
        <f>IF(Tbl_HPGeneralCalcs[[#This Row],[Temperature, °F]]&lt;=RESISTANCE_HEAT_THRESHOLD,1,IF($H$33+$H$34*Tbl_HPGeneralCalcs[[#This Row],[Temperature, °F]]&lt;1,1,($H$33+$H$34*Tbl_HPGeneralCalcs[[#This Row],[Temperature, °F]])*INPUT_HEATPUMP_EFFICIENCY_FACTOR))</f>
        <v>3.1318000000000001</v>
      </c>
      <c r="L163" s="165">
        <f>KWH_PER_BTU*Tbl_HPGeneralCalcs[[#This Row],[heating load (Btu)]]/Tbl_HPGeneralCalcs[[#This Row],[COP - DMSHP]]</f>
        <v>4.5902520584219661E-2</v>
      </c>
      <c r="M163" s="165">
        <f>HPFUELCALC_REF_DMSHPFAN*HPFUELCALC_REF_DMSHPFAN_CF*Tbl_HPGeneralCalcs[[#This Row],[Number of hours]]</f>
        <v>1.25</v>
      </c>
      <c r="N163" s="165">
        <f>Tbl_HPGeneralCalcs[[#This Row],[heating load (Btu)]]/HPFUELCALC_REF_AFUE/100000</f>
        <v>4.9050063765082898E-3</v>
      </c>
    </row>
    <row r="164" spans="2:14" x14ac:dyDescent="0.2">
      <c r="B164" s="16"/>
      <c r="C164" s="164">
        <v>48</v>
      </c>
      <c r="D164" s="164">
        <v>215</v>
      </c>
      <c r="E164" s="164">
        <f>IF((65-Tbl_HPGeneralCalcs[[#This Row],[Temperature, °F]])*Tbl_HPGeneralCalcs[[#This Row],[Number of hours]]&lt;0,0,(65-Tbl_HPGeneralCalcs[[#This Row],[Temperature, °F]])*Tbl_HPGeneralCalcs[[#This Row],[Number of hours]])</f>
        <v>3655</v>
      </c>
      <c r="F164" s="164">
        <f>(Tbl_HPGeneralCalcs[[#This Row],[Heating-degree hours (MMBtu)]]/SUM(Tbl_HPGeneralCalcs[Heating-degree hours (MMBtu)]))*$S$30*10^6</f>
        <v>19919.775895708663</v>
      </c>
      <c r="G164" s="164">
        <f>IF(Tbl_HPGeneralCalcs[[#This Row],[Temperature, °F]]&lt;=RESISTANCE_HEAT_THRESHOLD,1,IF($D$33+$D$34*Tbl_HPGeneralCalcs[[#This Row],[Temperature, °F]]&lt;1,1,($D$33+$D$34*Tbl_HPGeneralCalcs[[#This Row],[Temperature, °F]])*INPUT_HEATPUMP_EFFICIENCY_FACTOR))</f>
        <v>3.8420999999999998</v>
      </c>
      <c r="H164" s="165">
        <f>KWH_PER_BTU*Tbl_HPGeneralCalcs[[#This Row],[heating load (Btu)]]/Tbl_HPGeneralCalcs[[#This Row],[COP - CHP]]</f>
        <v>1.5195211922429113</v>
      </c>
      <c r="I164" s="165">
        <f>HPFUELCALC_REF_FUELPOWER_KW*HPFUELCALC_REF_FUELPOWER_CF*Tbl_HPGeneralCalcs[[#This Row],[Number of hours]]</f>
        <v>53.75</v>
      </c>
      <c r="J164" s="165">
        <f>Tbl_HPGeneralCalcs[[#This Row],[heating load (Btu)]]/HPFUELCALC_REF_AFUE/100000</f>
        <v>0.19919775895708663</v>
      </c>
      <c r="K164" s="165">
        <f>IF(Tbl_HPGeneralCalcs[[#This Row],[Temperature, °F]]&lt;=RESISTANCE_HEAT_THRESHOLD,1,IF($H$33+$H$34*Tbl_HPGeneralCalcs[[#This Row],[Temperature, °F]]&lt;1,1,($H$33+$H$34*Tbl_HPGeneralCalcs[[#This Row],[Temperature, °F]])*INPUT_HEATPUMP_EFFICIENCY_FACTOR))</f>
        <v>3.1589999999999998</v>
      </c>
      <c r="L164" s="165">
        <f>KWH_PER_BTU*Tbl_HPGeneralCalcs[[#This Row],[heating load (Btu)]]/Tbl_HPGeneralCalcs[[#This Row],[COP - DMSHP]]</f>
        <v>1.8481014158646689</v>
      </c>
      <c r="M164" s="165">
        <f>HPFUELCALC_REF_DMSHPFAN*HPFUELCALC_REF_DMSHPFAN_CF*Tbl_HPGeneralCalcs[[#This Row],[Number of hours]]</f>
        <v>53.75</v>
      </c>
      <c r="N164" s="165">
        <f>Tbl_HPGeneralCalcs[[#This Row],[heating load (Btu)]]/HPFUELCALC_REF_AFUE/100000</f>
        <v>0.19919775895708663</v>
      </c>
    </row>
    <row r="165" spans="2:14" x14ac:dyDescent="0.2">
      <c r="B165" s="16"/>
      <c r="C165" s="164">
        <v>49</v>
      </c>
      <c r="D165" s="164">
        <v>3</v>
      </c>
      <c r="E165" s="164">
        <f>IF((65-Tbl_HPGeneralCalcs[[#This Row],[Temperature, °F]])*Tbl_HPGeneralCalcs[[#This Row],[Number of hours]]&lt;0,0,(65-Tbl_HPGeneralCalcs[[#This Row],[Temperature, °F]])*Tbl_HPGeneralCalcs[[#This Row],[Number of hours]])</f>
        <v>48</v>
      </c>
      <c r="F165" s="164">
        <f>(Tbl_HPGeneralCalcs[[#This Row],[Heating-degree hours (MMBtu)]]/SUM(Tbl_HPGeneralCalcs[Heating-degree hours (MMBtu)]))*$S$30*10^6</f>
        <v>261.60034008044209</v>
      </c>
      <c r="G165" s="164">
        <f>IF(Tbl_HPGeneralCalcs[[#This Row],[Temperature, °F]]&lt;=RESISTANCE_HEAT_THRESHOLD,1,IF($D$33+$D$34*Tbl_HPGeneralCalcs[[#This Row],[Temperature, °F]]&lt;1,1,($D$33+$D$34*Tbl_HPGeneralCalcs[[#This Row],[Temperature, °F]])*INPUT_HEATPUMP_EFFICIENCY_FACTOR))</f>
        <v>3.8874</v>
      </c>
      <c r="H165" s="165">
        <f>KWH_PER_BTU*Tbl_HPGeneralCalcs[[#This Row],[heating load (Btu)]]/Tbl_HPGeneralCalcs[[#This Row],[COP - CHP]]</f>
        <v>1.9722867241605751E-2</v>
      </c>
      <c r="I165" s="165">
        <f>HPFUELCALC_REF_FUELPOWER_KW*HPFUELCALC_REF_FUELPOWER_CF*Tbl_HPGeneralCalcs[[#This Row],[Number of hours]]</f>
        <v>0.75</v>
      </c>
      <c r="J165" s="165">
        <f>Tbl_HPGeneralCalcs[[#This Row],[heating load (Btu)]]/HPFUELCALC_REF_AFUE/100000</f>
        <v>2.6160034008044209E-3</v>
      </c>
      <c r="K165" s="165">
        <f>IF(Tbl_HPGeneralCalcs[[#This Row],[Temperature, °F]]&lt;=RESISTANCE_HEAT_THRESHOLD,1,IF($H$33+$H$34*Tbl_HPGeneralCalcs[[#This Row],[Temperature, °F]]&lt;1,1,($H$33+$H$34*Tbl_HPGeneralCalcs[[#This Row],[Temperature, °F]])*INPUT_HEATPUMP_EFFICIENCY_FACTOR))</f>
        <v>3.1861999999999999</v>
      </c>
      <c r="L165" s="165">
        <f>KWH_PER_BTU*Tbl_HPGeneralCalcs[[#This Row],[heating load (Btu)]]/Tbl_HPGeneralCalcs[[#This Row],[COP - DMSHP]]</f>
        <v>2.4063358896182975E-2</v>
      </c>
      <c r="M165" s="165">
        <f>HPFUELCALC_REF_DMSHPFAN*HPFUELCALC_REF_DMSHPFAN_CF*Tbl_HPGeneralCalcs[[#This Row],[Number of hours]]</f>
        <v>0.75</v>
      </c>
      <c r="N165" s="165">
        <f>Tbl_HPGeneralCalcs[[#This Row],[heating load (Btu)]]/HPFUELCALC_REF_AFUE/100000</f>
        <v>2.6160034008044209E-3</v>
      </c>
    </row>
    <row r="166" spans="2:14" x14ac:dyDescent="0.2">
      <c r="B166" s="16"/>
      <c r="C166" s="164">
        <v>50</v>
      </c>
      <c r="D166" s="164">
        <v>136</v>
      </c>
      <c r="E166" s="164">
        <f>IF((65-Tbl_HPGeneralCalcs[[#This Row],[Temperature, °F]])*Tbl_HPGeneralCalcs[[#This Row],[Number of hours]]&lt;0,0,(65-Tbl_HPGeneralCalcs[[#This Row],[Temperature, °F]])*Tbl_HPGeneralCalcs[[#This Row],[Number of hours]])</f>
        <v>2040</v>
      </c>
      <c r="F166" s="164">
        <f>(Tbl_HPGeneralCalcs[[#This Row],[Heating-degree hours (MMBtu)]]/SUM(Tbl_HPGeneralCalcs[Heating-degree hours (MMBtu)]))*$S$30*10^6</f>
        <v>11118.014453418789</v>
      </c>
      <c r="G166" s="164">
        <f>IF(Tbl_HPGeneralCalcs[[#This Row],[Temperature, °F]]&lt;=RESISTANCE_HEAT_THRESHOLD,1,IF($D$33+$D$34*Tbl_HPGeneralCalcs[[#This Row],[Temperature, °F]]&lt;1,1,($D$33+$D$34*Tbl_HPGeneralCalcs[[#This Row],[Temperature, °F]])*INPUT_HEATPUMP_EFFICIENCY_FACTOR))</f>
        <v>3.9327000000000001</v>
      </c>
      <c r="H166" s="165">
        <f>KWH_PER_BTU*Tbl_HPGeneralCalcs[[#This Row],[heating load (Btu)]]/Tbl_HPGeneralCalcs[[#This Row],[COP - CHP]]</f>
        <v>0.82856654458470591</v>
      </c>
      <c r="I166" s="165">
        <f>HPFUELCALC_REF_FUELPOWER_KW*HPFUELCALC_REF_FUELPOWER_CF*Tbl_HPGeneralCalcs[[#This Row],[Number of hours]]</f>
        <v>34</v>
      </c>
      <c r="J166" s="165">
        <f>Tbl_HPGeneralCalcs[[#This Row],[heating load (Btu)]]/HPFUELCALC_REF_AFUE/100000</f>
        <v>0.1111801445341879</v>
      </c>
      <c r="K166" s="165">
        <f>IF(Tbl_HPGeneralCalcs[[#This Row],[Temperature, °F]]&lt;=RESISTANCE_HEAT_THRESHOLD,1,IF($H$33+$H$34*Tbl_HPGeneralCalcs[[#This Row],[Temperature, °F]]&lt;1,1,($H$33+$H$34*Tbl_HPGeneralCalcs[[#This Row],[Temperature, °F]])*INPUT_HEATPUMP_EFFICIENCY_FACTOR))</f>
        <v>3.2134</v>
      </c>
      <c r="L166" s="165">
        <f>KWH_PER_BTU*Tbl_HPGeneralCalcs[[#This Row],[heating load (Btu)]]/Tbl_HPGeneralCalcs[[#This Row],[COP - DMSHP]]</f>
        <v>1.0140361143611978</v>
      </c>
      <c r="M166" s="165">
        <f>HPFUELCALC_REF_DMSHPFAN*HPFUELCALC_REF_DMSHPFAN_CF*Tbl_HPGeneralCalcs[[#This Row],[Number of hours]]</f>
        <v>34</v>
      </c>
      <c r="N166" s="165">
        <f>Tbl_HPGeneralCalcs[[#This Row],[heating load (Btu)]]/HPFUELCALC_REF_AFUE/100000</f>
        <v>0.1111801445341879</v>
      </c>
    </row>
    <row r="167" spans="2:14" x14ac:dyDescent="0.2">
      <c r="B167" s="16"/>
      <c r="C167" s="164">
        <v>51</v>
      </c>
      <c r="D167" s="164">
        <v>230</v>
      </c>
      <c r="E167" s="164">
        <f>IF((65-Tbl_HPGeneralCalcs[[#This Row],[Temperature, °F]])*Tbl_HPGeneralCalcs[[#This Row],[Number of hours]]&lt;0,0,(65-Tbl_HPGeneralCalcs[[#This Row],[Temperature, °F]])*Tbl_HPGeneralCalcs[[#This Row],[Number of hours]])</f>
        <v>3220</v>
      </c>
      <c r="F167" s="164">
        <f>(Tbl_HPGeneralCalcs[[#This Row],[Heating-degree hours (MMBtu)]]/SUM(Tbl_HPGeneralCalcs[Heating-degree hours (MMBtu)]))*$S$30*10^6</f>
        <v>17549.022813729658</v>
      </c>
      <c r="G167" s="164">
        <f>IF(Tbl_HPGeneralCalcs[[#This Row],[Temperature, °F]]&lt;=RESISTANCE_HEAT_THRESHOLD,1,IF($D$33+$D$34*Tbl_HPGeneralCalcs[[#This Row],[Temperature, °F]]&lt;1,1,($D$33+$D$34*Tbl_HPGeneralCalcs[[#This Row],[Temperature, °F]])*INPUT_HEATPUMP_EFFICIENCY_FACTOR))</f>
        <v>3.9779999999999998</v>
      </c>
      <c r="H167" s="165">
        <f>KWH_PER_BTU*Tbl_HPGeneralCalcs[[#This Row],[heating load (Btu)]]/Tbl_HPGeneralCalcs[[#This Row],[COP - CHP]]</f>
        <v>1.2929422796754997</v>
      </c>
      <c r="I167" s="165">
        <f>HPFUELCALC_REF_FUELPOWER_KW*HPFUELCALC_REF_FUELPOWER_CF*Tbl_HPGeneralCalcs[[#This Row],[Number of hours]]</f>
        <v>57.5</v>
      </c>
      <c r="J167" s="165">
        <f>Tbl_HPGeneralCalcs[[#This Row],[heating load (Btu)]]/HPFUELCALC_REF_AFUE/100000</f>
        <v>0.17549022813729659</v>
      </c>
      <c r="K167" s="165">
        <f>IF(Tbl_HPGeneralCalcs[[#This Row],[Temperature, °F]]&lt;=RESISTANCE_HEAT_THRESHOLD,1,IF($H$33+$H$34*Tbl_HPGeneralCalcs[[#This Row],[Temperature, °F]]&lt;1,1,($H$33+$H$34*Tbl_HPGeneralCalcs[[#This Row],[Temperature, °F]])*INPUT_HEATPUMP_EFFICIENCY_FACTOR))</f>
        <v>3.2405999999999997</v>
      </c>
      <c r="L167" s="165">
        <f>KWH_PER_BTU*Tbl_HPGeneralCalcs[[#This Row],[heating load (Btu)]]/Tbl_HPGeneralCalcs[[#This Row],[COP - DMSHP]]</f>
        <v>1.5871518819197488</v>
      </c>
      <c r="M167" s="165">
        <f>HPFUELCALC_REF_DMSHPFAN*HPFUELCALC_REF_DMSHPFAN_CF*Tbl_HPGeneralCalcs[[#This Row],[Number of hours]]</f>
        <v>57.5</v>
      </c>
      <c r="N167" s="165">
        <f>Tbl_HPGeneralCalcs[[#This Row],[heating load (Btu)]]/HPFUELCALC_REF_AFUE/100000</f>
        <v>0.17549022813729659</v>
      </c>
    </row>
    <row r="168" spans="2:14" x14ac:dyDescent="0.2">
      <c r="B168" s="16"/>
      <c r="C168" s="164">
        <v>52</v>
      </c>
      <c r="D168" s="164">
        <v>3</v>
      </c>
      <c r="E168" s="164">
        <f>IF((65-Tbl_HPGeneralCalcs[[#This Row],[Temperature, °F]])*Tbl_HPGeneralCalcs[[#This Row],[Number of hours]]&lt;0,0,(65-Tbl_HPGeneralCalcs[[#This Row],[Temperature, °F]])*Tbl_HPGeneralCalcs[[#This Row],[Number of hours]])</f>
        <v>39</v>
      </c>
      <c r="F168" s="164">
        <f>(Tbl_HPGeneralCalcs[[#This Row],[Heating-degree hours (MMBtu)]]/SUM(Tbl_HPGeneralCalcs[Heating-degree hours (MMBtu)]))*$S$30*10^6</f>
        <v>212.55027631535921</v>
      </c>
      <c r="G168" s="164">
        <f>IF(Tbl_HPGeneralCalcs[[#This Row],[Temperature, °F]]&lt;=RESISTANCE_HEAT_THRESHOLD,1,IF($D$33+$D$34*Tbl_HPGeneralCalcs[[#This Row],[Temperature, °F]]&lt;1,1,($D$33+$D$34*Tbl_HPGeneralCalcs[[#This Row],[Temperature, °F]])*INPUT_HEATPUMP_EFFICIENCY_FACTOR))</f>
        <v>4.0232999999999999</v>
      </c>
      <c r="H168" s="165">
        <f>KWH_PER_BTU*Tbl_HPGeneralCalcs[[#This Row],[heating load (Btu)]]/Tbl_HPGeneralCalcs[[#This Row],[COP - CHP]]</f>
        <v>1.5483539064561999E-2</v>
      </c>
      <c r="I168" s="165">
        <f>HPFUELCALC_REF_FUELPOWER_KW*HPFUELCALC_REF_FUELPOWER_CF*Tbl_HPGeneralCalcs[[#This Row],[Number of hours]]</f>
        <v>0.75</v>
      </c>
      <c r="J168" s="165">
        <f>Tbl_HPGeneralCalcs[[#This Row],[heating load (Btu)]]/HPFUELCALC_REF_AFUE/100000</f>
        <v>2.125502763153592E-3</v>
      </c>
      <c r="K168" s="165">
        <f>IF(Tbl_HPGeneralCalcs[[#This Row],[Temperature, °F]]&lt;=RESISTANCE_HEAT_THRESHOLD,1,IF($H$33+$H$34*Tbl_HPGeneralCalcs[[#This Row],[Temperature, °F]]&lt;1,1,($H$33+$H$34*Tbl_HPGeneralCalcs[[#This Row],[Temperature, °F]])*INPUT_HEATPUMP_EFFICIENCY_FACTOR))</f>
        <v>3.2677999999999998</v>
      </c>
      <c r="L168" s="165">
        <f>KWH_PER_BTU*Tbl_HPGeneralCalcs[[#This Row],[heating load (Btu)]]/Tbl_HPGeneralCalcs[[#This Row],[COP - DMSHP]]</f>
        <v>1.9063260517305922E-2</v>
      </c>
      <c r="M168" s="165">
        <f>HPFUELCALC_REF_DMSHPFAN*HPFUELCALC_REF_DMSHPFAN_CF*Tbl_HPGeneralCalcs[[#This Row],[Number of hours]]</f>
        <v>0.75</v>
      </c>
      <c r="N168" s="165">
        <f>Tbl_HPGeneralCalcs[[#This Row],[heating load (Btu)]]/HPFUELCALC_REF_AFUE/100000</f>
        <v>2.125502763153592E-3</v>
      </c>
    </row>
    <row r="169" spans="2:14" x14ac:dyDescent="0.2">
      <c r="B169" s="16"/>
      <c r="C169" s="164">
        <v>53</v>
      </c>
      <c r="D169" s="164">
        <v>266</v>
      </c>
      <c r="E169" s="164">
        <f>IF((65-Tbl_HPGeneralCalcs[[#This Row],[Temperature, °F]])*Tbl_HPGeneralCalcs[[#This Row],[Number of hours]]&lt;0,0,(65-Tbl_HPGeneralCalcs[[#This Row],[Temperature, °F]])*Tbl_HPGeneralCalcs[[#This Row],[Number of hours]])</f>
        <v>3192</v>
      </c>
      <c r="F169" s="164">
        <f>(Tbl_HPGeneralCalcs[[#This Row],[Heating-degree hours (MMBtu)]]/SUM(Tbl_HPGeneralCalcs[Heating-degree hours (MMBtu)]))*$S$30*10^6</f>
        <v>17396.422615349402</v>
      </c>
      <c r="G169" s="164">
        <f>IF(Tbl_HPGeneralCalcs[[#This Row],[Temperature, °F]]&lt;=RESISTANCE_HEAT_THRESHOLD,1,IF($D$33+$D$34*Tbl_HPGeneralCalcs[[#This Row],[Temperature, °F]]&lt;1,1,($D$33+$D$34*Tbl_HPGeneralCalcs[[#This Row],[Temperature, °F]])*INPUT_HEATPUMP_EFFICIENCY_FACTOR))</f>
        <v>4.0686</v>
      </c>
      <c r="H169" s="165">
        <f>KWH_PER_BTU*Tbl_HPGeneralCalcs[[#This Row],[heating load (Btu)]]/Tbl_HPGeneralCalcs[[#This Row],[COP - CHP]]</f>
        <v>1.2531582924467164</v>
      </c>
      <c r="I169" s="165">
        <f>HPFUELCALC_REF_FUELPOWER_KW*HPFUELCALC_REF_FUELPOWER_CF*Tbl_HPGeneralCalcs[[#This Row],[Number of hours]]</f>
        <v>66.5</v>
      </c>
      <c r="J169" s="165">
        <f>Tbl_HPGeneralCalcs[[#This Row],[heating load (Btu)]]/HPFUELCALC_REF_AFUE/100000</f>
        <v>0.17396422615349402</v>
      </c>
      <c r="K169" s="165">
        <f>IF(Tbl_HPGeneralCalcs[[#This Row],[Temperature, °F]]&lt;=RESISTANCE_HEAT_THRESHOLD,1,IF($H$33+$H$34*Tbl_HPGeneralCalcs[[#This Row],[Temperature, °F]]&lt;1,1,($H$33+$H$34*Tbl_HPGeneralCalcs[[#This Row],[Temperature, °F]])*INPUT_HEATPUMP_EFFICIENCY_FACTOR))</f>
        <v>3.2949999999999999</v>
      </c>
      <c r="L169" s="165">
        <f>KWH_PER_BTU*Tbl_HPGeneralCalcs[[#This Row],[heating load (Btu)]]/Tbl_HPGeneralCalcs[[#This Row],[COP - DMSHP]]</f>
        <v>1.5473747583152384</v>
      </c>
      <c r="M169" s="165">
        <f>HPFUELCALC_REF_DMSHPFAN*HPFUELCALC_REF_DMSHPFAN_CF*Tbl_HPGeneralCalcs[[#This Row],[Number of hours]]</f>
        <v>66.5</v>
      </c>
      <c r="N169" s="165">
        <f>Tbl_HPGeneralCalcs[[#This Row],[heating load (Btu)]]/HPFUELCALC_REF_AFUE/100000</f>
        <v>0.17396422615349402</v>
      </c>
    </row>
    <row r="170" spans="2:14" x14ac:dyDescent="0.2">
      <c r="B170" s="16"/>
      <c r="C170" s="164">
        <v>54</v>
      </c>
      <c r="D170" s="164">
        <v>3</v>
      </c>
      <c r="E170" s="164">
        <f>IF((65-Tbl_HPGeneralCalcs[[#This Row],[Temperature, °F]])*Tbl_HPGeneralCalcs[[#This Row],[Number of hours]]&lt;0,0,(65-Tbl_HPGeneralCalcs[[#This Row],[Temperature, °F]])*Tbl_HPGeneralCalcs[[#This Row],[Number of hours]])</f>
        <v>33</v>
      </c>
      <c r="F170" s="164">
        <f>(Tbl_HPGeneralCalcs[[#This Row],[Heating-degree hours (MMBtu)]]/SUM(Tbl_HPGeneralCalcs[Heating-degree hours (MMBtu)]))*$S$30*10^6</f>
        <v>179.85023380530396</v>
      </c>
      <c r="G170" s="164">
        <f>IF(Tbl_HPGeneralCalcs[[#This Row],[Temperature, °F]]&lt;=RESISTANCE_HEAT_THRESHOLD,1,IF($D$33+$D$34*Tbl_HPGeneralCalcs[[#This Row],[Temperature, °F]]&lt;1,1,($D$33+$D$34*Tbl_HPGeneralCalcs[[#This Row],[Temperature, °F]])*INPUT_HEATPUMP_EFFICIENCY_FACTOR))</f>
        <v>4.1139000000000001</v>
      </c>
      <c r="H170" s="165">
        <f>KWH_PER_BTU*Tbl_HPGeneralCalcs[[#This Row],[heating load (Btu)]]/Tbl_HPGeneralCalcs[[#This Row],[COP - CHP]]</f>
        <v>1.2812924099777585E-2</v>
      </c>
      <c r="I170" s="165">
        <f>HPFUELCALC_REF_FUELPOWER_KW*HPFUELCALC_REF_FUELPOWER_CF*Tbl_HPGeneralCalcs[[#This Row],[Number of hours]]</f>
        <v>0.75</v>
      </c>
      <c r="J170" s="165">
        <f>Tbl_HPGeneralCalcs[[#This Row],[heating load (Btu)]]/HPFUELCALC_REF_AFUE/100000</f>
        <v>1.7985023380530396E-3</v>
      </c>
      <c r="K170" s="165">
        <f>IF(Tbl_HPGeneralCalcs[[#This Row],[Temperature, °F]]&lt;=RESISTANCE_HEAT_THRESHOLD,1,IF($H$33+$H$34*Tbl_HPGeneralCalcs[[#This Row],[Temperature, °F]]&lt;1,1,($H$33+$H$34*Tbl_HPGeneralCalcs[[#This Row],[Temperature, °F]])*INPUT_HEATPUMP_EFFICIENCY_FACTOR))</f>
        <v>3.3221999999999996</v>
      </c>
      <c r="L170" s="165">
        <f>KWH_PER_BTU*Tbl_HPGeneralCalcs[[#This Row],[heating load (Btu)]]/Tbl_HPGeneralCalcs[[#This Row],[COP - DMSHP]]</f>
        <v>1.5866320045173386E-2</v>
      </c>
      <c r="M170" s="165">
        <f>HPFUELCALC_REF_DMSHPFAN*HPFUELCALC_REF_DMSHPFAN_CF*Tbl_HPGeneralCalcs[[#This Row],[Number of hours]]</f>
        <v>0.75</v>
      </c>
      <c r="N170" s="165">
        <f>Tbl_HPGeneralCalcs[[#This Row],[heating load (Btu)]]/HPFUELCALC_REF_AFUE/100000</f>
        <v>1.7985023380530396E-3</v>
      </c>
    </row>
    <row r="171" spans="2:14" x14ac:dyDescent="0.2">
      <c r="B171" s="16"/>
      <c r="C171" s="164">
        <v>55</v>
      </c>
      <c r="D171" s="164">
        <v>281</v>
      </c>
      <c r="E171" s="164">
        <f>IF((65-Tbl_HPGeneralCalcs[[#This Row],[Temperature, °F]])*Tbl_HPGeneralCalcs[[#This Row],[Number of hours]]&lt;0,0,(65-Tbl_HPGeneralCalcs[[#This Row],[Temperature, °F]])*Tbl_HPGeneralCalcs[[#This Row],[Number of hours]])</f>
        <v>2810</v>
      </c>
      <c r="F171" s="164">
        <f>(Tbl_HPGeneralCalcs[[#This Row],[Heating-degree hours (MMBtu)]]/SUM(Tbl_HPGeneralCalcs[Heating-degree hours (MMBtu)]))*$S$30*10^6</f>
        <v>15314.519908875882</v>
      </c>
      <c r="G171" s="164">
        <f>IF(Tbl_HPGeneralCalcs[[#This Row],[Temperature, °F]]&lt;=RESISTANCE_HEAT_THRESHOLD,1,IF($D$33+$D$34*Tbl_HPGeneralCalcs[[#This Row],[Temperature, °F]]&lt;1,1,($D$33+$D$34*Tbl_HPGeneralCalcs[[#This Row],[Temperature, °F]])*INPUT_HEATPUMP_EFFICIENCY_FACTOR))</f>
        <v>4.1592000000000002</v>
      </c>
      <c r="H171" s="165">
        <f>KWH_PER_BTU*Tbl_HPGeneralCalcs[[#This Row],[heating load (Btu)]]/Tbl_HPGeneralCalcs[[#This Row],[COP - CHP]]</f>
        <v>1.0791568203380513</v>
      </c>
      <c r="I171" s="165">
        <f>HPFUELCALC_REF_FUELPOWER_KW*HPFUELCALC_REF_FUELPOWER_CF*Tbl_HPGeneralCalcs[[#This Row],[Number of hours]]</f>
        <v>70.25</v>
      </c>
      <c r="J171" s="165">
        <f>Tbl_HPGeneralCalcs[[#This Row],[heating load (Btu)]]/HPFUELCALC_REF_AFUE/100000</f>
        <v>0.15314519908875882</v>
      </c>
      <c r="K171" s="165">
        <f>IF(Tbl_HPGeneralCalcs[[#This Row],[Temperature, °F]]&lt;=RESISTANCE_HEAT_THRESHOLD,1,IF($H$33+$H$34*Tbl_HPGeneralCalcs[[#This Row],[Temperature, °F]]&lt;1,1,($H$33+$H$34*Tbl_HPGeneralCalcs[[#This Row],[Temperature, °F]])*INPUT_HEATPUMP_EFFICIENCY_FACTOR))</f>
        <v>3.3494000000000002</v>
      </c>
      <c r="L171" s="165">
        <f>KWH_PER_BTU*Tbl_HPGeneralCalcs[[#This Row],[heating load (Btu)]]/Tbl_HPGeneralCalcs[[#This Row],[COP - DMSHP]]</f>
        <v>1.3400695787753101</v>
      </c>
      <c r="M171" s="165">
        <f>HPFUELCALC_REF_DMSHPFAN*HPFUELCALC_REF_DMSHPFAN_CF*Tbl_HPGeneralCalcs[[#This Row],[Number of hours]]</f>
        <v>70.25</v>
      </c>
      <c r="N171" s="165">
        <f>Tbl_HPGeneralCalcs[[#This Row],[heating load (Btu)]]/HPFUELCALC_REF_AFUE/100000</f>
        <v>0.15314519908875882</v>
      </c>
    </row>
    <row r="172" spans="2:14" x14ac:dyDescent="0.2">
      <c r="B172" s="16"/>
      <c r="C172" s="164">
        <v>56</v>
      </c>
      <c r="D172" s="164">
        <v>4</v>
      </c>
      <c r="E172" s="164">
        <f>IF((65-Tbl_HPGeneralCalcs[[#This Row],[Temperature, °F]])*Tbl_HPGeneralCalcs[[#This Row],[Number of hours]]&lt;0,0,(65-Tbl_HPGeneralCalcs[[#This Row],[Temperature, °F]])*Tbl_HPGeneralCalcs[[#This Row],[Number of hours]])</f>
        <v>36</v>
      </c>
      <c r="F172" s="164">
        <f>(Tbl_HPGeneralCalcs[[#This Row],[Heating-degree hours (MMBtu)]]/SUM(Tbl_HPGeneralCalcs[Heating-degree hours (MMBtu)]))*$S$30*10^6</f>
        <v>196.20025506033159</v>
      </c>
      <c r="G172" s="164">
        <f>IF(Tbl_HPGeneralCalcs[[#This Row],[Temperature, °F]]&lt;=RESISTANCE_HEAT_THRESHOLD,1,IF($D$33+$D$34*Tbl_HPGeneralCalcs[[#This Row],[Temperature, °F]]&lt;1,1,($D$33+$D$34*Tbl_HPGeneralCalcs[[#This Row],[Temperature, °F]])*INPUT_HEATPUMP_EFFICIENCY_FACTOR))</f>
        <v>4.2044999999999995</v>
      </c>
      <c r="H172" s="165">
        <f>KWH_PER_BTU*Tbl_HPGeneralCalcs[[#This Row],[heating load (Btu)]]/Tbl_HPGeneralCalcs[[#This Row],[COP - CHP]]</f>
        <v>1.3676538372282949E-2</v>
      </c>
      <c r="I172" s="165">
        <f>HPFUELCALC_REF_FUELPOWER_KW*HPFUELCALC_REF_FUELPOWER_CF*Tbl_HPGeneralCalcs[[#This Row],[Number of hours]]</f>
        <v>1</v>
      </c>
      <c r="J172" s="165">
        <f>Tbl_HPGeneralCalcs[[#This Row],[heating load (Btu)]]/HPFUELCALC_REF_AFUE/100000</f>
        <v>1.962002550603316E-3</v>
      </c>
      <c r="K172" s="165">
        <f>IF(Tbl_HPGeneralCalcs[[#This Row],[Temperature, °F]]&lt;=RESISTANCE_HEAT_THRESHOLD,1,IF($H$33+$H$34*Tbl_HPGeneralCalcs[[#This Row],[Temperature, °F]]&lt;1,1,($H$33+$H$34*Tbl_HPGeneralCalcs[[#This Row],[Temperature, °F]])*INPUT_HEATPUMP_EFFICIENCY_FACTOR))</f>
        <v>3.3765999999999998</v>
      </c>
      <c r="L172" s="165">
        <f>KWH_PER_BTU*Tbl_HPGeneralCalcs[[#This Row],[heating load (Btu)]]/Tbl_HPGeneralCalcs[[#This Row],[COP - DMSHP]]</f>
        <v>1.7029854168768482E-2</v>
      </c>
      <c r="M172" s="165">
        <f>HPFUELCALC_REF_DMSHPFAN*HPFUELCALC_REF_DMSHPFAN_CF*Tbl_HPGeneralCalcs[[#This Row],[Number of hours]]</f>
        <v>1</v>
      </c>
      <c r="N172" s="165">
        <f>Tbl_HPGeneralCalcs[[#This Row],[heating load (Btu)]]/HPFUELCALC_REF_AFUE/100000</f>
        <v>1.962002550603316E-3</v>
      </c>
    </row>
    <row r="173" spans="2:14" x14ac:dyDescent="0.2">
      <c r="B173" s="16"/>
      <c r="C173" s="164">
        <v>57</v>
      </c>
      <c r="D173" s="164">
        <v>306</v>
      </c>
      <c r="E173" s="164">
        <f>IF((65-Tbl_HPGeneralCalcs[[#This Row],[Temperature, °F]])*Tbl_HPGeneralCalcs[[#This Row],[Number of hours]]&lt;0,0,(65-Tbl_HPGeneralCalcs[[#This Row],[Temperature, °F]])*Tbl_HPGeneralCalcs[[#This Row],[Number of hours]])</f>
        <v>2448</v>
      </c>
      <c r="F173" s="164">
        <f>(Tbl_HPGeneralCalcs[[#This Row],[Heating-degree hours (MMBtu)]]/SUM(Tbl_HPGeneralCalcs[Heating-degree hours (MMBtu)]))*$S$30*10^6</f>
        <v>13341.617344102548</v>
      </c>
      <c r="G173" s="164">
        <f>IF(Tbl_HPGeneralCalcs[[#This Row],[Temperature, °F]]&lt;=RESISTANCE_HEAT_THRESHOLD,1,IF($D$33+$D$34*Tbl_HPGeneralCalcs[[#This Row],[Temperature, °F]]&lt;1,1,($D$33+$D$34*Tbl_HPGeneralCalcs[[#This Row],[Temperature, °F]])*INPUT_HEATPUMP_EFFICIENCY_FACTOR))</f>
        <v>4.2498000000000005</v>
      </c>
      <c r="H173" s="165">
        <f>KWH_PER_BTU*Tbl_HPGeneralCalcs[[#This Row],[heating load (Btu)]]/Tbl_HPGeneralCalcs[[#This Row],[COP - CHP]]</f>
        <v>0.92009138779846766</v>
      </c>
      <c r="I173" s="165">
        <f>HPFUELCALC_REF_FUELPOWER_KW*HPFUELCALC_REF_FUELPOWER_CF*Tbl_HPGeneralCalcs[[#This Row],[Number of hours]]</f>
        <v>76.5</v>
      </c>
      <c r="J173" s="165">
        <f>Tbl_HPGeneralCalcs[[#This Row],[heating load (Btu)]]/HPFUELCALC_REF_AFUE/100000</f>
        <v>0.13341617344102547</v>
      </c>
      <c r="K173" s="165">
        <f>IF(Tbl_HPGeneralCalcs[[#This Row],[Temperature, °F]]&lt;=RESISTANCE_HEAT_THRESHOLD,1,IF($H$33+$H$34*Tbl_HPGeneralCalcs[[#This Row],[Temperature, °F]]&lt;1,1,($H$33+$H$34*Tbl_HPGeneralCalcs[[#This Row],[Temperature, °F]])*INPUT_HEATPUMP_EFFICIENCY_FACTOR))</f>
        <v>3.4037999999999999</v>
      </c>
      <c r="L173" s="165">
        <f>KWH_PER_BTU*Tbl_HPGeneralCalcs[[#This Row],[heating load (Btu)]]/Tbl_HPGeneralCalcs[[#This Row],[COP - DMSHP]]</f>
        <v>1.1487761854004137</v>
      </c>
      <c r="M173" s="165">
        <f>HPFUELCALC_REF_DMSHPFAN*HPFUELCALC_REF_DMSHPFAN_CF*Tbl_HPGeneralCalcs[[#This Row],[Number of hours]]</f>
        <v>76.5</v>
      </c>
      <c r="N173" s="165">
        <f>Tbl_HPGeneralCalcs[[#This Row],[heating load (Btu)]]/HPFUELCALC_REF_AFUE/100000</f>
        <v>0.13341617344102547</v>
      </c>
    </row>
    <row r="174" spans="2:14" x14ac:dyDescent="0.2">
      <c r="B174" s="16"/>
      <c r="C174" s="164">
        <v>58</v>
      </c>
      <c r="D174" s="164">
        <v>3</v>
      </c>
      <c r="E174" s="164">
        <f>IF((65-Tbl_HPGeneralCalcs[[#This Row],[Temperature, °F]])*Tbl_HPGeneralCalcs[[#This Row],[Number of hours]]&lt;0,0,(65-Tbl_HPGeneralCalcs[[#This Row],[Temperature, °F]])*Tbl_HPGeneralCalcs[[#This Row],[Number of hours]])</f>
        <v>21</v>
      </c>
      <c r="F174" s="164">
        <f>(Tbl_HPGeneralCalcs[[#This Row],[Heating-degree hours (MMBtu)]]/SUM(Tbl_HPGeneralCalcs[Heating-degree hours (MMBtu)]))*$S$30*10^6</f>
        <v>114.45014878519342</v>
      </c>
      <c r="G174" s="164">
        <f>IF(Tbl_HPGeneralCalcs[[#This Row],[Temperature, °F]]&lt;=RESISTANCE_HEAT_THRESHOLD,1,IF($D$33+$D$34*Tbl_HPGeneralCalcs[[#This Row],[Temperature, °F]]&lt;1,1,($D$33+$D$34*Tbl_HPGeneralCalcs[[#This Row],[Temperature, °F]])*INPUT_HEATPUMP_EFFICIENCY_FACTOR))</f>
        <v>4.2950999999999997</v>
      </c>
      <c r="H174" s="165">
        <f>KWH_PER_BTU*Tbl_HPGeneralCalcs[[#This Row],[heating load (Btu)]]/Tbl_HPGeneralCalcs[[#This Row],[COP - CHP]]</f>
        <v>7.8096947510699326E-3</v>
      </c>
      <c r="I174" s="165">
        <f>HPFUELCALC_REF_FUELPOWER_KW*HPFUELCALC_REF_FUELPOWER_CF*Tbl_HPGeneralCalcs[[#This Row],[Number of hours]]</f>
        <v>0.75</v>
      </c>
      <c r="J174" s="165">
        <f>Tbl_HPGeneralCalcs[[#This Row],[heating load (Btu)]]/HPFUELCALC_REF_AFUE/100000</f>
        <v>1.1445014878519342E-3</v>
      </c>
      <c r="K174" s="165">
        <f>IF(Tbl_HPGeneralCalcs[[#This Row],[Temperature, °F]]&lt;=RESISTANCE_HEAT_THRESHOLD,1,IF($H$33+$H$34*Tbl_HPGeneralCalcs[[#This Row],[Temperature, °F]]&lt;1,1,($H$33+$H$34*Tbl_HPGeneralCalcs[[#This Row],[Temperature, °F]])*INPUT_HEATPUMP_EFFICIENCY_FACTOR))</f>
        <v>3.431</v>
      </c>
      <c r="L174" s="165">
        <f>KWH_PER_BTU*Tbl_HPGeneralCalcs[[#This Row],[heating load (Btu)]]/Tbl_HPGeneralCalcs[[#This Row],[COP - DMSHP]]</f>
        <v>9.7765724060974828E-3</v>
      </c>
      <c r="M174" s="165">
        <f>HPFUELCALC_REF_DMSHPFAN*HPFUELCALC_REF_DMSHPFAN_CF*Tbl_HPGeneralCalcs[[#This Row],[Number of hours]]</f>
        <v>0.75</v>
      </c>
      <c r="N174" s="165">
        <f>Tbl_HPGeneralCalcs[[#This Row],[heating load (Btu)]]/HPFUELCALC_REF_AFUE/100000</f>
        <v>1.1445014878519342E-3</v>
      </c>
    </row>
    <row r="175" spans="2:14" x14ac:dyDescent="0.2">
      <c r="B175" s="16"/>
      <c r="C175" s="164">
        <v>59</v>
      </c>
      <c r="D175" s="164">
        <v>136</v>
      </c>
      <c r="E175" s="164">
        <f>IF((65-Tbl_HPGeneralCalcs[[#This Row],[Temperature, °F]])*Tbl_HPGeneralCalcs[[#This Row],[Number of hours]]&lt;0,0,(65-Tbl_HPGeneralCalcs[[#This Row],[Temperature, °F]])*Tbl_HPGeneralCalcs[[#This Row],[Number of hours]])</f>
        <v>816</v>
      </c>
      <c r="F175" s="164">
        <f>(Tbl_HPGeneralCalcs[[#This Row],[Heating-degree hours (MMBtu)]]/SUM(Tbl_HPGeneralCalcs[Heating-degree hours (MMBtu)]))*$S$30*10^6</f>
        <v>4447.2057813675156</v>
      </c>
      <c r="G175" s="164">
        <f>IF(Tbl_HPGeneralCalcs[[#This Row],[Temperature, °F]]&lt;=RESISTANCE_HEAT_THRESHOLD,1,IF($D$33+$D$34*Tbl_HPGeneralCalcs[[#This Row],[Temperature, °F]]&lt;1,1,($D$33+$D$34*Tbl_HPGeneralCalcs[[#This Row],[Temperature, °F]])*INPUT_HEATPUMP_EFFICIENCY_FACTOR))</f>
        <v>4.3403999999999998</v>
      </c>
      <c r="H175" s="165">
        <f>KWH_PER_BTU*Tbl_HPGeneralCalcs[[#This Row],[heating load (Btu)]]/Tbl_HPGeneralCalcs[[#This Row],[COP - CHP]]</f>
        <v>0.30029524005974317</v>
      </c>
      <c r="I175" s="165">
        <f>HPFUELCALC_REF_FUELPOWER_KW*HPFUELCALC_REF_FUELPOWER_CF*Tbl_HPGeneralCalcs[[#This Row],[Number of hours]]</f>
        <v>34</v>
      </c>
      <c r="J175" s="165">
        <f>Tbl_HPGeneralCalcs[[#This Row],[heating load (Btu)]]/HPFUELCALC_REF_AFUE/100000</f>
        <v>4.4472057813675157E-2</v>
      </c>
      <c r="K175" s="165">
        <f>IF(Tbl_HPGeneralCalcs[[#This Row],[Temperature, °F]]&lt;=RESISTANCE_HEAT_THRESHOLD,1,IF($H$33+$H$34*Tbl_HPGeneralCalcs[[#This Row],[Temperature, °F]]&lt;1,1,($H$33+$H$34*Tbl_HPGeneralCalcs[[#This Row],[Temperature, °F]])*INPUT_HEATPUMP_EFFICIENCY_FACTOR))</f>
        <v>3.4581999999999997</v>
      </c>
      <c r="L175" s="165">
        <f>KWH_PER_BTU*Tbl_HPGeneralCalcs[[#This Row],[heating load (Btu)]]/Tbl_HPGeneralCalcs[[#This Row],[COP - DMSHP]]</f>
        <v>0.37690170029359471</v>
      </c>
      <c r="M175" s="165">
        <f>HPFUELCALC_REF_DMSHPFAN*HPFUELCALC_REF_DMSHPFAN_CF*Tbl_HPGeneralCalcs[[#This Row],[Number of hours]]</f>
        <v>34</v>
      </c>
      <c r="N175" s="165">
        <f>Tbl_HPGeneralCalcs[[#This Row],[heating load (Btu)]]/HPFUELCALC_REF_AFUE/100000</f>
        <v>4.4472057813675157E-2</v>
      </c>
    </row>
    <row r="176" spans="2:14" x14ac:dyDescent="0.2">
      <c r="B176" s="16"/>
      <c r="C176" s="164">
        <v>60</v>
      </c>
      <c r="D176" s="164">
        <v>313</v>
      </c>
      <c r="E176" s="164">
        <f>IF((65-Tbl_HPGeneralCalcs[[#This Row],[Temperature, °F]])*Tbl_HPGeneralCalcs[[#This Row],[Number of hours]]&lt;0,0,(65-Tbl_HPGeneralCalcs[[#This Row],[Temperature, °F]])*Tbl_HPGeneralCalcs[[#This Row],[Number of hours]])</f>
        <v>1565</v>
      </c>
      <c r="F176" s="164">
        <f>(Tbl_HPGeneralCalcs[[#This Row],[Heating-degree hours (MMBtu)]]/SUM(Tbl_HPGeneralCalcs[Heating-degree hours (MMBtu)]))*$S$30*10^6</f>
        <v>8529.261088039415</v>
      </c>
      <c r="G176" s="164">
        <f>IF(Tbl_HPGeneralCalcs[[#This Row],[Temperature, °F]]&lt;=RESISTANCE_HEAT_THRESHOLD,1,IF($D$33+$D$34*Tbl_HPGeneralCalcs[[#This Row],[Temperature, °F]]&lt;1,1,($D$33+$D$34*Tbl_HPGeneralCalcs[[#This Row],[Temperature, °F]])*INPUT_HEATPUMP_EFFICIENCY_FACTOR))</f>
        <v>4.3856999999999999</v>
      </c>
      <c r="H176" s="165">
        <f>KWH_PER_BTU*Tbl_HPGeneralCalcs[[#This Row],[heating load (Btu)]]/Tbl_HPGeneralCalcs[[#This Row],[COP - CHP]]</f>
        <v>0.56998505079958484</v>
      </c>
      <c r="I176" s="165">
        <f>HPFUELCALC_REF_FUELPOWER_KW*HPFUELCALC_REF_FUELPOWER_CF*Tbl_HPGeneralCalcs[[#This Row],[Number of hours]]</f>
        <v>78.25</v>
      </c>
      <c r="J176" s="165">
        <f>Tbl_HPGeneralCalcs[[#This Row],[heating load (Btu)]]/HPFUELCALC_REF_AFUE/100000</f>
        <v>8.5292610880394151E-2</v>
      </c>
      <c r="K176" s="165">
        <f>IF(Tbl_HPGeneralCalcs[[#This Row],[Temperature, °F]]&lt;=RESISTANCE_HEAT_THRESHOLD,1,IF($H$33+$H$34*Tbl_HPGeneralCalcs[[#This Row],[Temperature, °F]]&lt;1,1,($H$33+$H$34*Tbl_HPGeneralCalcs[[#This Row],[Temperature, °F]])*INPUT_HEATPUMP_EFFICIENCY_FACTOR))</f>
        <v>3.4853999999999998</v>
      </c>
      <c r="L176" s="165">
        <f>KWH_PER_BTU*Tbl_HPGeneralCalcs[[#This Row],[heating load (Btu)]]/Tbl_HPGeneralCalcs[[#This Row],[COP - DMSHP]]</f>
        <v>0.71721565309340085</v>
      </c>
      <c r="M176" s="165">
        <f>HPFUELCALC_REF_DMSHPFAN*HPFUELCALC_REF_DMSHPFAN_CF*Tbl_HPGeneralCalcs[[#This Row],[Number of hours]]</f>
        <v>78.25</v>
      </c>
      <c r="N176" s="165">
        <f>Tbl_HPGeneralCalcs[[#This Row],[heating load (Btu)]]/HPFUELCALC_REF_AFUE/100000</f>
        <v>8.5292610880394151E-2</v>
      </c>
    </row>
    <row r="177" spans="2:14" x14ac:dyDescent="0.2">
      <c r="B177" s="16"/>
      <c r="C177" s="164">
        <v>61</v>
      </c>
      <c r="D177" s="164">
        <v>2</v>
      </c>
      <c r="E177" s="164">
        <f>IF((65-Tbl_HPGeneralCalcs[[#This Row],[Temperature, °F]])*Tbl_HPGeneralCalcs[[#This Row],[Number of hours]]&lt;0,0,(65-Tbl_HPGeneralCalcs[[#This Row],[Temperature, °F]])*Tbl_HPGeneralCalcs[[#This Row],[Number of hours]])</f>
        <v>8</v>
      </c>
      <c r="F177" s="164">
        <f>(Tbl_HPGeneralCalcs[[#This Row],[Heating-degree hours (MMBtu)]]/SUM(Tbl_HPGeneralCalcs[Heating-degree hours (MMBtu)]))*$S$30*10^6</f>
        <v>43.600056680073685</v>
      </c>
      <c r="G177" s="164">
        <f>IF(Tbl_HPGeneralCalcs[[#This Row],[Temperature, °F]]&lt;=RESISTANCE_HEAT_THRESHOLD,1,IF($D$33+$D$34*Tbl_HPGeneralCalcs[[#This Row],[Temperature, °F]]&lt;1,1,($D$33+$D$34*Tbl_HPGeneralCalcs[[#This Row],[Temperature, °F]])*INPUT_HEATPUMP_EFFICIENCY_FACTOR))</f>
        <v>4.431</v>
      </c>
      <c r="H177" s="165">
        <f>KWH_PER_BTU*Tbl_HPGeneralCalcs[[#This Row],[heating load (Btu)]]/Tbl_HPGeneralCalcs[[#This Row],[COP - CHP]]</f>
        <v>2.883873998157609E-3</v>
      </c>
      <c r="I177" s="165">
        <f>HPFUELCALC_REF_FUELPOWER_KW*HPFUELCALC_REF_FUELPOWER_CF*Tbl_HPGeneralCalcs[[#This Row],[Number of hours]]</f>
        <v>0.5</v>
      </c>
      <c r="J177" s="165">
        <f>Tbl_HPGeneralCalcs[[#This Row],[heating load (Btu)]]/HPFUELCALC_REF_AFUE/100000</f>
        <v>4.3600056680073685E-4</v>
      </c>
      <c r="K177" s="165">
        <f>IF(Tbl_HPGeneralCalcs[[#This Row],[Temperature, °F]]&lt;=RESISTANCE_HEAT_THRESHOLD,1,IF($H$33+$H$34*Tbl_HPGeneralCalcs[[#This Row],[Temperature, °F]]&lt;1,1,($H$33+$H$34*Tbl_HPGeneralCalcs[[#This Row],[Temperature, °F]])*INPUT_HEATPUMP_EFFICIENCY_FACTOR))</f>
        <v>3.5125999999999999</v>
      </c>
      <c r="L177" s="165">
        <f>KWH_PER_BTU*Tbl_HPGeneralCalcs[[#This Row],[heating load (Btu)]]/Tbl_HPGeneralCalcs[[#This Row],[COP - DMSHP]]</f>
        <v>3.6378880845631062E-3</v>
      </c>
      <c r="M177" s="165">
        <f>HPFUELCALC_REF_DMSHPFAN*HPFUELCALC_REF_DMSHPFAN_CF*Tbl_HPGeneralCalcs[[#This Row],[Number of hours]]</f>
        <v>0.5</v>
      </c>
      <c r="N177" s="165">
        <f>Tbl_HPGeneralCalcs[[#This Row],[heating load (Btu)]]/HPFUELCALC_REF_AFUE/100000</f>
        <v>4.3600056680073685E-4</v>
      </c>
    </row>
    <row r="178" spans="2:14" x14ac:dyDescent="0.2">
      <c r="B178" s="16"/>
      <c r="C178" s="164">
        <v>62</v>
      </c>
      <c r="D178" s="164">
        <v>340</v>
      </c>
      <c r="E178" s="164">
        <f>IF((65-Tbl_HPGeneralCalcs[[#This Row],[Temperature, °F]])*Tbl_HPGeneralCalcs[[#This Row],[Number of hours]]&lt;0,0,(65-Tbl_HPGeneralCalcs[[#This Row],[Temperature, °F]])*Tbl_HPGeneralCalcs[[#This Row],[Number of hours]])</f>
        <v>1020</v>
      </c>
      <c r="F178" s="164">
        <f>(Tbl_HPGeneralCalcs[[#This Row],[Heating-degree hours (MMBtu)]]/SUM(Tbl_HPGeneralCalcs[Heating-degree hours (MMBtu)]))*$S$30*10^6</f>
        <v>5559.0072267093947</v>
      </c>
      <c r="G178" s="164">
        <f>IF(Tbl_HPGeneralCalcs[[#This Row],[Temperature, °F]]&lt;=RESISTANCE_HEAT_THRESHOLD,1,IF($D$33+$D$34*Tbl_HPGeneralCalcs[[#This Row],[Temperature, °F]]&lt;1,1,($D$33+$D$34*Tbl_HPGeneralCalcs[[#This Row],[Temperature, °F]])*INPUT_HEATPUMP_EFFICIENCY_FACTOR))</f>
        <v>4.4763000000000002</v>
      </c>
      <c r="H178" s="165">
        <f>KWH_PER_BTU*Tbl_HPGeneralCalcs[[#This Row],[heating load (Btu)]]/Tbl_HPGeneralCalcs[[#This Row],[COP - CHP]]</f>
        <v>0.3639728849594836</v>
      </c>
      <c r="I178" s="165">
        <f>HPFUELCALC_REF_FUELPOWER_KW*HPFUELCALC_REF_FUELPOWER_CF*Tbl_HPGeneralCalcs[[#This Row],[Number of hours]]</f>
        <v>85</v>
      </c>
      <c r="J178" s="165">
        <f>Tbl_HPGeneralCalcs[[#This Row],[heating load (Btu)]]/HPFUELCALC_REF_AFUE/100000</f>
        <v>5.5590072267093948E-2</v>
      </c>
      <c r="K178" s="165">
        <f>IF(Tbl_HPGeneralCalcs[[#This Row],[Temperature, °F]]&lt;=RESISTANCE_HEAT_THRESHOLD,1,IF($H$33+$H$34*Tbl_HPGeneralCalcs[[#This Row],[Temperature, °F]]&lt;1,1,($H$33+$H$34*Tbl_HPGeneralCalcs[[#This Row],[Temperature, °F]])*INPUT_HEATPUMP_EFFICIENCY_FACTOR))</f>
        <v>3.5397999999999996</v>
      </c>
      <c r="L178" s="165">
        <f>KWH_PER_BTU*Tbl_HPGeneralCalcs[[#This Row],[heating load (Btu)]]/Tbl_HPGeneralCalcs[[#This Row],[COP - DMSHP]]</f>
        <v>0.46026663227982845</v>
      </c>
      <c r="M178" s="165">
        <f>HPFUELCALC_REF_DMSHPFAN*HPFUELCALC_REF_DMSHPFAN_CF*Tbl_HPGeneralCalcs[[#This Row],[Number of hours]]</f>
        <v>85</v>
      </c>
      <c r="N178" s="165">
        <f>Tbl_HPGeneralCalcs[[#This Row],[heating load (Btu)]]/HPFUELCALC_REF_AFUE/100000</f>
        <v>5.5590072267093948E-2</v>
      </c>
    </row>
    <row r="179" spans="2:14" x14ac:dyDescent="0.2">
      <c r="B179" s="16"/>
      <c r="C179" s="164">
        <v>63</v>
      </c>
      <c r="D179" s="164">
        <v>2</v>
      </c>
      <c r="E179" s="164">
        <f>IF((65-Tbl_HPGeneralCalcs[[#This Row],[Temperature, °F]])*Tbl_HPGeneralCalcs[[#This Row],[Number of hours]]&lt;0,0,(65-Tbl_HPGeneralCalcs[[#This Row],[Temperature, °F]])*Tbl_HPGeneralCalcs[[#This Row],[Number of hours]])</f>
        <v>4</v>
      </c>
      <c r="F179" s="164">
        <f>(Tbl_HPGeneralCalcs[[#This Row],[Heating-degree hours (MMBtu)]]/SUM(Tbl_HPGeneralCalcs[Heating-degree hours (MMBtu)]))*$S$30*10^6</f>
        <v>21.800028340036842</v>
      </c>
      <c r="G179" s="164">
        <f>IF(Tbl_HPGeneralCalcs[[#This Row],[Temperature, °F]]&lt;=RESISTANCE_HEAT_THRESHOLD,1,IF($D$33+$D$34*Tbl_HPGeneralCalcs[[#This Row],[Temperature, °F]]&lt;1,1,($D$33+$D$34*Tbl_HPGeneralCalcs[[#This Row],[Temperature, °F]])*INPUT_HEATPUMP_EFFICIENCY_FACTOR))</f>
        <v>4.5215999999999994</v>
      </c>
      <c r="H179" s="165">
        <f>KWH_PER_BTU*Tbl_HPGeneralCalcs[[#This Row],[heating load (Btu)]]/Tbl_HPGeneralCalcs[[#This Row],[COP - CHP]]</f>
        <v>1.4130446839433351E-3</v>
      </c>
      <c r="I179" s="165">
        <f>HPFUELCALC_REF_FUELPOWER_KW*HPFUELCALC_REF_FUELPOWER_CF*Tbl_HPGeneralCalcs[[#This Row],[Number of hours]]</f>
        <v>0.5</v>
      </c>
      <c r="J179" s="165">
        <f>Tbl_HPGeneralCalcs[[#This Row],[heating load (Btu)]]/HPFUELCALC_REF_AFUE/100000</f>
        <v>2.1800028340036843E-4</v>
      </c>
      <c r="K179" s="165">
        <f>IF(Tbl_HPGeneralCalcs[[#This Row],[Temperature, °F]]&lt;=RESISTANCE_HEAT_THRESHOLD,1,IF($H$33+$H$34*Tbl_HPGeneralCalcs[[#This Row],[Temperature, °F]]&lt;1,1,($H$33+$H$34*Tbl_HPGeneralCalcs[[#This Row],[Temperature, °F]])*INPUT_HEATPUMP_EFFICIENCY_FACTOR))</f>
        <v>3.5670000000000002</v>
      </c>
      <c r="L179" s="165">
        <f>KWH_PER_BTU*Tbl_HPGeneralCalcs[[#This Row],[heating load (Btu)]]/Tbl_HPGeneralCalcs[[#This Row],[COP - DMSHP]]</f>
        <v>1.791203488342636E-3</v>
      </c>
      <c r="M179" s="165">
        <f>HPFUELCALC_REF_DMSHPFAN*HPFUELCALC_REF_DMSHPFAN_CF*Tbl_HPGeneralCalcs[[#This Row],[Number of hours]]</f>
        <v>0.5</v>
      </c>
      <c r="N179" s="165">
        <f>Tbl_HPGeneralCalcs[[#This Row],[heating load (Btu)]]/HPFUELCALC_REF_AFUE/100000</f>
        <v>2.1800028340036843E-4</v>
      </c>
    </row>
    <row r="180" spans="2:14" x14ac:dyDescent="0.2">
      <c r="B180" s="16"/>
      <c r="C180" s="164">
        <v>64</v>
      </c>
      <c r="D180" s="164">
        <v>296</v>
      </c>
      <c r="E180" s="164">
        <f>IF((65-Tbl_HPGeneralCalcs[[#This Row],[Temperature, °F]])*Tbl_HPGeneralCalcs[[#This Row],[Number of hours]]&lt;0,0,(65-Tbl_HPGeneralCalcs[[#This Row],[Temperature, °F]])*Tbl_HPGeneralCalcs[[#This Row],[Number of hours]])</f>
        <v>296</v>
      </c>
      <c r="F180" s="164">
        <f>(Tbl_HPGeneralCalcs[[#This Row],[Heating-degree hours (MMBtu)]]/SUM(Tbl_HPGeneralCalcs[Heating-degree hours (MMBtu)]))*$S$30*10^6</f>
        <v>1613.2020971627262</v>
      </c>
      <c r="G180" s="164">
        <f>IF(Tbl_HPGeneralCalcs[[#This Row],[Temperature, °F]]&lt;=RESISTANCE_HEAT_THRESHOLD,1,IF($D$33+$D$34*Tbl_HPGeneralCalcs[[#This Row],[Temperature, °F]]&lt;1,1,($D$33+$D$34*Tbl_HPGeneralCalcs[[#This Row],[Temperature, °F]])*INPUT_HEATPUMP_EFFICIENCY_FACTOR))</f>
        <v>4.5669000000000004</v>
      </c>
      <c r="H180" s="165">
        <f>KWH_PER_BTU*Tbl_HPGeneralCalcs[[#This Row],[heating load (Btu)]]/Tbl_HPGeneralCalcs[[#This Row],[COP - CHP]]</f>
        <v>0.10352810229607512</v>
      </c>
      <c r="I180" s="165">
        <f>HPFUELCALC_REF_FUELPOWER_KW*HPFUELCALC_REF_FUELPOWER_CF*Tbl_HPGeneralCalcs[[#This Row],[Number of hours]]</f>
        <v>74</v>
      </c>
      <c r="J180" s="165">
        <f>Tbl_HPGeneralCalcs[[#This Row],[heating load (Btu)]]/HPFUELCALC_REF_AFUE/100000</f>
        <v>1.6132020971627262E-2</v>
      </c>
      <c r="K180" s="165">
        <f>IF(Tbl_HPGeneralCalcs[[#This Row],[Temperature, °F]]&lt;=RESISTANCE_HEAT_THRESHOLD,1,IF($H$33+$H$34*Tbl_HPGeneralCalcs[[#This Row],[Temperature, °F]]&lt;1,1,($H$33+$H$34*Tbl_HPGeneralCalcs[[#This Row],[Temperature, °F]])*INPUT_HEATPUMP_EFFICIENCY_FACTOR))</f>
        <v>3.5941999999999998</v>
      </c>
      <c r="L180" s="165">
        <f>KWH_PER_BTU*Tbl_HPGeneralCalcs[[#This Row],[heating load (Btu)]]/Tbl_HPGeneralCalcs[[#This Row],[COP - DMSHP]]</f>
        <v>0.13154596026263021</v>
      </c>
      <c r="M180" s="165">
        <f>HPFUELCALC_REF_DMSHPFAN*HPFUELCALC_REF_DMSHPFAN_CF*Tbl_HPGeneralCalcs[[#This Row],[Number of hours]]</f>
        <v>74</v>
      </c>
      <c r="N180" s="165">
        <f>Tbl_HPGeneralCalcs[[#This Row],[heating load (Btu)]]/HPFUELCALC_REF_AFUE/100000</f>
        <v>1.6132020971627262E-2</v>
      </c>
    </row>
    <row r="181" spans="2:14" x14ac:dyDescent="0.2">
      <c r="B181" s="16"/>
      <c r="C181" s="164">
        <v>65</v>
      </c>
      <c r="D181" s="164">
        <v>5</v>
      </c>
      <c r="E181" s="164">
        <f>IF((65-Tbl_HPGeneralCalcs[[#This Row],[Temperature, °F]])*Tbl_HPGeneralCalcs[[#This Row],[Number of hours]]&lt;0,0,(65-Tbl_HPGeneralCalcs[[#This Row],[Temperature, °F]])*Tbl_HPGeneralCalcs[[#This Row],[Number of hours]])</f>
        <v>0</v>
      </c>
      <c r="F181" s="164">
        <f>(Tbl_HPGeneralCalcs[[#This Row],[Heating-degree hours (MMBtu)]]/SUM(Tbl_HPGeneralCalcs[Heating-degree hours (MMBtu)]))*$S$30*10^6</f>
        <v>0</v>
      </c>
      <c r="G181" s="164">
        <f>IF(Tbl_HPGeneralCalcs[[#This Row],[Temperature, °F]]&lt;=RESISTANCE_HEAT_THRESHOLD,1,IF($D$33+$D$34*Tbl_HPGeneralCalcs[[#This Row],[Temperature, °F]]&lt;1,1,($D$33+$D$34*Tbl_HPGeneralCalcs[[#This Row],[Temperature, °F]])*INPUT_HEATPUMP_EFFICIENCY_FACTOR))</f>
        <v>4.6121999999999996</v>
      </c>
      <c r="H181" s="165">
        <f>KWH_PER_BTU*Tbl_HPGeneralCalcs[[#This Row],[heating load (Btu)]]/Tbl_HPGeneralCalcs[[#This Row],[COP - CHP]]</f>
        <v>0</v>
      </c>
      <c r="I181" s="165">
        <f>HPFUELCALC_REF_FUELPOWER_KW*HPFUELCALC_REF_FUELPOWER_CF*Tbl_HPGeneralCalcs[[#This Row],[Number of hours]]</f>
        <v>1.25</v>
      </c>
      <c r="J181" s="165">
        <f>Tbl_HPGeneralCalcs[[#This Row],[heating load (Btu)]]/HPFUELCALC_REF_AFUE/100000</f>
        <v>0</v>
      </c>
      <c r="K181" s="165">
        <f>IF(Tbl_HPGeneralCalcs[[#This Row],[Temperature, °F]]&lt;=RESISTANCE_HEAT_THRESHOLD,1,IF($H$33+$H$34*Tbl_HPGeneralCalcs[[#This Row],[Temperature, °F]]&lt;1,1,($H$33+$H$34*Tbl_HPGeneralCalcs[[#This Row],[Temperature, °F]])*INPUT_HEATPUMP_EFFICIENCY_FACTOR))</f>
        <v>3.6213999999999995</v>
      </c>
      <c r="L181" s="165">
        <f>KWH_PER_BTU*Tbl_HPGeneralCalcs[[#This Row],[heating load (Btu)]]/Tbl_HPGeneralCalcs[[#This Row],[COP - DMSHP]]</f>
        <v>0</v>
      </c>
      <c r="M181" s="165">
        <f>HPFUELCALC_REF_DMSHPFAN*HPFUELCALC_REF_DMSHPFAN_CF*Tbl_HPGeneralCalcs[[#This Row],[Number of hours]]</f>
        <v>1.25</v>
      </c>
      <c r="N181" s="165">
        <f>Tbl_HPGeneralCalcs[[#This Row],[heating load (Btu)]]/HPFUELCALC_REF_AFUE/100000</f>
        <v>0</v>
      </c>
    </row>
    <row r="182" spans="2:14" x14ac:dyDescent="0.2">
      <c r="B182" s="16"/>
      <c r="C182" s="164">
        <v>66</v>
      </c>
      <c r="D182" s="164">
        <v>260</v>
      </c>
      <c r="E182" s="164">
        <f>IF((65-Tbl_HPGeneralCalcs[[#This Row],[Temperature, °F]])*Tbl_HPGeneralCalcs[[#This Row],[Number of hours]]&lt;0,0,(65-Tbl_HPGeneralCalcs[[#This Row],[Temperature, °F]])*Tbl_HPGeneralCalcs[[#This Row],[Number of hours]])</f>
        <v>0</v>
      </c>
      <c r="F182" s="164">
        <f>(Tbl_HPGeneralCalcs[[#This Row],[Heating-degree hours (MMBtu)]]/SUM(Tbl_HPGeneralCalcs[Heating-degree hours (MMBtu)]))*$S$30*10^6</f>
        <v>0</v>
      </c>
      <c r="G182" s="164">
        <f>IF(Tbl_HPGeneralCalcs[[#This Row],[Temperature, °F]]&lt;=RESISTANCE_HEAT_THRESHOLD,1,IF($D$33+$D$34*Tbl_HPGeneralCalcs[[#This Row],[Temperature, °F]]&lt;1,1,($D$33+$D$34*Tbl_HPGeneralCalcs[[#This Row],[Temperature, °F]])*INPUT_HEATPUMP_EFFICIENCY_FACTOR))</f>
        <v>4.6574999999999998</v>
      </c>
      <c r="H182" s="165">
        <f>KWH_PER_BTU*Tbl_HPGeneralCalcs[[#This Row],[heating load (Btu)]]/Tbl_HPGeneralCalcs[[#This Row],[COP - CHP]]</f>
        <v>0</v>
      </c>
      <c r="I182" s="165">
        <f>HPFUELCALC_REF_FUELPOWER_KW*HPFUELCALC_REF_FUELPOWER_CF*Tbl_HPGeneralCalcs[[#This Row],[Number of hours]]</f>
        <v>65</v>
      </c>
      <c r="J182" s="165">
        <f>Tbl_HPGeneralCalcs[[#This Row],[heating load (Btu)]]/HPFUELCALC_REF_AFUE/100000</f>
        <v>0</v>
      </c>
      <c r="K182" s="165">
        <f>IF(Tbl_HPGeneralCalcs[[#This Row],[Temperature, °F]]&lt;=RESISTANCE_HEAT_THRESHOLD,1,IF($H$33+$H$34*Tbl_HPGeneralCalcs[[#This Row],[Temperature, °F]]&lt;1,1,($H$33+$H$34*Tbl_HPGeneralCalcs[[#This Row],[Temperature, °F]])*INPUT_HEATPUMP_EFFICIENCY_FACTOR))</f>
        <v>3.6486000000000001</v>
      </c>
      <c r="L182" s="165">
        <f>KWH_PER_BTU*Tbl_HPGeneralCalcs[[#This Row],[heating load (Btu)]]/Tbl_HPGeneralCalcs[[#This Row],[COP - DMSHP]]</f>
        <v>0</v>
      </c>
      <c r="M182" s="165">
        <f>HPFUELCALC_REF_DMSHPFAN*HPFUELCALC_REF_DMSHPFAN_CF*Tbl_HPGeneralCalcs[[#This Row],[Number of hours]]</f>
        <v>65</v>
      </c>
      <c r="N182" s="165">
        <f>Tbl_HPGeneralCalcs[[#This Row],[heating load (Btu)]]/HPFUELCALC_REF_AFUE/100000</f>
        <v>0</v>
      </c>
    </row>
    <row r="183" spans="2:14" x14ac:dyDescent="0.2">
      <c r="B183" s="16"/>
      <c r="C183" s="164">
        <v>67</v>
      </c>
      <c r="D183" s="164">
        <v>3</v>
      </c>
      <c r="E183" s="165">
        <f>IF((65-Tbl_HPGeneralCalcs[[#This Row],[Temperature, °F]])*Tbl_HPGeneralCalcs[[#This Row],[Number of hours]]&lt;0,0,(65-Tbl_HPGeneralCalcs[[#This Row],[Temperature, °F]])*Tbl_HPGeneralCalcs[[#This Row],[Number of hours]])</f>
        <v>0</v>
      </c>
      <c r="F183" s="165">
        <f>(Tbl_HPGeneralCalcs[[#This Row],[Heating-degree hours (MMBtu)]]/SUM(Tbl_HPGeneralCalcs[Heating-degree hours (MMBtu)]))*$S$30*10^6</f>
        <v>0</v>
      </c>
      <c r="G183" s="165">
        <f>IF(Tbl_HPGeneralCalcs[[#This Row],[Temperature, °F]]&lt;=RESISTANCE_HEAT_THRESHOLD,1,IF($D$33+$D$34*Tbl_HPGeneralCalcs[[#This Row],[Temperature, °F]]&lt;1,1,($D$33+$D$34*Tbl_HPGeneralCalcs[[#This Row],[Temperature, °F]])*INPUT_HEATPUMP_EFFICIENCY_FACTOR))</f>
        <v>4.7027999999999999</v>
      </c>
      <c r="H183" s="165">
        <f>KWH_PER_BTU*Tbl_HPGeneralCalcs[[#This Row],[heating load (Btu)]]/Tbl_HPGeneralCalcs[[#This Row],[COP - CHP]]</f>
        <v>0</v>
      </c>
      <c r="I183" s="165">
        <f>HPFUELCALC_REF_FUELPOWER_KW*HPFUELCALC_REF_FUELPOWER_CF*Tbl_HPGeneralCalcs[[#This Row],[Number of hours]]</f>
        <v>0.75</v>
      </c>
      <c r="J183" s="165">
        <f>Tbl_HPGeneralCalcs[[#This Row],[heating load (Btu)]]/HPFUELCALC_REF_AFUE/100000</f>
        <v>0</v>
      </c>
      <c r="K183" s="165">
        <f>IF(Tbl_HPGeneralCalcs[[#This Row],[Temperature, °F]]&lt;=RESISTANCE_HEAT_THRESHOLD,1,IF($H$33+$H$34*Tbl_HPGeneralCalcs[[#This Row],[Temperature, °F]]&lt;1,1,($H$33+$H$34*Tbl_HPGeneralCalcs[[#This Row],[Temperature, °F]])*INPUT_HEATPUMP_EFFICIENCY_FACTOR))</f>
        <v>3.6757999999999997</v>
      </c>
      <c r="L183" s="165">
        <f>KWH_PER_BTU*Tbl_HPGeneralCalcs[[#This Row],[heating load (Btu)]]/Tbl_HPGeneralCalcs[[#This Row],[COP - DMSHP]]</f>
        <v>0</v>
      </c>
      <c r="M183" s="165">
        <f>HPFUELCALC_REF_DMSHPFAN*HPFUELCALC_REF_DMSHPFAN_CF*Tbl_HPGeneralCalcs[[#This Row],[Number of hours]]</f>
        <v>0.75</v>
      </c>
      <c r="N183" s="165">
        <f>Tbl_HPGeneralCalcs[[#This Row],[heating load (Btu)]]/HPFUELCALC_REF_AFUE/100000</f>
        <v>0</v>
      </c>
    </row>
    <row r="184" spans="2:14" x14ac:dyDescent="0.2">
      <c r="B184" s="16"/>
      <c r="C184" s="164">
        <v>68</v>
      </c>
      <c r="D184" s="164">
        <v>115</v>
      </c>
      <c r="E184" s="165">
        <f>IF((65-Tbl_HPGeneralCalcs[[#This Row],[Temperature, °F]])*Tbl_HPGeneralCalcs[[#This Row],[Number of hours]]&lt;0,0,(65-Tbl_HPGeneralCalcs[[#This Row],[Temperature, °F]])*Tbl_HPGeneralCalcs[[#This Row],[Number of hours]])</f>
        <v>0</v>
      </c>
      <c r="F184" s="165">
        <f>(Tbl_HPGeneralCalcs[[#This Row],[Heating-degree hours (MMBtu)]]/SUM(Tbl_HPGeneralCalcs[Heating-degree hours (MMBtu)]))*$S$30*10^6</f>
        <v>0</v>
      </c>
      <c r="G184" s="165">
        <f>IF(Tbl_HPGeneralCalcs[[#This Row],[Temperature, °F]]&lt;=RESISTANCE_HEAT_THRESHOLD,1,IF($D$33+$D$34*Tbl_HPGeneralCalcs[[#This Row],[Temperature, °F]]&lt;1,1,($D$33+$D$34*Tbl_HPGeneralCalcs[[#This Row],[Temperature, °F]])*INPUT_HEATPUMP_EFFICIENCY_FACTOR))</f>
        <v>4.7481</v>
      </c>
      <c r="H184" s="165">
        <f>KWH_PER_BTU*Tbl_HPGeneralCalcs[[#This Row],[heating load (Btu)]]/Tbl_HPGeneralCalcs[[#This Row],[COP - CHP]]</f>
        <v>0</v>
      </c>
      <c r="I184" s="165">
        <f>HPFUELCALC_REF_FUELPOWER_KW*HPFUELCALC_REF_FUELPOWER_CF*Tbl_HPGeneralCalcs[[#This Row],[Number of hours]]</f>
        <v>28.75</v>
      </c>
      <c r="J184" s="165">
        <f>Tbl_HPGeneralCalcs[[#This Row],[heating load (Btu)]]/HPFUELCALC_REF_AFUE/100000</f>
        <v>0</v>
      </c>
      <c r="K184" s="165">
        <f>IF(Tbl_HPGeneralCalcs[[#This Row],[Temperature, °F]]&lt;=RESISTANCE_HEAT_THRESHOLD,1,IF($H$33+$H$34*Tbl_HPGeneralCalcs[[#This Row],[Temperature, °F]]&lt;1,1,($H$33+$H$34*Tbl_HPGeneralCalcs[[#This Row],[Temperature, °F]])*INPUT_HEATPUMP_EFFICIENCY_FACTOR))</f>
        <v>3.7029999999999998</v>
      </c>
      <c r="L184" s="165">
        <f>KWH_PER_BTU*Tbl_HPGeneralCalcs[[#This Row],[heating load (Btu)]]/Tbl_HPGeneralCalcs[[#This Row],[COP - DMSHP]]</f>
        <v>0</v>
      </c>
      <c r="M184" s="165">
        <f>HPFUELCALC_REF_DMSHPFAN*HPFUELCALC_REF_DMSHPFAN_CF*Tbl_HPGeneralCalcs[[#This Row],[Number of hours]]</f>
        <v>28.75</v>
      </c>
      <c r="N184" s="165">
        <f>Tbl_HPGeneralCalcs[[#This Row],[heating load (Btu)]]/HPFUELCALC_REF_AFUE/100000</f>
        <v>0</v>
      </c>
    </row>
    <row r="185" spans="2:14" x14ac:dyDescent="0.2">
      <c r="B185" s="16"/>
      <c r="C185" s="164">
        <v>69</v>
      </c>
      <c r="D185" s="164">
        <v>241</v>
      </c>
      <c r="E185" s="165">
        <f>IF((65-Tbl_HPGeneralCalcs[[#This Row],[Temperature, °F]])*Tbl_HPGeneralCalcs[[#This Row],[Number of hours]]&lt;0,0,(65-Tbl_HPGeneralCalcs[[#This Row],[Temperature, °F]])*Tbl_HPGeneralCalcs[[#This Row],[Number of hours]])</f>
        <v>0</v>
      </c>
      <c r="F185" s="165">
        <f>(Tbl_HPGeneralCalcs[[#This Row],[Heating-degree hours (MMBtu)]]/SUM(Tbl_HPGeneralCalcs[Heating-degree hours (MMBtu)]))*$S$30*10^6</f>
        <v>0</v>
      </c>
      <c r="G185" s="165">
        <f>IF(Tbl_HPGeneralCalcs[[#This Row],[Temperature, °F]]&lt;=RESISTANCE_HEAT_THRESHOLD,1,IF($D$33+$D$34*Tbl_HPGeneralCalcs[[#This Row],[Temperature, °F]]&lt;1,1,($D$33+$D$34*Tbl_HPGeneralCalcs[[#This Row],[Temperature, °F]])*INPUT_HEATPUMP_EFFICIENCY_FACTOR))</f>
        <v>4.7934000000000001</v>
      </c>
      <c r="H185" s="165">
        <f>KWH_PER_BTU*Tbl_HPGeneralCalcs[[#This Row],[heating load (Btu)]]/Tbl_HPGeneralCalcs[[#This Row],[COP - CHP]]</f>
        <v>0</v>
      </c>
      <c r="I185" s="165">
        <f>HPFUELCALC_REF_FUELPOWER_KW*HPFUELCALC_REF_FUELPOWER_CF*Tbl_HPGeneralCalcs[[#This Row],[Number of hours]]</f>
        <v>60.25</v>
      </c>
      <c r="J185" s="165">
        <f>Tbl_HPGeneralCalcs[[#This Row],[heating load (Btu)]]/HPFUELCALC_REF_AFUE/100000</f>
        <v>0</v>
      </c>
      <c r="K185" s="165">
        <f>IF(Tbl_HPGeneralCalcs[[#This Row],[Temperature, °F]]&lt;=RESISTANCE_HEAT_THRESHOLD,1,IF($H$33+$H$34*Tbl_HPGeneralCalcs[[#This Row],[Temperature, °F]]&lt;1,1,($H$33+$H$34*Tbl_HPGeneralCalcs[[#This Row],[Temperature, °F]])*INPUT_HEATPUMP_EFFICIENCY_FACTOR))</f>
        <v>3.7302</v>
      </c>
      <c r="L185" s="165">
        <f>KWH_PER_BTU*Tbl_HPGeneralCalcs[[#This Row],[heating load (Btu)]]/Tbl_HPGeneralCalcs[[#This Row],[COP - DMSHP]]</f>
        <v>0</v>
      </c>
      <c r="M185" s="165">
        <f>HPFUELCALC_REF_DMSHPFAN*HPFUELCALC_REF_DMSHPFAN_CF*Tbl_HPGeneralCalcs[[#This Row],[Number of hours]]</f>
        <v>60.25</v>
      </c>
      <c r="N185" s="165">
        <f>Tbl_HPGeneralCalcs[[#This Row],[heating load (Btu)]]/HPFUELCALC_REF_AFUE/100000</f>
        <v>0</v>
      </c>
    </row>
    <row r="186" spans="2:14" x14ac:dyDescent="0.2">
      <c r="B186" s="16"/>
      <c r="C186" s="164">
        <v>70</v>
      </c>
      <c r="D186" s="164">
        <v>0</v>
      </c>
      <c r="E186" s="165">
        <f>IF((65-Tbl_HPGeneralCalcs[[#This Row],[Temperature, °F]])*Tbl_HPGeneralCalcs[[#This Row],[Number of hours]]&lt;0,0,(65-Tbl_HPGeneralCalcs[[#This Row],[Temperature, °F]])*Tbl_HPGeneralCalcs[[#This Row],[Number of hours]])</f>
        <v>0</v>
      </c>
      <c r="F186" s="165">
        <f>(Tbl_HPGeneralCalcs[[#This Row],[Heating-degree hours (MMBtu)]]/SUM(Tbl_HPGeneralCalcs[Heating-degree hours (MMBtu)]))*$S$30*10^6</f>
        <v>0</v>
      </c>
      <c r="G186" s="165">
        <f>IF(Tbl_HPGeneralCalcs[[#This Row],[Temperature, °F]]&lt;=RESISTANCE_HEAT_THRESHOLD,1,IF($D$33+$D$34*Tbl_HPGeneralCalcs[[#This Row],[Temperature, °F]]&lt;1,1,($D$33+$D$34*Tbl_HPGeneralCalcs[[#This Row],[Temperature, °F]])*INPUT_HEATPUMP_EFFICIENCY_FACTOR))</f>
        <v>4.8386999999999993</v>
      </c>
      <c r="H186" s="165">
        <f>KWH_PER_BTU*Tbl_HPGeneralCalcs[[#This Row],[heating load (Btu)]]/Tbl_HPGeneralCalcs[[#This Row],[COP - CHP]]</f>
        <v>0</v>
      </c>
      <c r="I186" s="165">
        <f>HPFUELCALC_REF_FUELPOWER_KW*HPFUELCALC_REF_FUELPOWER_CF*Tbl_HPGeneralCalcs[[#This Row],[Number of hours]]</f>
        <v>0</v>
      </c>
      <c r="J186" s="165">
        <f>Tbl_HPGeneralCalcs[[#This Row],[heating load (Btu)]]/HPFUELCALC_REF_AFUE/100000</f>
        <v>0</v>
      </c>
      <c r="K186" s="165">
        <f>IF(Tbl_HPGeneralCalcs[[#This Row],[Temperature, °F]]&lt;=RESISTANCE_HEAT_THRESHOLD,1,IF($H$33+$H$34*Tbl_HPGeneralCalcs[[#This Row],[Temperature, °F]]&lt;1,1,($H$33+$H$34*Tbl_HPGeneralCalcs[[#This Row],[Temperature, °F]])*INPUT_HEATPUMP_EFFICIENCY_FACTOR))</f>
        <v>3.7573999999999996</v>
      </c>
      <c r="L186" s="165">
        <f>KWH_PER_BTU*Tbl_HPGeneralCalcs[[#This Row],[heating load (Btu)]]/Tbl_HPGeneralCalcs[[#This Row],[COP - DMSHP]]</f>
        <v>0</v>
      </c>
      <c r="M186" s="165">
        <f>HPFUELCALC_REF_DMSHPFAN*HPFUELCALC_REF_DMSHPFAN_CF*Tbl_HPGeneralCalcs[[#This Row],[Number of hours]]</f>
        <v>0</v>
      </c>
      <c r="N186" s="165">
        <f>Tbl_HPGeneralCalcs[[#This Row],[heating load (Btu)]]/HPFUELCALC_REF_AFUE/100000</f>
        <v>0</v>
      </c>
    </row>
    <row r="187" spans="2:14" x14ac:dyDescent="0.2">
      <c r="B187" s="16"/>
      <c r="C187" s="164">
        <v>71</v>
      </c>
      <c r="D187" s="164">
        <v>209</v>
      </c>
      <c r="E187" s="165">
        <f>IF((65-Tbl_HPGeneralCalcs[[#This Row],[Temperature, °F]])*Tbl_HPGeneralCalcs[[#This Row],[Number of hours]]&lt;0,0,(65-Tbl_HPGeneralCalcs[[#This Row],[Temperature, °F]])*Tbl_HPGeneralCalcs[[#This Row],[Number of hours]])</f>
        <v>0</v>
      </c>
      <c r="F187" s="165">
        <f>(Tbl_HPGeneralCalcs[[#This Row],[Heating-degree hours (MMBtu)]]/SUM(Tbl_HPGeneralCalcs[Heating-degree hours (MMBtu)]))*$S$30*10^6</f>
        <v>0</v>
      </c>
      <c r="G187" s="165">
        <f>IF(Tbl_HPGeneralCalcs[[#This Row],[Temperature, °F]]&lt;=RESISTANCE_HEAT_THRESHOLD,1,IF($D$33+$D$34*Tbl_HPGeneralCalcs[[#This Row],[Temperature, °F]]&lt;1,1,($D$33+$D$34*Tbl_HPGeneralCalcs[[#This Row],[Temperature, °F]])*INPUT_HEATPUMP_EFFICIENCY_FACTOR))</f>
        <v>4.8840000000000003</v>
      </c>
      <c r="H187" s="165">
        <f>KWH_PER_BTU*Tbl_HPGeneralCalcs[[#This Row],[heating load (Btu)]]/Tbl_HPGeneralCalcs[[#This Row],[COP - CHP]]</f>
        <v>0</v>
      </c>
      <c r="I187" s="165">
        <f>HPFUELCALC_REF_FUELPOWER_KW*HPFUELCALC_REF_FUELPOWER_CF*Tbl_HPGeneralCalcs[[#This Row],[Number of hours]]</f>
        <v>52.25</v>
      </c>
      <c r="J187" s="165">
        <f>Tbl_HPGeneralCalcs[[#This Row],[heating load (Btu)]]/HPFUELCALC_REF_AFUE/100000</f>
        <v>0</v>
      </c>
      <c r="K187" s="165">
        <f>IF(Tbl_HPGeneralCalcs[[#This Row],[Temperature, °F]]&lt;=RESISTANCE_HEAT_THRESHOLD,1,IF($H$33+$H$34*Tbl_HPGeneralCalcs[[#This Row],[Temperature, °F]]&lt;1,1,($H$33+$H$34*Tbl_HPGeneralCalcs[[#This Row],[Temperature, °F]])*INPUT_HEATPUMP_EFFICIENCY_FACTOR))</f>
        <v>3.7845999999999997</v>
      </c>
      <c r="L187" s="165">
        <f>KWH_PER_BTU*Tbl_HPGeneralCalcs[[#This Row],[heating load (Btu)]]/Tbl_HPGeneralCalcs[[#This Row],[COP - DMSHP]]</f>
        <v>0</v>
      </c>
      <c r="M187" s="165">
        <f>HPFUELCALC_REF_DMSHPFAN*HPFUELCALC_REF_DMSHPFAN_CF*Tbl_HPGeneralCalcs[[#This Row],[Number of hours]]</f>
        <v>52.25</v>
      </c>
      <c r="N187" s="165">
        <f>Tbl_HPGeneralCalcs[[#This Row],[heating load (Btu)]]/HPFUELCALC_REF_AFUE/100000</f>
        <v>0</v>
      </c>
    </row>
    <row r="188" spans="2:14" x14ac:dyDescent="0.2">
      <c r="B188" s="16"/>
      <c r="C188" s="164">
        <v>72</v>
      </c>
      <c r="D188" s="164">
        <v>0</v>
      </c>
      <c r="E188" s="165">
        <f>IF((65-Tbl_HPGeneralCalcs[[#This Row],[Temperature, °F]])*Tbl_HPGeneralCalcs[[#This Row],[Number of hours]]&lt;0,0,(65-Tbl_HPGeneralCalcs[[#This Row],[Temperature, °F]])*Tbl_HPGeneralCalcs[[#This Row],[Number of hours]])</f>
        <v>0</v>
      </c>
      <c r="F188" s="165">
        <f>(Tbl_HPGeneralCalcs[[#This Row],[Heating-degree hours (MMBtu)]]/SUM(Tbl_HPGeneralCalcs[Heating-degree hours (MMBtu)]))*$S$30*10^6</f>
        <v>0</v>
      </c>
      <c r="G188" s="165">
        <f>IF(Tbl_HPGeneralCalcs[[#This Row],[Temperature, °F]]&lt;=RESISTANCE_HEAT_THRESHOLD,1,IF($D$33+$D$34*Tbl_HPGeneralCalcs[[#This Row],[Temperature, °F]]&lt;1,1,($D$33+$D$34*Tbl_HPGeneralCalcs[[#This Row],[Temperature, °F]])*INPUT_HEATPUMP_EFFICIENCY_FACTOR))</f>
        <v>4.9292999999999996</v>
      </c>
      <c r="H188" s="165">
        <f>KWH_PER_BTU*Tbl_HPGeneralCalcs[[#This Row],[heating load (Btu)]]/Tbl_HPGeneralCalcs[[#This Row],[COP - CHP]]</f>
        <v>0</v>
      </c>
      <c r="I188" s="165">
        <f>HPFUELCALC_REF_FUELPOWER_KW*HPFUELCALC_REF_FUELPOWER_CF*Tbl_HPGeneralCalcs[[#This Row],[Number of hours]]</f>
        <v>0</v>
      </c>
      <c r="J188" s="165">
        <f>Tbl_HPGeneralCalcs[[#This Row],[heating load (Btu)]]/HPFUELCALC_REF_AFUE/100000</f>
        <v>0</v>
      </c>
      <c r="K188" s="165">
        <f>IF(Tbl_HPGeneralCalcs[[#This Row],[Temperature, °F]]&lt;=RESISTANCE_HEAT_THRESHOLD,1,IF($H$33+$H$34*Tbl_HPGeneralCalcs[[#This Row],[Temperature, °F]]&lt;1,1,($H$33+$H$34*Tbl_HPGeneralCalcs[[#This Row],[Temperature, °F]])*INPUT_HEATPUMP_EFFICIENCY_FACTOR))</f>
        <v>3.8117999999999999</v>
      </c>
      <c r="L188" s="165">
        <f>KWH_PER_BTU*Tbl_HPGeneralCalcs[[#This Row],[heating load (Btu)]]/Tbl_HPGeneralCalcs[[#This Row],[COP - DMSHP]]</f>
        <v>0</v>
      </c>
      <c r="M188" s="165">
        <f>HPFUELCALC_REF_DMSHPFAN*HPFUELCALC_REF_DMSHPFAN_CF*Tbl_HPGeneralCalcs[[#This Row],[Number of hours]]</f>
        <v>0</v>
      </c>
      <c r="N188" s="165">
        <f>Tbl_HPGeneralCalcs[[#This Row],[heating load (Btu)]]/HPFUELCALC_REF_AFUE/100000</f>
        <v>0</v>
      </c>
    </row>
    <row r="189" spans="2:14" x14ac:dyDescent="0.2">
      <c r="B189" s="16"/>
      <c r="C189" s="164">
        <v>73</v>
      </c>
      <c r="D189" s="164">
        <v>167</v>
      </c>
      <c r="E189" s="165">
        <f>IF((65-Tbl_HPGeneralCalcs[[#This Row],[Temperature, °F]])*Tbl_HPGeneralCalcs[[#This Row],[Number of hours]]&lt;0,0,(65-Tbl_HPGeneralCalcs[[#This Row],[Temperature, °F]])*Tbl_HPGeneralCalcs[[#This Row],[Number of hours]])</f>
        <v>0</v>
      </c>
      <c r="F189" s="165">
        <f>(Tbl_HPGeneralCalcs[[#This Row],[Heating-degree hours (MMBtu)]]/SUM(Tbl_HPGeneralCalcs[Heating-degree hours (MMBtu)]))*$S$30*10^6</f>
        <v>0</v>
      </c>
      <c r="G189" s="165">
        <f>IF(Tbl_HPGeneralCalcs[[#This Row],[Temperature, °F]]&lt;=RESISTANCE_HEAT_THRESHOLD,1,IF($D$33+$D$34*Tbl_HPGeneralCalcs[[#This Row],[Temperature, °F]]&lt;1,1,($D$33+$D$34*Tbl_HPGeneralCalcs[[#This Row],[Temperature, °F]])*INPUT_HEATPUMP_EFFICIENCY_FACTOR))</f>
        <v>4.9746000000000006</v>
      </c>
      <c r="H189" s="165">
        <f>KWH_PER_BTU*Tbl_HPGeneralCalcs[[#This Row],[heating load (Btu)]]/Tbl_HPGeneralCalcs[[#This Row],[COP - CHP]]</f>
        <v>0</v>
      </c>
      <c r="I189" s="165">
        <f>HPFUELCALC_REF_FUELPOWER_KW*HPFUELCALC_REF_FUELPOWER_CF*Tbl_HPGeneralCalcs[[#This Row],[Number of hours]]</f>
        <v>41.75</v>
      </c>
      <c r="J189" s="165">
        <f>Tbl_HPGeneralCalcs[[#This Row],[heating load (Btu)]]/HPFUELCALC_REF_AFUE/100000</f>
        <v>0</v>
      </c>
      <c r="K189" s="165">
        <f>IF(Tbl_HPGeneralCalcs[[#This Row],[Temperature, °F]]&lt;=RESISTANCE_HEAT_THRESHOLD,1,IF($H$33+$H$34*Tbl_HPGeneralCalcs[[#This Row],[Temperature, °F]]&lt;1,1,($H$33+$H$34*Tbl_HPGeneralCalcs[[#This Row],[Temperature, °F]])*INPUT_HEATPUMP_EFFICIENCY_FACTOR))</f>
        <v>3.8389999999999995</v>
      </c>
      <c r="L189" s="165">
        <f>KWH_PER_BTU*Tbl_HPGeneralCalcs[[#This Row],[heating load (Btu)]]/Tbl_HPGeneralCalcs[[#This Row],[COP - DMSHP]]</f>
        <v>0</v>
      </c>
      <c r="M189" s="165">
        <f>HPFUELCALC_REF_DMSHPFAN*HPFUELCALC_REF_DMSHPFAN_CF*Tbl_HPGeneralCalcs[[#This Row],[Number of hours]]</f>
        <v>41.75</v>
      </c>
      <c r="N189" s="165">
        <f>Tbl_HPGeneralCalcs[[#This Row],[heating load (Btu)]]/HPFUELCALC_REF_AFUE/100000</f>
        <v>0</v>
      </c>
    </row>
    <row r="190" spans="2:14" x14ac:dyDescent="0.2">
      <c r="B190" s="16"/>
      <c r="C190" s="164">
        <v>74</v>
      </c>
      <c r="D190" s="164">
        <v>1</v>
      </c>
      <c r="E190" s="165">
        <f>IF((65-Tbl_HPGeneralCalcs[[#This Row],[Temperature, °F]])*Tbl_HPGeneralCalcs[[#This Row],[Number of hours]]&lt;0,0,(65-Tbl_HPGeneralCalcs[[#This Row],[Temperature, °F]])*Tbl_HPGeneralCalcs[[#This Row],[Number of hours]])</f>
        <v>0</v>
      </c>
      <c r="F190" s="165">
        <f>(Tbl_HPGeneralCalcs[[#This Row],[Heating-degree hours (MMBtu)]]/SUM(Tbl_HPGeneralCalcs[Heating-degree hours (MMBtu)]))*$S$30*10^6</f>
        <v>0</v>
      </c>
      <c r="G190" s="165">
        <f>IF(Tbl_HPGeneralCalcs[[#This Row],[Temperature, °F]]&lt;=RESISTANCE_HEAT_THRESHOLD,1,IF($D$33+$D$34*Tbl_HPGeneralCalcs[[#This Row],[Temperature, °F]]&lt;1,1,($D$33+$D$34*Tbl_HPGeneralCalcs[[#This Row],[Temperature, °F]])*INPUT_HEATPUMP_EFFICIENCY_FACTOR))</f>
        <v>5.0198999999999998</v>
      </c>
      <c r="H190" s="165">
        <f>KWH_PER_BTU*Tbl_HPGeneralCalcs[[#This Row],[heating load (Btu)]]/Tbl_HPGeneralCalcs[[#This Row],[COP - CHP]]</f>
        <v>0</v>
      </c>
      <c r="I190" s="165">
        <f>HPFUELCALC_REF_FUELPOWER_KW*HPFUELCALC_REF_FUELPOWER_CF*Tbl_HPGeneralCalcs[[#This Row],[Number of hours]]</f>
        <v>0.25</v>
      </c>
      <c r="J190" s="165">
        <f>Tbl_HPGeneralCalcs[[#This Row],[heating load (Btu)]]/HPFUELCALC_REF_AFUE/100000</f>
        <v>0</v>
      </c>
      <c r="K190" s="165">
        <f>IF(Tbl_HPGeneralCalcs[[#This Row],[Temperature, °F]]&lt;=RESISTANCE_HEAT_THRESHOLD,1,IF($H$33+$H$34*Tbl_HPGeneralCalcs[[#This Row],[Temperature, °F]]&lt;1,1,($H$33+$H$34*Tbl_HPGeneralCalcs[[#This Row],[Temperature, °F]])*INPUT_HEATPUMP_EFFICIENCY_FACTOR))</f>
        <v>3.8662000000000001</v>
      </c>
      <c r="L190" s="165">
        <f>KWH_PER_BTU*Tbl_HPGeneralCalcs[[#This Row],[heating load (Btu)]]/Tbl_HPGeneralCalcs[[#This Row],[COP - DMSHP]]</f>
        <v>0</v>
      </c>
      <c r="M190" s="165">
        <f>HPFUELCALC_REF_DMSHPFAN*HPFUELCALC_REF_DMSHPFAN_CF*Tbl_HPGeneralCalcs[[#This Row],[Number of hours]]</f>
        <v>0.25</v>
      </c>
      <c r="N190" s="165">
        <f>Tbl_HPGeneralCalcs[[#This Row],[heating load (Btu)]]/HPFUELCALC_REF_AFUE/100000</f>
        <v>0</v>
      </c>
    </row>
    <row r="191" spans="2:14" x14ac:dyDescent="0.2">
      <c r="B191" s="16"/>
      <c r="C191" s="164">
        <v>75</v>
      </c>
      <c r="D191" s="164">
        <v>155</v>
      </c>
      <c r="E191" s="165">
        <f>IF((65-Tbl_HPGeneralCalcs[[#This Row],[Temperature, °F]])*Tbl_HPGeneralCalcs[[#This Row],[Number of hours]]&lt;0,0,(65-Tbl_HPGeneralCalcs[[#This Row],[Temperature, °F]])*Tbl_HPGeneralCalcs[[#This Row],[Number of hours]])</f>
        <v>0</v>
      </c>
      <c r="F191" s="165">
        <f>(Tbl_HPGeneralCalcs[[#This Row],[Heating-degree hours (MMBtu)]]/SUM(Tbl_HPGeneralCalcs[Heating-degree hours (MMBtu)]))*$S$30*10^6</f>
        <v>0</v>
      </c>
      <c r="G191" s="165">
        <f>IF(Tbl_HPGeneralCalcs[[#This Row],[Temperature, °F]]&lt;=RESISTANCE_HEAT_THRESHOLD,1,IF($D$33+$D$34*Tbl_HPGeneralCalcs[[#This Row],[Temperature, °F]]&lt;1,1,($D$33+$D$34*Tbl_HPGeneralCalcs[[#This Row],[Temperature, °F]])*INPUT_HEATPUMP_EFFICIENCY_FACTOR))</f>
        <v>5.0651999999999999</v>
      </c>
      <c r="H191" s="165">
        <f>KWH_PER_BTU*Tbl_HPGeneralCalcs[[#This Row],[heating load (Btu)]]/Tbl_HPGeneralCalcs[[#This Row],[COP - CHP]]</f>
        <v>0</v>
      </c>
      <c r="I191" s="165">
        <f>HPFUELCALC_REF_FUELPOWER_KW*HPFUELCALC_REF_FUELPOWER_CF*Tbl_HPGeneralCalcs[[#This Row],[Number of hours]]</f>
        <v>38.75</v>
      </c>
      <c r="J191" s="165">
        <f>Tbl_HPGeneralCalcs[[#This Row],[heating load (Btu)]]/HPFUELCALC_REF_AFUE/100000</f>
        <v>0</v>
      </c>
      <c r="K191" s="165">
        <f>IF(Tbl_HPGeneralCalcs[[#This Row],[Temperature, °F]]&lt;=RESISTANCE_HEAT_THRESHOLD,1,IF($H$33+$H$34*Tbl_HPGeneralCalcs[[#This Row],[Temperature, °F]]&lt;1,1,($H$33+$H$34*Tbl_HPGeneralCalcs[[#This Row],[Temperature, °F]])*INPUT_HEATPUMP_EFFICIENCY_FACTOR))</f>
        <v>3.8933999999999997</v>
      </c>
      <c r="L191" s="165">
        <f>KWH_PER_BTU*Tbl_HPGeneralCalcs[[#This Row],[heating load (Btu)]]/Tbl_HPGeneralCalcs[[#This Row],[COP - DMSHP]]</f>
        <v>0</v>
      </c>
      <c r="M191" s="165">
        <f>HPFUELCALC_REF_DMSHPFAN*HPFUELCALC_REF_DMSHPFAN_CF*Tbl_HPGeneralCalcs[[#This Row],[Number of hours]]</f>
        <v>38.75</v>
      </c>
      <c r="N191" s="165">
        <f>Tbl_HPGeneralCalcs[[#This Row],[heating load (Btu)]]/HPFUELCALC_REF_AFUE/100000</f>
        <v>0</v>
      </c>
    </row>
    <row r="192" spans="2:14" x14ac:dyDescent="0.2">
      <c r="B192" s="16"/>
      <c r="C192" s="164">
        <v>76</v>
      </c>
      <c r="D192" s="164">
        <v>0</v>
      </c>
      <c r="E192" s="165">
        <f>IF((65-Tbl_HPGeneralCalcs[[#This Row],[Temperature, °F]])*Tbl_HPGeneralCalcs[[#This Row],[Number of hours]]&lt;0,0,(65-Tbl_HPGeneralCalcs[[#This Row],[Temperature, °F]])*Tbl_HPGeneralCalcs[[#This Row],[Number of hours]])</f>
        <v>0</v>
      </c>
      <c r="F192" s="165">
        <f>(Tbl_HPGeneralCalcs[[#This Row],[Heating-degree hours (MMBtu)]]/SUM(Tbl_HPGeneralCalcs[Heating-degree hours (MMBtu)]))*$S$30*10^6</f>
        <v>0</v>
      </c>
      <c r="G192" s="165">
        <f>IF(Tbl_HPGeneralCalcs[[#This Row],[Temperature, °F]]&lt;=RESISTANCE_HEAT_THRESHOLD,1,IF($D$33+$D$34*Tbl_HPGeneralCalcs[[#This Row],[Temperature, °F]]&lt;1,1,($D$33+$D$34*Tbl_HPGeneralCalcs[[#This Row],[Temperature, °F]])*INPUT_HEATPUMP_EFFICIENCY_FACTOR))</f>
        <v>5.1105</v>
      </c>
      <c r="H192" s="165">
        <f>KWH_PER_BTU*Tbl_HPGeneralCalcs[[#This Row],[heating load (Btu)]]/Tbl_HPGeneralCalcs[[#This Row],[COP - CHP]]</f>
        <v>0</v>
      </c>
      <c r="I192" s="165">
        <f>HPFUELCALC_REF_FUELPOWER_KW*HPFUELCALC_REF_FUELPOWER_CF*Tbl_HPGeneralCalcs[[#This Row],[Number of hours]]</f>
        <v>0</v>
      </c>
      <c r="J192" s="165">
        <f>Tbl_HPGeneralCalcs[[#This Row],[heating load (Btu)]]/HPFUELCALC_REF_AFUE/100000</f>
        <v>0</v>
      </c>
      <c r="K192" s="165">
        <f>IF(Tbl_HPGeneralCalcs[[#This Row],[Temperature, °F]]&lt;=RESISTANCE_HEAT_THRESHOLD,1,IF($H$33+$H$34*Tbl_HPGeneralCalcs[[#This Row],[Temperature, °F]]&lt;1,1,($H$33+$H$34*Tbl_HPGeneralCalcs[[#This Row],[Temperature, °F]])*INPUT_HEATPUMP_EFFICIENCY_FACTOR))</f>
        <v>3.9205999999999994</v>
      </c>
      <c r="L192" s="165">
        <f>KWH_PER_BTU*Tbl_HPGeneralCalcs[[#This Row],[heating load (Btu)]]/Tbl_HPGeneralCalcs[[#This Row],[COP - DMSHP]]</f>
        <v>0</v>
      </c>
      <c r="M192" s="165">
        <f>HPFUELCALC_REF_DMSHPFAN*HPFUELCALC_REF_DMSHPFAN_CF*Tbl_HPGeneralCalcs[[#This Row],[Number of hours]]</f>
        <v>0</v>
      </c>
      <c r="N192" s="165">
        <f>Tbl_HPGeneralCalcs[[#This Row],[heating load (Btu)]]/HPFUELCALC_REF_AFUE/100000</f>
        <v>0</v>
      </c>
    </row>
    <row r="193" spans="2:14" x14ac:dyDescent="0.2">
      <c r="B193" s="16"/>
      <c r="C193" s="164">
        <v>77</v>
      </c>
      <c r="D193" s="164">
        <v>65</v>
      </c>
      <c r="E193" s="165">
        <f>IF((65-Tbl_HPGeneralCalcs[[#This Row],[Temperature, °F]])*Tbl_HPGeneralCalcs[[#This Row],[Number of hours]]&lt;0,0,(65-Tbl_HPGeneralCalcs[[#This Row],[Temperature, °F]])*Tbl_HPGeneralCalcs[[#This Row],[Number of hours]])</f>
        <v>0</v>
      </c>
      <c r="F193" s="165">
        <f>(Tbl_HPGeneralCalcs[[#This Row],[Heating-degree hours (MMBtu)]]/SUM(Tbl_HPGeneralCalcs[Heating-degree hours (MMBtu)]))*$S$30*10^6</f>
        <v>0</v>
      </c>
      <c r="G193" s="165">
        <f>IF(Tbl_HPGeneralCalcs[[#This Row],[Temperature, °F]]&lt;=RESISTANCE_HEAT_THRESHOLD,1,IF($D$33+$D$34*Tbl_HPGeneralCalcs[[#This Row],[Temperature, °F]]&lt;1,1,($D$33+$D$34*Tbl_HPGeneralCalcs[[#This Row],[Temperature, °F]])*INPUT_HEATPUMP_EFFICIENCY_FACTOR))</f>
        <v>5.1558000000000002</v>
      </c>
      <c r="H193" s="165">
        <f>KWH_PER_BTU*Tbl_HPGeneralCalcs[[#This Row],[heating load (Btu)]]/Tbl_HPGeneralCalcs[[#This Row],[COP - CHP]]</f>
        <v>0</v>
      </c>
      <c r="I193" s="165">
        <f>HPFUELCALC_REF_FUELPOWER_KW*HPFUELCALC_REF_FUELPOWER_CF*Tbl_HPGeneralCalcs[[#This Row],[Number of hours]]</f>
        <v>16.25</v>
      </c>
      <c r="J193" s="165">
        <f>Tbl_HPGeneralCalcs[[#This Row],[heating load (Btu)]]/HPFUELCALC_REF_AFUE/100000</f>
        <v>0</v>
      </c>
      <c r="K193" s="165">
        <f>IF(Tbl_HPGeneralCalcs[[#This Row],[Temperature, °F]]&lt;=RESISTANCE_HEAT_THRESHOLD,1,IF($H$33+$H$34*Tbl_HPGeneralCalcs[[#This Row],[Temperature, °F]]&lt;1,1,($H$33+$H$34*Tbl_HPGeneralCalcs[[#This Row],[Temperature, °F]])*INPUT_HEATPUMP_EFFICIENCY_FACTOR))</f>
        <v>3.9478</v>
      </c>
      <c r="L193" s="165">
        <f>KWH_PER_BTU*Tbl_HPGeneralCalcs[[#This Row],[heating load (Btu)]]/Tbl_HPGeneralCalcs[[#This Row],[COP - DMSHP]]</f>
        <v>0</v>
      </c>
      <c r="M193" s="165">
        <f>HPFUELCALC_REF_DMSHPFAN*HPFUELCALC_REF_DMSHPFAN_CF*Tbl_HPGeneralCalcs[[#This Row],[Number of hours]]</f>
        <v>16.25</v>
      </c>
      <c r="N193" s="165">
        <f>Tbl_HPGeneralCalcs[[#This Row],[heating load (Btu)]]/HPFUELCALC_REF_AFUE/100000</f>
        <v>0</v>
      </c>
    </row>
    <row r="194" spans="2:14" x14ac:dyDescent="0.2">
      <c r="B194" s="16"/>
      <c r="C194" s="164">
        <v>78</v>
      </c>
      <c r="D194" s="164">
        <v>106</v>
      </c>
      <c r="E194" s="165">
        <f>IF((65-Tbl_HPGeneralCalcs[[#This Row],[Temperature, °F]])*Tbl_HPGeneralCalcs[[#This Row],[Number of hours]]&lt;0,0,(65-Tbl_HPGeneralCalcs[[#This Row],[Temperature, °F]])*Tbl_HPGeneralCalcs[[#This Row],[Number of hours]])</f>
        <v>0</v>
      </c>
      <c r="F194" s="165">
        <f>(Tbl_HPGeneralCalcs[[#This Row],[Heating-degree hours (MMBtu)]]/SUM(Tbl_HPGeneralCalcs[Heating-degree hours (MMBtu)]))*$S$30*10^6</f>
        <v>0</v>
      </c>
      <c r="G194" s="165">
        <f>IF(Tbl_HPGeneralCalcs[[#This Row],[Temperature, °F]]&lt;=RESISTANCE_HEAT_THRESHOLD,1,IF($D$33+$D$34*Tbl_HPGeneralCalcs[[#This Row],[Temperature, °F]]&lt;1,1,($D$33+$D$34*Tbl_HPGeneralCalcs[[#This Row],[Temperature, °F]])*INPUT_HEATPUMP_EFFICIENCY_FACTOR))</f>
        <v>5.2011000000000003</v>
      </c>
      <c r="H194" s="165">
        <f>KWH_PER_BTU*Tbl_HPGeneralCalcs[[#This Row],[heating load (Btu)]]/Tbl_HPGeneralCalcs[[#This Row],[COP - CHP]]</f>
        <v>0</v>
      </c>
      <c r="I194" s="165">
        <f>HPFUELCALC_REF_FUELPOWER_KW*HPFUELCALC_REF_FUELPOWER_CF*Tbl_HPGeneralCalcs[[#This Row],[Number of hours]]</f>
        <v>26.5</v>
      </c>
      <c r="J194" s="165">
        <f>Tbl_HPGeneralCalcs[[#This Row],[heating load (Btu)]]/HPFUELCALC_REF_AFUE/100000</f>
        <v>0</v>
      </c>
      <c r="K194" s="165">
        <f>IF(Tbl_HPGeneralCalcs[[#This Row],[Temperature, °F]]&lt;=RESISTANCE_HEAT_THRESHOLD,1,IF($H$33+$H$34*Tbl_HPGeneralCalcs[[#This Row],[Temperature, °F]]&lt;1,1,($H$33+$H$34*Tbl_HPGeneralCalcs[[#This Row],[Temperature, °F]])*INPUT_HEATPUMP_EFFICIENCY_FACTOR))</f>
        <v>3.9749999999999996</v>
      </c>
      <c r="L194" s="165">
        <f>KWH_PER_BTU*Tbl_HPGeneralCalcs[[#This Row],[heating load (Btu)]]/Tbl_HPGeneralCalcs[[#This Row],[COP - DMSHP]]</f>
        <v>0</v>
      </c>
      <c r="M194" s="165">
        <f>HPFUELCALC_REF_DMSHPFAN*HPFUELCALC_REF_DMSHPFAN_CF*Tbl_HPGeneralCalcs[[#This Row],[Number of hours]]</f>
        <v>26.5</v>
      </c>
      <c r="N194" s="165">
        <f>Tbl_HPGeneralCalcs[[#This Row],[heating load (Btu)]]/HPFUELCALC_REF_AFUE/100000</f>
        <v>0</v>
      </c>
    </row>
    <row r="195" spans="2:14" x14ac:dyDescent="0.2">
      <c r="B195" s="16"/>
      <c r="C195" s="164">
        <v>79</v>
      </c>
      <c r="D195" s="164">
        <v>0</v>
      </c>
      <c r="E195" s="165">
        <f>IF((65-Tbl_HPGeneralCalcs[[#This Row],[Temperature, °F]])*Tbl_HPGeneralCalcs[[#This Row],[Number of hours]]&lt;0,0,(65-Tbl_HPGeneralCalcs[[#This Row],[Temperature, °F]])*Tbl_HPGeneralCalcs[[#This Row],[Number of hours]])</f>
        <v>0</v>
      </c>
      <c r="F195" s="165">
        <f>(Tbl_HPGeneralCalcs[[#This Row],[Heating-degree hours (MMBtu)]]/SUM(Tbl_HPGeneralCalcs[Heating-degree hours (MMBtu)]))*$S$30*10^6</f>
        <v>0</v>
      </c>
      <c r="G195" s="165">
        <f>IF(Tbl_HPGeneralCalcs[[#This Row],[Temperature, °F]]&lt;=RESISTANCE_HEAT_THRESHOLD,1,IF($D$33+$D$34*Tbl_HPGeneralCalcs[[#This Row],[Temperature, °F]]&lt;1,1,($D$33+$D$34*Tbl_HPGeneralCalcs[[#This Row],[Temperature, °F]])*INPUT_HEATPUMP_EFFICIENCY_FACTOR))</f>
        <v>5.2463999999999995</v>
      </c>
      <c r="H195" s="165">
        <f>KWH_PER_BTU*Tbl_HPGeneralCalcs[[#This Row],[heating load (Btu)]]/Tbl_HPGeneralCalcs[[#This Row],[COP - CHP]]</f>
        <v>0</v>
      </c>
      <c r="I195" s="165">
        <f>HPFUELCALC_REF_FUELPOWER_KW*HPFUELCALC_REF_FUELPOWER_CF*Tbl_HPGeneralCalcs[[#This Row],[Number of hours]]</f>
        <v>0</v>
      </c>
      <c r="J195" s="165">
        <f>Tbl_HPGeneralCalcs[[#This Row],[heating load (Btu)]]/HPFUELCALC_REF_AFUE/100000</f>
        <v>0</v>
      </c>
      <c r="K195" s="165">
        <f>IF(Tbl_HPGeneralCalcs[[#This Row],[Temperature, °F]]&lt;=RESISTANCE_HEAT_THRESHOLD,1,IF($H$33+$H$34*Tbl_HPGeneralCalcs[[#This Row],[Temperature, °F]]&lt;1,1,($H$33+$H$34*Tbl_HPGeneralCalcs[[#This Row],[Temperature, °F]])*INPUT_HEATPUMP_EFFICIENCY_FACTOR))</f>
        <v>4.0022000000000002</v>
      </c>
      <c r="L195" s="165">
        <f>KWH_PER_BTU*Tbl_HPGeneralCalcs[[#This Row],[heating load (Btu)]]/Tbl_HPGeneralCalcs[[#This Row],[COP - DMSHP]]</f>
        <v>0</v>
      </c>
      <c r="M195" s="165">
        <f>HPFUELCALC_REF_DMSHPFAN*HPFUELCALC_REF_DMSHPFAN_CF*Tbl_HPGeneralCalcs[[#This Row],[Number of hours]]</f>
        <v>0</v>
      </c>
      <c r="N195" s="165">
        <f>Tbl_HPGeneralCalcs[[#This Row],[heating load (Btu)]]/HPFUELCALC_REF_AFUE/100000</f>
        <v>0</v>
      </c>
    </row>
    <row r="196" spans="2:14" x14ac:dyDescent="0.2">
      <c r="B196" s="16"/>
      <c r="C196" s="164">
        <v>80</v>
      </c>
      <c r="D196" s="164">
        <v>115</v>
      </c>
      <c r="E196" s="165">
        <f>IF((65-Tbl_HPGeneralCalcs[[#This Row],[Temperature, °F]])*Tbl_HPGeneralCalcs[[#This Row],[Number of hours]]&lt;0,0,(65-Tbl_HPGeneralCalcs[[#This Row],[Temperature, °F]])*Tbl_HPGeneralCalcs[[#This Row],[Number of hours]])</f>
        <v>0</v>
      </c>
      <c r="F196" s="165">
        <f>(Tbl_HPGeneralCalcs[[#This Row],[Heating-degree hours (MMBtu)]]/SUM(Tbl_HPGeneralCalcs[Heating-degree hours (MMBtu)]))*$S$30*10^6</f>
        <v>0</v>
      </c>
      <c r="G196" s="165">
        <f>IF(Tbl_HPGeneralCalcs[[#This Row],[Temperature, °F]]&lt;=RESISTANCE_HEAT_THRESHOLD,1,IF($D$33+$D$34*Tbl_HPGeneralCalcs[[#This Row],[Temperature, °F]]&lt;1,1,($D$33+$D$34*Tbl_HPGeneralCalcs[[#This Row],[Temperature, °F]])*INPUT_HEATPUMP_EFFICIENCY_FACTOR))</f>
        <v>5.2917000000000005</v>
      </c>
      <c r="H196" s="165">
        <f>KWH_PER_BTU*Tbl_HPGeneralCalcs[[#This Row],[heating load (Btu)]]/Tbl_HPGeneralCalcs[[#This Row],[COP - CHP]]</f>
        <v>0</v>
      </c>
      <c r="I196" s="165">
        <f>HPFUELCALC_REF_FUELPOWER_KW*HPFUELCALC_REF_FUELPOWER_CF*Tbl_HPGeneralCalcs[[#This Row],[Number of hours]]</f>
        <v>28.75</v>
      </c>
      <c r="J196" s="165">
        <f>Tbl_HPGeneralCalcs[[#This Row],[heating load (Btu)]]/HPFUELCALC_REF_AFUE/100000</f>
        <v>0</v>
      </c>
      <c r="K196" s="165">
        <f>IF(Tbl_HPGeneralCalcs[[#This Row],[Temperature, °F]]&lt;=RESISTANCE_HEAT_THRESHOLD,1,IF($H$33+$H$34*Tbl_HPGeneralCalcs[[#This Row],[Temperature, °F]]&lt;1,1,($H$33+$H$34*Tbl_HPGeneralCalcs[[#This Row],[Temperature, °F]])*INPUT_HEATPUMP_EFFICIENCY_FACTOR))</f>
        <v>4.0293999999999999</v>
      </c>
      <c r="L196" s="165">
        <f>KWH_PER_BTU*Tbl_HPGeneralCalcs[[#This Row],[heating load (Btu)]]/Tbl_HPGeneralCalcs[[#This Row],[COP - DMSHP]]</f>
        <v>0</v>
      </c>
      <c r="M196" s="165">
        <f>HPFUELCALC_REF_DMSHPFAN*HPFUELCALC_REF_DMSHPFAN_CF*Tbl_HPGeneralCalcs[[#This Row],[Number of hours]]</f>
        <v>28.75</v>
      </c>
      <c r="N196" s="165">
        <f>Tbl_HPGeneralCalcs[[#This Row],[heating load (Btu)]]/HPFUELCALC_REF_AFUE/100000</f>
        <v>0</v>
      </c>
    </row>
    <row r="197" spans="2:14" x14ac:dyDescent="0.2">
      <c r="B197" s="16"/>
      <c r="C197" s="164">
        <v>81</v>
      </c>
      <c r="D197" s="164">
        <v>0</v>
      </c>
      <c r="E197" s="165">
        <f>IF((65-Tbl_HPGeneralCalcs[[#This Row],[Temperature, °F]])*Tbl_HPGeneralCalcs[[#This Row],[Number of hours]]&lt;0,0,(65-Tbl_HPGeneralCalcs[[#This Row],[Temperature, °F]])*Tbl_HPGeneralCalcs[[#This Row],[Number of hours]])</f>
        <v>0</v>
      </c>
      <c r="F197" s="165">
        <f>(Tbl_HPGeneralCalcs[[#This Row],[Heating-degree hours (MMBtu)]]/SUM(Tbl_HPGeneralCalcs[Heating-degree hours (MMBtu)]))*$S$30*10^6</f>
        <v>0</v>
      </c>
      <c r="G197" s="165">
        <f>IF(Tbl_HPGeneralCalcs[[#This Row],[Temperature, °F]]&lt;=RESISTANCE_HEAT_THRESHOLD,1,IF($D$33+$D$34*Tbl_HPGeneralCalcs[[#This Row],[Temperature, °F]]&lt;1,1,($D$33+$D$34*Tbl_HPGeneralCalcs[[#This Row],[Temperature, °F]])*INPUT_HEATPUMP_EFFICIENCY_FACTOR))</f>
        <v>5.3369999999999997</v>
      </c>
      <c r="H197" s="165">
        <f>KWH_PER_BTU*Tbl_HPGeneralCalcs[[#This Row],[heating load (Btu)]]/Tbl_HPGeneralCalcs[[#This Row],[COP - CHP]]</f>
        <v>0</v>
      </c>
      <c r="I197" s="165">
        <f>HPFUELCALC_REF_FUELPOWER_KW*HPFUELCALC_REF_FUELPOWER_CF*Tbl_HPGeneralCalcs[[#This Row],[Number of hours]]</f>
        <v>0</v>
      </c>
      <c r="J197" s="165">
        <f>Tbl_HPGeneralCalcs[[#This Row],[heating load (Btu)]]/HPFUELCALC_REF_AFUE/100000</f>
        <v>0</v>
      </c>
      <c r="K197" s="165">
        <f>IF(Tbl_HPGeneralCalcs[[#This Row],[Temperature, °F]]&lt;=RESISTANCE_HEAT_THRESHOLD,1,IF($H$33+$H$34*Tbl_HPGeneralCalcs[[#This Row],[Temperature, °F]]&lt;1,1,($H$33+$H$34*Tbl_HPGeneralCalcs[[#This Row],[Temperature, °F]])*INPUT_HEATPUMP_EFFICIENCY_FACTOR))</f>
        <v>4.0565999999999995</v>
      </c>
      <c r="L197" s="165">
        <f>KWH_PER_BTU*Tbl_HPGeneralCalcs[[#This Row],[heating load (Btu)]]/Tbl_HPGeneralCalcs[[#This Row],[COP - DMSHP]]</f>
        <v>0</v>
      </c>
      <c r="M197" s="165">
        <f>HPFUELCALC_REF_DMSHPFAN*HPFUELCALC_REF_DMSHPFAN_CF*Tbl_HPGeneralCalcs[[#This Row],[Number of hours]]</f>
        <v>0</v>
      </c>
      <c r="N197" s="165">
        <f>Tbl_HPGeneralCalcs[[#This Row],[heating load (Btu)]]/HPFUELCALC_REF_AFUE/100000</f>
        <v>0</v>
      </c>
    </row>
    <row r="198" spans="2:14" x14ac:dyDescent="0.2">
      <c r="B198" s="16"/>
      <c r="C198" s="164">
        <v>82</v>
      </c>
      <c r="D198" s="164">
        <v>123</v>
      </c>
      <c r="E198" s="165">
        <f>IF((65-Tbl_HPGeneralCalcs[[#This Row],[Temperature, °F]])*Tbl_HPGeneralCalcs[[#This Row],[Number of hours]]&lt;0,0,(65-Tbl_HPGeneralCalcs[[#This Row],[Temperature, °F]])*Tbl_HPGeneralCalcs[[#This Row],[Number of hours]])</f>
        <v>0</v>
      </c>
      <c r="F198" s="165">
        <f>(Tbl_HPGeneralCalcs[[#This Row],[Heating-degree hours (MMBtu)]]/SUM(Tbl_HPGeneralCalcs[Heating-degree hours (MMBtu)]))*$S$30*10^6</f>
        <v>0</v>
      </c>
      <c r="G198" s="165">
        <f>IF(Tbl_HPGeneralCalcs[[#This Row],[Temperature, °F]]&lt;=RESISTANCE_HEAT_THRESHOLD,1,IF($D$33+$D$34*Tbl_HPGeneralCalcs[[#This Row],[Temperature, °F]]&lt;1,1,($D$33+$D$34*Tbl_HPGeneralCalcs[[#This Row],[Temperature, °F]])*INPUT_HEATPUMP_EFFICIENCY_FACTOR))</f>
        <v>5.3822999999999999</v>
      </c>
      <c r="H198" s="165">
        <f>KWH_PER_BTU*Tbl_HPGeneralCalcs[[#This Row],[heating load (Btu)]]/Tbl_HPGeneralCalcs[[#This Row],[COP - CHP]]</f>
        <v>0</v>
      </c>
      <c r="I198" s="165">
        <f>HPFUELCALC_REF_FUELPOWER_KW*HPFUELCALC_REF_FUELPOWER_CF*Tbl_HPGeneralCalcs[[#This Row],[Number of hours]]</f>
        <v>30.75</v>
      </c>
      <c r="J198" s="165">
        <f>Tbl_HPGeneralCalcs[[#This Row],[heating load (Btu)]]/HPFUELCALC_REF_AFUE/100000</f>
        <v>0</v>
      </c>
      <c r="K198" s="165">
        <f>IF(Tbl_HPGeneralCalcs[[#This Row],[Temperature, °F]]&lt;=RESISTANCE_HEAT_THRESHOLD,1,IF($H$33+$H$34*Tbl_HPGeneralCalcs[[#This Row],[Temperature, °F]]&lt;1,1,($H$33+$H$34*Tbl_HPGeneralCalcs[[#This Row],[Temperature, °F]])*INPUT_HEATPUMP_EFFICIENCY_FACTOR))</f>
        <v>4.0838000000000001</v>
      </c>
      <c r="L198" s="165">
        <f>KWH_PER_BTU*Tbl_HPGeneralCalcs[[#This Row],[heating load (Btu)]]/Tbl_HPGeneralCalcs[[#This Row],[COP - DMSHP]]</f>
        <v>0</v>
      </c>
      <c r="M198" s="165">
        <f>HPFUELCALC_REF_DMSHPFAN*HPFUELCALC_REF_DMSHPFAN_CF*Tbl_HPGeneralCalcs[[#This Row],[Number of hours]]</f>
        <v>30.75</v>
      </c>
      <c r="N198" s="165">
        <f>Tbl_HPGeneralCalcs[[#This Row],[heating load (Btu)]]/HPFUELCALC_REF_AFUE/100000</f>
        <v>0</v>
      </c>
    </row>
    <row r="199" spans="2:14" x14ac:dyDescent="0.2">
      <c r="B199" s="16"/>
      <c r="C199" s="164">
        <v>83</v>
      </c>
      <c r="D199" s="164">
        <v>0</v>
      </c>
      <c r="E199" s="165">
        <f>IF((65-Tbl_HPGeneralCalcs[[#This Row],[Temperature, °F]])*Tbl_HPGeneralCalcs[[#This Row],[Number of hours]]&lt;0,0,(65-Tbl_HPGeneralCalcs[[#This Row],[Temperature, °F]])*Tbl_HPGeneralCalcs[[#This Row],[Number of hours]])</f>
        <v>0</v>
      </c>
      <c r="F199" s="165">
        <f>(Tbl_HPGeneralCalcs[[#This Row],[Heating-degree hours (MMBtu)]]/SUM(Tbl_HPGeneralCalcs[Heating-degree hours (MMBtu)]))*$S$30*10^6</f>
        <v>0</v>
      </c>
      <c r="G199" s="165">
        <f>IF(Tbl_HPGeneralCalcs[[#This Row],[Temperature, °F]]&lt;=RESISTANCE_HEAT_THRESHOLD,1,IF($D$33+$D$34*Tbl_HPGeneralCalcs[[#This Row],[Temperature, °F]]&lt;1,1,($D$33+$D$34*Tbl_HPGeneralCalcs[[#This Row],[Temperature, °F]])*INPUT_HEATPUMP_EFFICIENCY_FACTOR))</f>
        <v>5.4276</v>
      </c>
      <c r="H199" s="165">
        <f>KWH_PER_BTU*Tbl_HPGeneralCalcs[[#This Row],[heating load (Btu)]]/Tbl_HPGeneralCalcs[[#This Row],[COP - CHP]]</f>
        <v>0</v>
      </c>
      <c r="I199" s="165">
        <f>HPFUELCALC_REF_FUELPOWER_KW*HPFUELCALC_REF_FUELPOWER_CF*Tbl_HPGeneralCalcs[[#This Row],[Number of hours]]</f>
        <v>0</v>
      </c>
      <c r="J199" s="165">
        <f>Tbl_HPGeneralCalcs[[#This Row],[heating load (Btu)]]/HPFUELCALC_REF_AFUE/100000</f>
        <v>0</v>
      </c>
      <c r="K199" s="165">
        <f>IF(Tbl_HPGeneralCalcs[[#This Row],[Temperature, °F]]&lt;=RESISTANCE_HEAT_THRESHOLD,1,IF($H$33+$H$34*Tbl_HPGeneralCalcs[[#This Row],[Temperature, °F]]&lt;1,1,($H$33+$H$34*Tbl_HPGeneralCalcs[[#This Row],[Temperature, °F]])*INPUT_HEATPUMP_EFFICIENCY_FACTOR))</f>
        <v>4.1109999999999998</v>
      </c>
      <c r="L199" s="165">
        <f>KWH_PER_BTU*Tbl_HPGeneralCalcs[[#This Row],[heating load (Btu)]]/Tbl_HPGeneralCalcs[[#This Row],[COP - DMSHP]]</f>
        <v>0</v>
      </c>
      <c r="M199" s="165">
        <f>HPFUELCALC_REF_DMSHPFAN*HPFUELCALC_REF_DMSHPFAN_CF*Tbl_HPGeneralCalcs[[#This Row],[Number of hours]]</f>
        <v>0</v>
      </c>
      <c r="N199" s="165">
        <f>Tbl_HPGeneralCalcs[[#This Row],[heating load (Btu)]]/HPFUELCALC_REF_AFUE/100000</f>
        <v>0</v>
      </c>
    </row>
    <row r="200" spans="2:14" x14ac:dyDescent="0.2">
      <c r="B200" s="16"/>
      <c r="C200" s="164">
        <v>84</v>
      </c>
      <c r="D200" s="164">
        <v>86</v>
      </c>
      <c r="E200" s="165">
        <f>IF((65-Tbl_HPGeneralCalcs[[#This Row],[Temperature, °F]])*Tbl_HPGeneralCalcs[[#This Row],[Number of hours]]&lt;0,0,(65-Tbl_HPGeneralCalcs[[#This Row],[Temperature, °F]])*Tbl_HPGeneralCalcs[[#This Row],[Number of hours]])</f>
        <v>0</v>
      </c>
      <c r="F200" s="165">
        <f>(Tbl_HPGeneralCalcs[[#This Row],[Heating-degree hours (MMBtu)]]/SUM(Tbl_HPGeneralCalcs[Heating-degree hours (MMBtu)]))*$S$30*10^6</f>
        <v>0</v>
      </c>
      <c r="G200" s="165">
        <f>IF(Tbl_HPGeneralCalcs[[#This Row],[Temperature, °F]]&lt;=RESISTANCE_HEAT_THRESHOLD,1,IF($D$33+$D$34*Tbl_HPGeneralCalcs[[#This Row],[Temperature, °F]]&lt;1,1,($D$33+$D$34*Tbl_HPGeneralCalcs[[#This Row],[Temperature, °F]])*INPUT_HEATPUMP_EFFICIENCY_FACTOR))</f>
        <v>5.4729000000000001</v>
      </c>
      <c r="H200" s="165">
        <f>KWH_PER_BTU*Tbl_HPGeneralCalcs[[#This Row],[heating load (Btu)]]/Tbl_HPGeneralCalcs[[#This Row],[COP - CHP]]</f>
        <v>0</v>
      </c>
      <c r="I200" s="165">
        <f>HPFUELCALC_REF_FUELPOWER_KW*HPFUELCALC_REF_FUELPOWER_CF*Tbl_HPGeneralCalcs[[#This Row],[Number of hours]]</f>
        <v>21.5</v>
      </c>
      <c r="J200" s="165">
        <f>Tbl_HPGeneralCalcs[[#This Row],[heating load (Btu)]]/HPFUELCALC_REF_AFUE/100000</f>
        <v>0</v>
      </c>
      <c r="K200" s="165">
        <f>IF(Tbl_HPGeneralCalcs[[#This Row],[Temperature, °F]]&lt;=RESISTANCE_HEAT_THRESHOLD,1,IF($H$33+$H$34*Tbl_HPGeneralCalcs[[#This Row],[Temperature, °F]]&lt;1,1,($H$33+$H$34*Tbl_HPGeneralCalcs[[#This Row],[Temperature, °F]])*INPUT_HEATPUMP_EFFICIENCY_FACTOR))</f>
        <v>4.1381999999999994</v>
      </c>
      <c r="L200" s="165">
        <f>KWH_PER_BTU*Tbl_HPGeneralCalcs[[#This Row],[heating load (Btu)]]/Tbl_HPGeneralCalcs[[#This Row],[COP - DMSHP]]</f>
        <v>0</v>
      </c>
      <c r="M200" s="165">
        <f>HPFUELCALC_REF_DMSHPFAN*HPFUELCALC_REF_DMSHPFAN_CF*Tbl_HPGeneralCalcs[[#This Row],[Number of hours]]</f>
        <v>21.5</v>
      </c>
      <c r="N200" s="165">
        <f>Tbl_HPGeneralCalcs[[#This Row],[heating load (Btu)]]/HPFUELCALC_REF_AFUE/100000</f>
        <v>0</v>
      </c>
    </row>
    <row r="201" spans="2:14" x14ac:dyDescent="0.2">
      <c r="B201" s="16"/>
      <c r="C201" s="164">
        <v>85</v>
      </c>
      <c r="D201" s="164">
        <v>0</v>
      </c>
      <c r="E201" s="165">
        <f>IF((65-Tbl_HPGeneralCalcs[[#This Row],[Temperature, °F]])*Tbl_HPGeneralCalcs[[#This Row],[Number of hours]]&lt;0,0,(65-Tbl_HPGeneralCalcs[[#This Row],[Temperature, °F]])*Tbl_HPGeneralCalcs[[#This Row],[Number of hours]])</f>
        <v>0</v>
      </c>
      <c r="F201" s="165">
        <f>(Tbl_HPGeneralCalcs[[#This Row],[Heating-degree hours (MMBtu)]]/SUM(Tbl_HPGeneralCalcs[Heating-degree hours (MMBtu)]))*$S$30*10^6</f>
        <v>0</v>
      </c>
      <c r="G201" s="165">
        <f>IF(Tbl_HPGeneralCalcs[[#This Row],[Temperature, °F]]&lt;=RESISTANCE_HEAT_THRESHOLD,1,IF($D$33+$D$34*Tbl_HPGeneralCalcs[[#This Row],[Temperature, °F]]&lt;1,1,($D$33+$D$34*Tbl_HPGeneralCalcs[[#This Row],[Temperature, °F]])*INPUT_HEATPUMP_EFFICIENCY_FACTOR))</f>
        <v>5.5182000000000002</v>
      </c>
      <c r="H201" s="165">
        <f>KWH_PER_BTU*Tbl_HPGeneralCalcs[[#This Row],[heating load (Btu)]]/Tbl_HPGeneralCalcs[[#This Row],[COP - CHP]]</f>
        <v>0</v>
      </c>
      <c r="I201" s="165">
        <f>HPFUELCALC_REF_FUELPOWER_KW*HPFUELCALC_REF_FUELPOWER_CF*Tbl_HPGeneralCalcs[[#This Row],[Number of hours]]</f>
        <v>0</v>
      </c>
      <c r="J201" s="165">
        <f>Tbl_HPGeneralCalcs[[#This Row],[heating load (Btu)]]/HPFUELCALC_REF_AFUE/100000</f>
        <v>0</v>
      </c>
      <c r="K201" s="165">
        <f>IF(Tbl_HPGeneralCalcs[[#This Row],[Temperature, °F]]&lt;=RESISTANCE_HEAT_THRESHOLD,1,IF($H$33+$H$34*Tbl_HPGeneralCalcs[[#This Row],[Temperature, °F]]&lt;1,1,($H$33+$H$34*Tbl_HPGeneralCalcs[[#This Row],[Temperature, °F]])*INPUT_HEATPUMP_EFFICIENCY_FACTOR))</f>
        <v>4.1654</v>
      </c>
      <c r="L201" s="165">
        <f>KWH_PER_BTU*Tbl_HPGeneralCalcs[[#This Row],[heating load (Btu)]]/Tbl_HPGeneralCalcs[[#This Row],[COP - DMSHP]]</f>
        <v>0</v>
      </c>
      <c r="M201" s="165">
        <f>HPFUELCALC_REF_DMSHPFAN*HPFUELCALC_REF_DMSHPFAN_CF*Tbl_HPGeneralCalcs[[#This Row],[Number of hours]]</f>
        <v>0</v>
      </c>
      <c r="N201" s="165">
        <f>Tbl_HPGeneralCalcs[[#This Row],[heating load (Btu)]]/HPFUELCALC_REF_AFUE/100000</f>
        <v>0</v>
      </c>
    </row>
    <row r="202" spans="2:14" x14ac:dyDescent="0.2">
      <c r="B202" s="16"/>
      <c r="C202" s="164">
        <v>86</v>
      </c>
      <c r="D202" s="164">
        <v>42</v>
      </c>
      <c r="E202" s="165">
        <f>IF((65-Tbl_HPGeneralCalcs[[#This Row],[Temperature, °F]])*Tbl_HPGeneralCalcs[[#This Row],[Number of hours]]&lt;0,0,(65-Tbl_HPGeneralCalcs[[#This Row],[Temperature, °F]])*Tbl_HPGeneralCalcs[[#This Row],[Number of hours]])</f>
        <v>0</v>
      </c>
      <c r="F202" s="165">
        <f>(Tbl_HPGeneralCalcs[[#This Row],[Heating-degree hours (MMBtu)]]/SUM(Tbl_HPGeneralCalcs[Heating-degree hours (MMBtu)]))*$S$30*10^6</f>
        <v>0</v>
      </c>
      <c r="G202" s="165">
        <f>IF(Tbl_HPGeneralCalcs[[#This Row],[Temperature, °F]]&lt;=RESISTANCE_HEAT_THRESHOLD,1,IF($D$33+$D$34*Tbl_HPGeneralCalcs[[#This Row],[Temperature, °F]]&lt;1,1,($D$33+$D$34*Tbl_HPGeneralCalcs[[#This Row],[Temperature, °F]])*INPUT_HEATPUMP_EFFICIENCY_FACTOR))</f>
        <v>5.5634999999999994</v>
      </c>
      <c r="H202" s="165">
        <f>KWH_PER_BTU*Tbl_HPGeneralCalcs[[#This Row],[heating load (Btu)]]/Tbl_HPGeneralCalcs[[#This Row],[COP - CHP]]</f>
        <v>0</v>
      </c>
      <c r="I202" s="165">
        <f>HPFUELCALC_REF_FUELPOWER_KW*HPFUELCALC_REF_FUELPOWER_CF*Tbl_HPGeneralCalcs[[#This Row],[Number of hours]]</f>
        <v>10.5</v>
      </c>
      <c r="J202" s="165">
        <f>Tbl_HPGeneralCalcs[[#This Row],[heating load (Btu)]]/HPFUELCALC_REF_AFUE/100000</f>
        <v>0</v>
      </c>
      <c r="K202" s="165">
        <f>IF(Tbl_HPGeneralCalcs[[#This Row],[Temperature, °F]]&lt;=RESISTANCE_HEAT_THRESHOLD,1,IF($H$33+$H$34*Tbl_HPGeneralCalcs[[#This Row],[Temperature, °F]]&lt;1,1,($H$33+$H$34*Tbl_HPGeneralCalcs[[#This Row],[Temperature, °F]])*INPUT_HEATPUMP_EFFICIENCY_FACTOR))</f>
        <v>4.1925999999999997</v>
      </c>
      <c r="L202" s="165">
        <f>KWH_PER_BTU*Tbl_HPGeneralCalcs[[#This Row],[heating load (Btu)]]/Tbl_HPGeneralCalcs[[#This Row],[COP - DMSHP]]</f>
        <v>0</v>
      </c>
      <c r="M202" s="165">
        <f>HPFUELCALC_REF_DMSHPFAN*HPFUELCALC_REF_DMSHPFAN_CF*Tbl_HPGeneralCalcs[[#This Row],[Number of hours]]</f>
        <v>10.5</v>
      </c>
      <c r="N202" s="165">
        <f>Tbl_HPGeneralCalcs[[#This Row],[heating load (Btu)]]/HPFUELCALC_REF_AFUE/100000</f>
        <v>0</v>
      </c>
    </row>
    <row r="203" spans="2:14" x14ac:dyDescent="0.2">
      <c r="B203" s="16"/>
      <c r="C203" s="164">
        <v>87</v>
      </c>
      <c r="D203" s="164">
        <v>35</v>
      </c>
      <c r="E203" s="165">
        <f>IF((65-Tbl_HPGeneralCalcs[[#This Row],[Temperature, °F]])*Tbl_HPGeneralCalcs[[#This Row],[Number of hours]]&lt;0,0,(65-Tbl_HPGeneralCalcs[[#This Row],[Temperature, °F]])*Tbl_HPGeneralCalcs[[#This Row],[Number of hours]])</f>
        <v>0</v>
      </c>
      <c r="F203" s="165">
        <f>(Tbl_HPGeneralCalcs[[#This Row],[Heating-degree hours (MMBtu)]]/SUM(Tbl_HPGeneralCalcs[Heating-degree hours (MMBtu)]))*$S$30*10^6</f>
        <v>0</v>
      </c>
      <c r="G203" s="165">
        <f>IF(Tbl_HPGeneralCalcs[[#This Row],[Temperature, °F]]&lt;=RESISTANCE_HEAT_THRESHOLD,1,IF($D$33+$D$34*Tbl_HPGeneralCalcs[[#This Row],[Temperature, °F]]&lt;1,1,($D$33+$D$34*Tbl_HPGeneralCalcs[[#This Row],[Temperature, °F]])*INPUT_HEATPUMP_EFFICIENCY_FACTOR))</f>
        <v>5.6088000000000005</v>
      </c>
      <c r="H203" s="165">
        <f>KWH_PER_BTU*Tbl_HPGeneralCalcs[[#This Row],[heating load (Btu)]]/Tbl_HPGeneralCalcs[[#This Row],[COP - CHP]]</f>
        <v>0</v>
      </c>
      <c r="I203" s="165">
        <f>HPFUELCALC_REF_FUELPOWER_KW*HPFUELCALC_REF_FUELPOWER_CF*Tbl_HPGeneralCalcs[[#This Row],[Number of hours]]</f>
        <v>8.75</v>
      </c>
      <c r="J203" s="165">
        <f>Tbl_HPGeneralCalcs[[#This Row],[heating load (Btu)]]/HPFUELCALC_REF_AFUE/100000</f>
        <v>0</v>
      </c>
      <c r="K203" s="165">
        <f>IF(Tbl_HPGeneralCalcs[[#This Row],[Temperature, °F]]&lt;=RESISTANCE_HEAT_THRESHOLD,1,IF($H$33+$H$34*Tbl_HPGeneralCalcs[[#This Row],[Temperature, °F]]&lt;1,1,($H$33+$H$34*Tbl_HPGeneralCalcs[[#This Row],[Temperature, °F]])*INPUT_HEATPUMP_EFFICIENCY_FACTOR))</f>
        <v>4.2198000000000002</v>
      </c>
      <c r="L203" s="165">
        <f>KWH_PER_BTU*Tbl_HPGeneralCalcs[[#This Row],[heating load (Btu)]]/Tbl_HPGeneralCalcs[[#This Row],[COP - DMSHP]]</f>
        <v>0</v>
      </c>
      <c r="M203" s="165">
        <f>HPFUELCALC_REF_DMSHPFAN*HPFUELCALC_REF_DMSHPFAN_CF*Tbl_HPGeneralCalcs[[#This Row],[Number of hours]]</f>
        <v>8.75</v>
      </c>
      <c r="N203" s="165">
        <f>Tbl_HPGeneralCalcs[[#This Row],[heating load (Btu)]]/HPFUELCALC_REF_AFUE/100000</f>
        <v>0</v>
      </c>
    </row>
    <row r="204" spans="2:14" x14ac:dyDescent="0.2">
      <c r="B204" s="16"/>
      <c r="C204" s="164">
        <v>88</v>
      </c>
      <c r="D204" s="164">
        <v>0</v>
      </c>
      <c r="E204" s="165">
        <f>IF((65-Tbl_HPGeneralCalcs[[#This Row],[Temperature, °F]])*Tbl_HPGeneralCalcs[[#This Row],[Number of hours]]&lt;0,0,(65-Tbl_HPGeneralCalcs[[#This Row],[Temperature, °F]])*Tbl_HPGeneralCalcs[[#This Row],[Number of hours]])</f>
        <v>0</v>
      </c>
      <c r="F204" s="165">
        <f>(Tbl_HPGeneralCalcs[[#This Row],[Heating-degree hours (MMBtu)]]/SUM(Tbl_HPGeneralCalcs[Heating-degree hours (MMBtu)]))*$S$30*10^6</f>
        <v>0</v>
      </c>
      <c r="G204" s="165">
        <f>IF(Tbl_HPGeneralCalcs[[#This Row],[Temperature, °F]]&lt;=RESISTANCE_HEAT_THRESHOLD,1,IF($D$33+$D$34*Tbl_HPGeneralCalcs[[#This Row],[Temperature, °F]]&lt;1,1,($D$33+$D$34*Tbl_HPGeneralCalcs[[#This Row],[Temperature, °F]])*INPUT_HEATPUMP_EFFICIENCY_FACTOR))</f>
        <v>5.6540999999999997</v>
      </c>
      <c r="H204" s="165">
        <f>KWH_PER_BTU*Tbl_HPGeneralCalcs[[#This Row],[heating load (Btu)]]/Tbl_HPGeneralCalcs[[#This Row],[COP - CHP]]</f>
        <v>0</v>
      </c>
      <c r="I204" s="165">
        <f>HPFUELCALC_REF_FUELPOWER_KW*HPFUELCALC_REF_FUELPOWER_CF*Tbl_HPGeneralCalcs[[#This Row],[Number of hours]]</f>
        <v>0</v>
      </c>
      <c r="J204" s="165">
        <f>Tbl_HPGeneralCalcs[[#This Row],[heating load (Btu)]]/HPFUELCALC_REF_AFUE/100000</f>
        <v>0</v>
      </c>
      <c r="K204" s="165">
        <f>IF(Tbl_HPGeneralCalcs[[#This Row],[Temperature, °F]]&lt;=RESISTANCE_HEAT_THRESHOLD,1,IF($H$33+$H$34*Tbl_HPGeneralCalcs[[#This Row],[Temperature, °F]]&lt;1,1,($H$33+$H$34*Tbl_HPGeneralCalcs[[#This Row],[Temperature, °F]])*INPUT_HEATPUMP_EFFICIENCY_FACTOR))</f>
        <v>4.2469999999999999</v>
      </c>
      <c r="L204" s="165">
        <f>KWH_PER_BTU*Tbl_HPGeneralCalcs[[#This Row],[heating load (Btu)]]/Tbl_HPGeneralCalcs[[#This Row],[COP - DMSHP]]</f>
        <v>0</v>
      </c>
      <c r="M204" s="165">
        <f>HPFUELCALC_REF_DMSHPFAN*HPFUELCALC_REF_DMSHPFAN_CF*Tbl_HPGeneralCalcs[[#This Row],[Number of hours]]</f>
        <v>0</v>
      </c>
      <c r="N204" s="165">
        <f>Tbl_HPGeneralCalcs[[#This Row],[heating load (Btu)]]/HPFUELCALC_REF_AFUE/100000</f>
        <v>0</v>
      </c>
    </row>
    <row r="205" spans="2:14" x14ac:dyDescent="0.2">
      <c r="B205" s="16"/>
      <c r="C205" s="164">
        <v>89</v>
      </c>
      <c r="D205" s="164">
        <v>21</v>
      </c>
      <c r="E205" s="165">
        <f>IF((65-Tbl_HPGeneralCalcs[[#This Row],[Temperature, °F]])*Tbl_HPGeneralCalcs[[#This Row],[Number of hours]]&lt;0,0,(65-Tbl_HPGeneralCalcs[[#This Row],[Temperature, °F]])*Tbl_HPGeneralCalcs[[#This Row],[Number of hours]])</f>
        <v>0</v>
      </c>
      <c r="F205" s="165">
        <f>(Tbl_HPGeneralCalcs[[#This Row],[Heating-degree hours (MMBtu)]]/SUM(Tbl_HPGeneralCalcs[Heating-degree hours (MMBtu)]))*$S$30*10^6</f>
        <v>0</v>
      </c>
      <c r="G205" s="165">
        <f>IF(Tbl_HPGeneralCalcs[[#This Row],[Temperature, °F]]&lt;=RESISTANCE_HEAT_THRESHOLD,1,IF($D$33+$D$34*Tbl_HPGeneralCalcs[[#This Row],[Temperature, °F]]&lt;1,1,($D$33+$D$34*Tbl_HPGeneralCalcs[[#This Row],[Temperature, °F]])*INPUT_HEATPUMP_EFFICIENCY_FACTOR))</f>
        <v>5.6993999999999998</v>
      </c>
      <c r="H205" s="165">
        <f>KWH_PER_BTU*Tbl_HPGeneralCalcs[[#This Row],[heating load (Btu)]]/Tbl_HPGeneralCalcs[[#This Row],[COP - CHP]]</f>
        <v>0</v>
      </c>
      <c r="I205" s="165">
        <f>HPFUELCALC_REF_FUELPOWER_KW*HPFUELCALC_REF_FUELPOWER_CF*Tbl_HPGeneralCalcs[[#This Row],[Number of hours]]</f>
        <v>5.25</v>
      </c>
      <c r="J205" s="165">
        <f>Tbl_HPGeneralCalcs[[#This Row],[heating load (Btu)]]/HPFUELCALC_REF_AFUE/100000</f>
        <v>0</v>
      </c>
      <c r="K205" s="165">
        <f>IF(Tbl_HPGeneralCalcs[[#This Row],[Temperature, °F]]&lt;=RESISTANCE_HEAT_THRESHOLD,1,IF($H$33+$H$34*Tbl_HPGeneralCalcs[[#This Row],[Temperature, °F]]&lt;1,1,($H$33+$H$34*Tbl_HPGeneralCalcs[[#This Row],[Temperature, °F]])*INPUT_HEATPUMP_EFFICIENCY_FACTOR))</f>
        <v>4.2741999999999996</v>
      </c>
      <c r="L205" s="165">
        <f>KWH_PER_BTU*Tbl_HPGeneralCalcs[[#This Row],[heating load (Btu)]]/Tbl_HPGeneralCalcs[[#This Row],[COP - DMSHP]]</f>
        <v>0</v>
      </c>
      <c r="M205" s="165">
        <f>HPFUELCALC_REF_DMSHPFAN*HPFUELCALC_REF_DMSHPFAN_CF*Tbl_HPGeneralCalcs[[#This Row],[Number of hours]]</f>
        <v>5.25</v>
      </c>
      <c r="N205" s="165">
        <f>Tbl_HPGeneralCalcs[[#This Row],[heating load (Btu)]]/HPFUELCALC_REF_AFUE/100000</f>
        <v>0</v>
      </c>
    </row>
    <row r="206" spans="2:14" x14ac:dyDescent="0.2">
      <c r="B206" s="16"/>
      <c r="C206" s="164">
        <v>90</v>
      </c>
      <c r="D206" s="164">
        <v>0</v>
      </c>
      <c r="E206" s="165">
        <f>IF((65-Tbl_HPGeneralCalcs[[#This Row],[Temperature, °F]])*Tbl_HPGeneralCalcs[[#This Row],[Number of hours]]&lt;0,0,(65-Tbl_HPGeneralCalcs[[#This Row],[Temperature, °F]])*Tbl_HPGeneralCalcs[[#This Row],[Number of hours]])</f>
        <v>0</v>
      </c>
      <c r="F206" s="165">
        <f>(Tbl_HPGeneralCalcs[[#This Row],[Heating-degree hours (MMBtu)]]/SUM(Tbl_HPGeneralCalcs[Heating-degree hours (MMBtu)]))*$S$30*10^6</f>
        <v>0</v>
      </c>
      <c r="G206" s="165">
        <f>IF(Tbl_HPGeneralCalcs[[#This Row],[Temperature, °F]]&lt;=RESISTANCE_HEAT_THRESHOLD,1,IF($D$33+$D$34*Tbl_HPGeneralCalcs[[#This Row],[Temperature, °F]]&lt;1,1,($D$33+$D$34*Tbl_HPGeneralCalcs[[#This Row],[Temperature, °F]])*INPUT_HEATPUMP_EFFICIENCY_FACTOR))</f>
        <v>5.7446999999999999</v>
      </c>
      <c r="H206" s="165">
        <f>KWH_PER_BTU*Tbl_HPGeneralCalcs[[#This Row],[heating load (Btu)]]/Tbl_HPGeneralCalcs[[#This Row],[COP - CHP]]</f>
        <v>0</v>
      </c>
      <c r="I206" s="165">
        <f>HPFUELCALC_REF_FUELPOWER_KW*HPFUELCALC_REF_FUELPOWER_CF*Tbl_HPGeneralCalcs[[#This Row],[Number of hours]]</f>
        <v>0</v>
      </c>
      <c r="J206" s="165">
        <f>Tbl_HPGeneralCalcs[[#This Row],[heating load (Btu)]]/HPFUELCALC_REF_AFUE/100000</f>
        <v>0</v>
      </c>
      <c r="K206" s="165">
        <f>IF(Tbl_HPGeneralCalcs[[#This Row],[Temperature, °F]]&lt;=RESISTANCE_HEAT_THRESHOLD,1,IF($H$33+$H$34*Tbl_HPGeneralCalcs[[#This Row],[Temperature, °F]]&lt;1,1,($H$33+$H$34*Tbl_HPGeneralCalcs[[#This Row],[Temperature, °F]])*INPUT_HEATPUMP_EFFICIENCY_FACTOR))</f>
        <v>4.3014000000000001</v>
      </c>
      <c r="L206" s="165">
        <f>KWH_PER_BTU*Tbl_HPGeneralCalcs[[#This Row],[heating load (Btu)]]/Tbl_HPGeneralCalcs[[#This Row],[COP - DMSHP]]</f>
        <v>0</v>
      </c>
      <c r="M206" s="165">
        <f>HPFUELCALC_REF_DMSHPFAN*HPFUELCALC_REF_DMSHPFAN_CF*Tbl_HPGeneralCalcs[[#This Row],[Number of hours]]</f>
        <v>0</v>
      </c>
      <c r="N206" s="165">
        <f>Tbl_HPGeneralCalcs[[#This Row],[heating load (Btu)]]/HPFUELCALC_REF_AFUE/100000</f>
        <v>0</v>
      </c>
    </row>
    <row r="207" spans="2:14" x14ac:dyDescent="0.2">
      <c r="B207" s="16"/>
      <c r="C207" s="164">
        <v>91</v>
      </c>
      <c r="D207" s="164">
        <v>16</v>
      </c>
      <c r="E207" s="165">
        <f>IF((65-Tbl_HPGeneralCalcs[[#This Row],[Temperature, °F]])*Tbl_HPGeneralCalcs[[#This Row],[Number of hours]]&lt;0,0,(65-Tbl_HPGeneralCalcs[[#This Row],[Temperature, °F]])*Tbl_HPGeneralCalcs[[#This Row],[Number of hours]])</f>
        <v>0</v>
      </c>
      <c r="F207" s="165">
        <f>(Tbl_HPGeneralCalcs[[#This Row],[Heating-degree hours (MMBtu)]]/SUM(Tbl_HPGeneralCalcs[Heating-degree hours (MMBtu)]))*$S$30*10^6</f>
        <v>0</v>
      </c>
      <c r="G207" s="165">
        <f>IF(Tbl_HPGeneralCalcs[[#This Row],[Temperature, °F]]&lt;=RESISTANCE_HEAT_THRESHOLD,1,IF($D$33+$D$34*Tbl_HPGeneralCalcs[[#This Row],[Temperature, °F]]&lt;1,1,($D$33+$D$34*Tbl_HPGeneralCalcs[[#This Row],[Temperature, °F]])*INPUT_HEATPUMP_EFFICIENCY_FACTOR))</f>
        <v>5.79</v>
      </c>
      <c r="H207" s="165">
        <f>KWH_PER_BTU*Tbl_HPGeneralCalcs[[#This Row],[heating load (Btu)]]/Tbl_HPGeneralCalcs[[#This Row],[COP - CHP]]</f>
        <v>0</v>
      </c>
      <c r="I207" s="165">
        <f>HPFUELCALC_REF_FUELPOWER_KW*HPFUELCALC_REF_FUELPOWER_CF*Tbl_HPGeneralCalcs[[#This Row],[Number of hours]]</f>
        <v>4</v>
      </c>
      <c r="J207" s="165">
        <f>Tbl_HPGeneralCalcs[[#This Row],[heating load (Btu)]]/HPFUELCALC_REF_AFUE/100000</f>
        <v>0</v>
      </c>
      <c r="K207" s="165">
        <f>IF(Tbl_HPGeneralCalcs[[#This Row],[Temperature, °F]]&lt;=RESISTANCE_HEAT_THRESHOLD,1,IF($H$33+$H$34*Tbl_HPGeneralCalcs[[#This Row],[Temperature, °F]]&lt;1,1,($H$33+$H$34*Tbl_HPGeneralCalcs[[#This Row],[Temperature, °F]])*INPUT_HEATPUMP_EFFICIENCY_FACTOR))</f>
        <v>4.3285999999999998</v>
      </c>
      <c r="L207" s="165">
        <f>KWH_PER_BTU*Tbl_HPGeneralCalcs[[#This Row],[heating load (Btu)]]/Tbl_HPGeneralCalcs[[#This Row],[COP - DMSHP]]</f>
        <v>0</v>
      </c>
      <c r="M207" s="165">
        <f>HPFUELCALC_REF_DMSHPFAN*HPFUELCALC_REF_DMSHPFAN_CF*Tbl_HPGeneralCalcs[[#This Row],[Number of hours]]</f>
        <v>4</v>
      </c>
      <c r="N207" s="165">
        <f>Tbl_HPGeneralCalcs[[#This Row],[heating load (Btu)]]/HPFUELCALC_REF_AFUE/100000</f>
        <v>0</v>
      </c>
    </row>
    <row r="208" spans="2:14" x14ac:dyDescent="0.2">
      <c r="B208" s="16"/>
      <c r="C208" s="164">
        <v>92</v>
      </c>
      <c r="D208" s="164">
        <v>0</v>
      </c>
      <c r="E208" s="165">
        <f>IF((65-Tbl_HPGeneralCalcs[[#This Row],[Temperature, °F]])*Tbl_HPGeneralCalcs[[#This Row],[Number of hours]]&lt;0,0,(65-Tbl_HPGeneralCalcs[[#This Row],[Temperature, °F]])*Tbl_HPGeneralCalcs[[#This Row],[Number of hours]])</f>
        <v>0</v>
      </c>
      <c r="F208" s="165">
        <f>(Tbl_HPGeneralCalcs[[#This Row],[Heating-degree hours (MMBtu)]]/SUM(Tbl_HPGeneralCalcs[Heating-degree hours (MMBtu)]))*$S$30*10^6</f>
        <v>0</v>
      </c>
      <c r="G208" s="165">
        <f>IF(Tbl_HPGeneralCalcs[[#This Row],[Temperature, °F]]&lt;=RESISTANCE_HEAT_THRESHOLD,1,IF($D$33+$D$34*Tbl_HPGeneralCalcs[[#This Row],[Temperature, °F]]&lt;1,1,($D$33+$D$34*Tbl_HPGeneralCalcs[[#This Row],[Temperature, °F]])*INPUT_HEATPUMP_EFFICIENCY_FACTOR))</f>
        <v>5.8353000000000002</v>
      </c>
      <c r="H208" s="165">
        <f>KWH_PER_BTU*Tbl_HPGeneralCalcs[[#This Row],[heating load (Btu)]]/Tbl_HPGeneralCalcs[[#This Row],[COP - CHP]]</f>
        <v>0</v>
      </c>
      <c r="I208" s="165">
        <f>HPFUELCALC_REF_FUELPOWER_KW*HPFUELCALC_REF_FUELPOWER_CF*Tbl_HPGeneralCalcs[[#This Row],[Number of hours]]</f>
        <v>0</v>
      </c>
      <c r="J208" s="165">
        <f>Tbl_HPGeneralCalcs[[#This Row],[heating load (Btu)]]/HPFUELCALC_REF_AFUE/100000</f>
        <v>0</v>
      </c>
      <c r="K208" s="165">
        <f>IF(Tbl_HPGeneralCalcs[[#This Row],[Temperature, °F]]&lt;=RESISTANCE_HEAT_THRESHOLD,1,IF($H$33+$H$34*Tbl_HPGeneralCalcs[[#This Row],[Temperature, °F]]&lt;1,1,($H$33+$H$34*Tbl_HPGeneralCalcs[[#This Row],[Temperature, °F]])*INPUT_HEATPUMP_EFFICIENCY_FACTOR))</f>
        <v>4.3557999999999995</v>
      </c>
      <c r="L208" s="165">
        <f>KWH_PER_BTU*Tbl_HPGeneralCalcs[[#This Row],[heating load (Btu)]]/Tbl_HPGeneralCalcs[[#This Row],[COP - DMSHP]]</f>
        <v>0</v>
      </c>
      <c r="M208" s="165">
        <f>HPFUELCALC_REF_DMSHPFAN*HPFUELCALC_REF_DMSHPFAN_CF*Tbl_HPGeneralCalcs[[#This Row],[Number of hours]]</f>
        <v>0</v>
      </c>
      <c r="N208" s="165">
        <f>Tbl_HPGeneralCalcs[[#This Row],[heating load (Btu)]]/HPFUELCALC_REF_AFUE/100000</f>
        <v>0</v>
      </c>
    </row>
    <row r="209" spans="2:14" x14ac:dyDescent="0.2">
      <c r="B209" s="16"/>
      <c r="C209" s="164">
        <v>93</v>
      </c>
      <c r="D209" s="164">
        <v>0</v>
      </c>
      <c r="E209" s="165">
        <f>IF((65-Tbl_HPGeneralCalcs[[#This Row],[Temperature, °F]])*Tbl_HPGeneralCalcs[[#This Row],[Number of hours]]&lt;0,0,(65-Tbl_HPGeneralCalcs[[#This Row],[Temperature, °F]])*Tbl_HPGeneralCalcs[[#This Row],[Number of hours]])</f>
        <v>0</v>
      </c>
      <c r="F209" s="165">
        <f>(Tbl_HPGeneralCalcs[[#This Row],[Heating-degree hours (MMBtu)]]/SUM(Tbl_HPGeneralCalcs[Heating-degree hours (MMBtu)]))*$S$30*10^6</f>
        <v>0</v>
      </c>
      <c r="G209" s="165">
        <f>IF(Tbl_HPGeneralCalcs[[#This Row],[Temperature, °F]]&lt;=RESISTANCE_HEAT_THRESHOLD,1,IF($D$33+$D$34*Tbl_HPGeneralCalcs[[#This Row],[Temperature, °F]]&lt;1,1,($D$33+$D$34*Tbl_HPGeneralCalcs[[#This Row],[Temperature, °F]])*INPUT_HEATPUMP_EFFICIENCY_FACTOR))</f>
        <v>5.8806000000000003</v>
      </c>
      <c r="H209" s="165">
        <f>KWH_PER_BTU*Tbl_HPGeneralCalcs[[#This Row],[heating load (Btu)]]/Tbl_HPGeneralCalcs[[#This Row],[COP - CHP]]</f>
        <v>0</v>
      </c>
      <c r="I209" s="165">
        <f>HPFUELCALC_REF_FUELPOWER_KW*HPFUELCALC_REF_FUELPOWER_CF*Tbl_HPGeneralCalcs[[#This Row],[Number of hours]]</f>
        <v>0</v>
      </c>
      <c r="J209" s="165">
        <f>Tbl_HPGeneralCalcs[[#This Row],[heating load (Btu)]]/HPFUELCALC_REF_AFUE/100000</f>
        <v>0</v>
      </c>
      <c r="K209" s="165">
        <f>IF(Tbl_HPGeneralCalcs[[#This Row],[Temperature, °F]]&lt;=RESISTANCE_HEAT_THRESHOLD,1,IF($H$33+$H$34*Tbl_HPGeneralCalcs[[#This Row],[Temperature, °F]]&lt;1,1,($H$33+$H$34*Tbl_HPGeneralCalcs[[#This Row],[Temperature, °F]])*INPUT_HEATPUMP_EFFICIENCY_FACTOR))</f>
        <v>4.383</v>
      </c>
      <c r="L209" s="165">
        <f>KWH_PER_BTU*Tbl_HPGeneralCalcs[[#This Row],[heating load (Btu)]]/Tbl_HPGeneralCalcs[[#This Row],[COP - DMSHP]]</f>
        <v>0</v>
      </c>
      <c r="M209" s="165">
        <f>HPFUELCALC_REF_DMSHPFAN*HPFUELCALC_REF_DMSHPFAN_CF*Tbl_HPGeneralCalcs[[#This Row],[Number of hours]]</f>
        <v>0</v>
      </c>
      <c r="N209" s="165">
        <f>Tbl_HPGeneralCalcs[[#This Row],[heating load (Btu)]]/HPFUELCALC_REF_AFUE/100000</f>
        <v>0</v>
      </c>
    </row>
    <row r="210" spans="2:14" x14ac:dyDescent="0.2">
      <c r="B210" s="16"/>
      <c r="C210" s="164">
        <v>94</v>
      </c>
      <c r="D210" s="164">
        <v>0</v>
      </c>
      <c r="E210" s="165">
        <f>IF((65-Tbl_HPGeneralCalcs[[#This Row],[Temperature, °F]])*Tbl_HPGeneralCalcs[[#This Row],[Number of hours]]&lt;0,0,(65-Tbl_HPGeneralCalcs[[#This Row],[Temperature, °F]])*Tbl_HPGeneralCalcs[[#This Row],[Number of hours]])</f>
        <v>0</v>
      </c>
      <c r="F210" s="165">
        <f>(Tbl_HPGeneralCalcs[[#This Row],[Heating-degree hours (MMBtu)]]/SUM(Tbl_HPGeneralCalcs[Heating-degree hours (MMBtu)]))*$S$30*10^6</f>
        <v>0</v>
      </c>
      <c r="G210" s="165">
        <f>IF(Tbl_HPGeneralCalcs[[#This Row],[Temperature, °F]]&lt;=RESISTANCE_HEAT_THRESHOLD,1,IF($D$33+$D$34*Tbl_HPGeneralCalcs[[#This Row],[Temperature, °F]]&lt;1,1,($D$33+$D$34*Tbl_HPGeneralCalcs[[#This Row],[Temperature, °F]])*INPUT_HEATPUMP_EFFICIENCY_FACTOR))</f>
        <v>5.9259000000000004</v>
      </c>
      <c r="H210" s="165">
        <f>KWH_PER_BTU*Tbl_HPGeneralCalcs[[#This Row],[heating load (Btu)]]/Tbl_HPGeneralCalcs[[#This Row],[COP - CHP]]</f>
        <v>0</v>
      </c>
      <c r="I210" s="165">
        <f>HPFUELCALC_REF_FUELPOWER_KW*HPFUELCALC_REF_FUELPOWER_CF*Tbl_HPGeneralCalcs[[#This Row],[Number of hours]]</f>
        <v>0</v>
      </c>
      <c r="J210" s="165">
        <f>Tbl_HPGeneralCalcs[[#This Row],[heating load (Btu)]]/HPFUELCALC_REF_AFUE/100000</f>
        <v>0</v>
      </c>
      <c r="K210" s="165">
        <f>IF(Tbl_HPGeneralCalcs[[#This Row],[Temperature, °F]]&lt;=RESISTANCE_HEAT_THRESHOLD,1,IF($H$33+$H$34*Tbl_HPGeneralCalcs[[#This Row],[Temperature, °F]]&lt;1,1,($H$33+$H$34*Tbl_HPGeneralCalcs[[#This Row],[Temperature, °F]])*INPUT_HEATPUMP_EFFICIENCY_FACTOR))</f>
        <v>4.4101999999999997</v>
      </c>
      <c r="L210" s="165">
        <f>KWH_PER_BTU*Tbl_HPGeneralCalcs[[#This Row],[heating load (Btu)]]/Tbl_HPGeneralCalcs[[#This Row],[COP - DMSHP]]</f>
        <v>0</v>
      </c>
      <c r="M210" s="165">
        <f>HPFUELCALC_REF_DMSHPFAN*HPFUELCALC_REF_DMSHPFAN_CF*Tbl_HPGeneralCalcs[[#This Row],[Number of hours]]</f>
        <v>0</v>
      </c>
      <c r="N210" s="165">
        <f>Tbl_HPGeneralCalcs[[#This Row],[heating load (Btu)]]/HPFUELCALC_REF_AFUE/100000</f>
        <v>0</v>
      </c>
    </row>
    <row r="211" spans="2:14" x14ac:dyDescent="0.2">
      <c r="B211" s="16"/>
      <c r="C211" s="164">
        <v>95</v>
      </c>
      <c r="D211" s="164">
        <v>0</v>
      </c>
      <c r="E211" s="165">
        <f>IF((65-Tbl_HPGeneralCalcs[[#This Row],[Temperature, °F]])*Tbl_HPGeneralCalcs[[#This Row],[Number of hours]]&lt;0,0,(65-Tbl_HPGeneralCalcs[[#This Row],[Temperature, °F]])*Tbl_HPGeneralCalcs[[#This Row],[Number of hours]])</f>
        <v>0</v>
      </c>
      <c r="F211" s="165">
        <f>(Tbl_HPGeneralCalcs[[#This Row],[Heating-degree hours (MMBtu)]]/SUM(Tbl_HPGeneralCalcs[Heating-degree hours (MMBtu)]))*$S$30*10^6</f>
        <v>0</v>
      </c>
      <c r="G211" s="165">
        <f>IF(Tbl_HPGeneralCalcs[[#This Row],[Temperature, °F]]&lt;=RESISTANCE_HEAT_THRESHOLD,1,IF($D$33+$D$34*Tbl_HPGeneralCalcs[[#This Row],[Temperature, °F]]&lt;1,1,($D$33+$D$34*Tbl_HPGeneralCalcs[[#This Row],[Temperature, °F]])*INPUT_HEATPUMP_EFFICIENCY_FACTOR))</f>
        <v>5.9711999999999996</v>
      </c>
      <c r="H211" s="165">
        <f>KWH_PER_BTU*Tbl_HPGeneralCalcs[[#This Row],[heating load (Btu)]]/Tbl_HPGeneralCalcs[[#This Row],[COP - CHP]]</f>
        <v>0</v>
      </c>
      <c r="I211" s="165">
        <f>HPFUELCALC_REF_FUELPOWER_KW*HPFUELCALC_REF_FUELPOWER_CF*Tbl_HPGeneralCalcs[[#This Row],[Number of hours]]</f>
        <v>0</v>
      </c>
      <c r="J211" s="165">
        <f>Tbl_HPGeneralCalcs[[#This Row],[heating load (Btu)]]/HPFUELCALC_REF_AFUE/100000</f>
        <v>0</v>
      </c>
      <c r="K211" s="165">
        <f>IF(Tbl_HPGeneralCalcs[[#This Row],[Temperature, °F]]&lt;=RESISTANCE_HEAT_THRESHOLD,1,IF($H$33+$H$34*Tbl_HPGeneralCalcs[[#This Row],[Temperature, °F]]&lt;1,1,($H$33+$H$34*Tbl_HPGeneralCalcs[[#This Row],[Temperature, °F]])*INPUT_HEATPUMP_EFFICIENCY_FACTOR))</f>
        <v>4.4374000000000002</v>
      </c>
      <c r="L211" s="165">
        <f>KWH_PER_BTU*Tbl_HPGeneralCalcs[[#This Row],[heating load (Btu)]]/Tbl_HPGeneralCalcs[[#This Row],[COP - DMSHP]]</f>
        <v>0</v>
      </c>
      <c r="M211" s="165">
        <f>HPFUELCALC_REF_DMSHPFAN*HPFUELCALC_REF_DMSHPFAN_CF*Tbl_HPGeneralCalcs[[#This Row],[Number of hours]]</f>
        <v>0</v>
      </c>
      <c r="N211" s="165">
        <f>Tbl_HPGeneralCalcs[[#This Row],[heating load (Btu)]]/HPFUELCALC_REF_AFUE/100000</f>
        <v>0</v>
      </c>
    </row>
    <row r="212" spans="2:14" x14ac:dyDescent="0.2">
      <c r="B212" s="16"/>
      <c r="C212" s="164">
        <v>96</v>
      </c>
      <c r="D212" s="164">
        <v>0</v>
      </c>
      <c r="E212" s="165">
        <f>IF((65-Tbl_HPGeneralCalcs[[#This Row],[Temperature, °F]])*Tbl_HPGeneralCalcs[[#This Row],[Number of hours]]&lt;0,0,(65-Tbl_HPGeneralCalcs[[#This Row],[Temperature, °F]])*Tbl_HPGeneralCalcs[[#This Row],[Number of hours]])</f>
        <v>0</v>
      </c>
      <c r="F212" s="165">
        <f>(Tbl_HPGeneralCalcs[[#This Row],[Heating-degree hours (MMBtu)]]/SUM(Tbl_HPGeneralCalcs[Heating-degree hours (MMBtu)]))*$S$30*10^6</f>
        <v>0</v>
      </c>
      <c r="G212" s="165">
        <f>IF(Tbl_HPGeneralCalcs[[#This Row],[Temperature, °F]]&lt;=RESISTANCE_HEAT_THRESHOLD,1,IF($D$33+$D$34*Tbl_HPGeneralCalcs[[#This Row],[Temperature, °F]]&lt;1,1,($D$33+$D$34*Tbl_HPGeneralCalcs[[#This Row],[Temperature, °F]])*INPUT_HEATPUMP_EFFICIENCY_FACTOR))</f>
        <v>6.0164999999999997</v>
      </c>
      <c r="H212" s="165">
        <f>KWH_PER_BTU*Tbl_HPGeneralCalcs[[#This Row],[heating load (Btu)]]/Tbl_HPGeneralCalcs[[#This Row],[COP - CHP]]</f>
        <v>0</v>
      </c>
      <c r="I212" s="165">
        <f>HPFUELCALC_REF_FUELPOWER_KW*HPFUELCALC_REF_FUELPOWER_CF*Tbl_HPGeneralCalcs[[#This Row],[Number of hours]]</f>
        <v>0</v>
      </c>
      <c r="J212" s="165">
        <f>Tbl_HPGeneralCalcs[[#This Row],[heating load (Btu)]]/HPFUELCALC_REF_AFUE/100000</f>
        <v>0</v>
      </c>
      <c r="K212" s="165">
        <f>IF(Tbl_HPGeneralCalcs[[#This Row],[Temperature, °F]]&lt;=RESISTANCE_HEAT_THRESHOLD,1,IF($H$33+$H$34*Tbl_HPGeneralCalcs[[#This Row],[Temperature, °F]]&lt;1,1,($H$33+$H$34*Tbl_HPGeneralCalcs[[#This Row],[Temperature, °F]])*INPUT_HEATPUMP_EFFICIENCY_FACTOR))</f>
        <v>4.4645999999999999</v>
      </c>
      <c r="L212" s="165">
        <f>KWH_PER_BTU*Tbl_HPGeneralCalcs[[#This Row],[heating load (Btu)]]/Tbl_HPGeneralCalcs[[#This Row],[COP - DMSHP]]</f>
        <v>0</v>
      </c>
      <c r="M212" s="165">
        <f>HPFUELCALC_REF_DMSHPFAN*HPFUELCALC_REF_DMSHPFAN_CF*Tbl_HPGeneralCalcs[[#This Row],[Number of hours]]</f>
        <v>0</v>
      </c>
      <c r="N212" s="165">
        <f>Tbl_HPGeneralCalcs[[#This Row],[heating load (Btu)]]/HPFUELCALC_REF_AFUE/100000</f>
        <v>0</v>
      </c>
    </row>
    <row r="213" spans="2:14" x14ac:dyDescent="0.2">
      <c r="B213" s="16"/>
      <c r="C213" s="164">
        <v>97</v>
      </c>
      <c r="D213" s="164">
        <v>0</v>
      </c>
      <c r="E213" s="165">
        <f>IF((65-Tbl_HPGeneralCalcs[[#This Row],[Temperature, °F]])*Tbl_HPGeneralCalcs[[#This Row],[Number of hours]]&lt;0,0,(65-Tbl_HPGeneralCalcs[[#This Row],[Temperature, °F]])*Tbl_HPGeneralCalcs[[#This Row],[Number of hours]])</f>
        <v>0</v>
      </c>
      <c r="F213" s="165">
        <f>(Tbl_HPGeneralCalcs[[#This Row],[Heating-degree hours (MMBtu)]]/SUM(Tbl_HPGeneralCalcs[Heating-degree hours (MMBtu)]))*$S$30*10^6</f>
        <v>0</v>
      </c>
      <c r="G213" s="165">
        <f>IF(Tbl_HPGeneralCalcs[[#This Row],[Temperature, °F]]&lt;=RESISTANCE_HEAT_THRESHOLD,1,IF($D$33+$D$34*Tbl_HPGeneralCalcs[[#This Row],[Temperature, °F]]&lt;1,1,($D$33+$D$34*Tbl_HPGeneralCalcs[[#This Row],[Temperature, °F]])*INPUT_HEATPUMP_EFFICIENCY_FACTOR))</f>
        <v>6.0617999999999999</v>
      </c>
      <c r="H213" s="165">
        <f>KWH_PER_BTU*Tbl_HPGeneralCalcs[[#This Row],[heating load (Btu)]]/Tbl_HPGeneralCalcs[[#This Row],[COP - CHP]]</f>
        <v>0</v>
      </c>
      <c r="I213" s="165">
        <f>HPFUELCALC_REF_FUELPOWER_KW*HPFUELCALC_REF_FUELPOWER_CF*Tbl_HPGeneralCalcs[[#This Row],[Number of hours]]</f>
        <v>0</v>
      </c>
      <c r="J213" s="165">
        <f>Tbl_HPGeneralCalcs[[#This Row],[heating load (Btu)]]/HPFUELCALC_REF_AFUE/100000</f>
        <v>0</v>
      </c>
      <c r="K213" s="165">
        <f>IF(Tbl_HPGeneralCalcs[[#This Row],[Temperature, °F]]&lt;=RESISTANCE_HEAT_THRESHOLD,1,IF($H$33+$H$34*Tbl_HPGeneralCalcs[[#This Row],[Temperature, °F]]&lt;1,1,($H$33+$H$34*Tbl_HPGeneralCalcs[[#This Row],[Temperature, °F]])*INPUT_HEATPUMP_EFFICIENCY_FACTOR))</f>
        <v>4.4917999999999996</v>
      </c>
      <c r="L213" s="165">
        <f>KWH_PER_BTU*Tbl_HPGeneralCalcs[[#This Row],[heating load (Btu)]]/Tbl_HPGeneralCalcs[[#This Row],[COP - DMSHP]]</f>
        <v>0</v>
      </c>
      <c r="M213" s="165">
        <f>HPFUELCALC_REF_DMSHPFAN*HPFUELCALC_REF_DMSHPFAN_CF*Tbl_HPGeneralCalcs[[#This Row],[Number of hours]]</f>
        <v>0</v>
      </c>
      <c r="N213" s="165">
        <f>Tbl_HPGeneralCalcs[[#This Row],[heating load (Btu)]]/HPFUELCALC_REF_AFUE/100000</f>
        <v>0</v>
      </c>
    </row>
    <row r="214" spans="2:14" x14ac:dyDescent="0.2">
      <c r="B214" s="16"/>
      <c r="C214" s="164">
        <v>98</v>
      </c>
      <c r="D214" s="164">
        <v>0</v>
      </c>
      <c r="E214" s="165">
        <f>IF((65-Tbl_HPGeneralCalcs[[#This Row],[Temperature, °F]])*Tbl_HPGeneralCalcs[[#This Row],[Number of hours]]&lt;0,0,(65-Tbl_HPGeneralCalcs[[#This Row],[Temperature, °F]])*Tbl_HPGeneralCalcs[[#This Row],[Number of hours]])</f>
        <v>0</v>
      </c>
      <c r="F214" s="165">
        <f>(Tbl_HPGeneralCalcs[[#This Row],[Heating-degree hours (MMBtu)]]/SUM(Tbl_HPGeneralCalcs[Heating-degree hours (MMBtu)]))*$S$30*10^6</f>
        <v>0</v>
      </c>
      <c r="G214" s="165">
        <f>IF(Tbl_HPGeneralCalcs[[#This Row],[Temperature, °F]]&lt;=RESISTANCE_HEAT_THRESHOLD,1,IF($D$33+$D$34*Tbl_HPGeneralCalcs[[#This Row],[Temperature, °F]]&lt;1,1,($D$33+$D$34*Tbl_HPGeneralCalcs[[#This Row],[Temperature, °F]])*INPUT_HEATPUMP_EFFICIENCY_FACTOR))</f>
        <v>6.1071</v>
      </c>
      <c r="H214" s="165">
        <f>KWH_PER_BTU*Tbl_HPGeneralCalcs[[#This Row],[heating load (Btu)]]/Tbl_HPGeneralCalcs[[#This Row],[COP - CHP]]</f>
        <v>0</v>
      </c>
      <c r="I214" s="165">
        <f>HPFUELCALC_REF_FUELPOWER_KW*HPFUELCALC_REF_FUELPOWER_CF*Tbl_HPGeneralCalcs[[#This Row],[Number of hours]]</f>
        <v>0</v>
      </c>
      <c r="J214" s="165">
        <f>Tbl_HPGeneralCalcs[[#This Row],[heating load (Btu)]]/HPFUELCALC_REF_AFUE/100000</f>
        <v>0</v>
      </c>
      <c r="K214" s="165">
        <f>IF(Tbl_HPGeneralCalcs[[#This Row],[Temperature, °F]]&lt;=RESISTANCE_HEAT_THRESHOLD,1,IF($H$33+$H$34*Tbl_HPGeneralCalcs[[#This Row],[Temperature, °F]]&lt;1,1,($H$33+$H$34*Tbl_HPGeneralCalcs[[#This Row],[Temperature, °F]])*INPUT_HEATPUMP_EFFICIENCY_FACTOR))</f>
        <v>4.5190000000000001</v>
      </c>
      <c r="L214" s="165">
        <f>KWH_PER_BTU*Tbl_HPGeneralCalcs[[#This Row],[heating load (Btu)]]/Tbl_HPGeneralCalcs[[#This Row],[COP - DMSHP]]</f>
        <v>0</v>
      </c>
      <c r="M214" s="165">
        <f>HPFUELCALC_REF_DMSHPFAN*HPFUELCALC_REF_DMSHPFAN_CF*Tbl_HPGeneralCalcs[[#This Row],[Number of hours]]</f>
        <v>0</v>
      </c>
      <c r="N214" s="165">
        <f>Tbl_HPGeneralCalcs[[#This Row],[heating load (Btu)]]/HPFUELCALC_REF_AFUE/100000</f>
        <v>0</v>
      </c>
    </row>
    <row r="215" spans="2:14" x14ac:dyDescent="0.2">
      <c r="B215" s="16"/>
      <c r="C215" s="164">
        <v>99</v>
      </c>
      <c r="D215" s="164">
        <v>0</v>
      </c>
      <c r="E215" s="165">
        <f>IF((65-Tbl_HPGeneralCalcs[[#This Row],[Temperature, °F]])*Tbl_HPGeneralCalcs[[#This Row],[Number of hours]]&lt;0,0,(65-Tbl_HPGeneralCalcs[[#This Row],[Temperature, °F]])*Tbl_HPGeneralCalcs[[#This Row],[Number of hours]])</f>
        <v>0</v>
      </c>
      <c r="F215" s="165">
        <f>(Tbl_HPGeneralCalcs[[#This Row],[Heating-degree hours (MMBtu)]]/SUM(Tbl_HPGeneralCalcs[Heating-degree hours (MMBtu)]))*$S$30*10^6</f>
        <v>0</v>
      </c>
      <c r="G215" s="165">
        <f>IF(Tbl_HPGeneralCalcs[[#This Row],[Temperature, °F]]&lt;=RESISTANCE_HEAT_THRESHOLD,1,IF($D$33+$D$34*Tbl_HPGeneralCalcs[[#This Row],[Temperature, °F]]&lt;1,1,($D$33+$D$34*Tbl_HPGeneralCalcs[[#This Row],[Temperature, °F]])*INPUT_HEATPUMP_EFFICIENCY_FACTOR))</f>
        <v>6.1524000000000001</v>
      </c>
      <c r="H215" s="165">
        <f>KWH_PER_BTU*Tbl_HPGeneralCalcs[[#This Row],[heating load (Btu)]]/Tbl_HPGeneralCalcs[[#This Row],[COP - CHP]]</f>
        <v>0</v>
      </c>
      <c r="I215" s="165">
        <f>HPFUELCALC_REF_FUELPOWER_KW*HPFUELCALC_REF_FUELPOWER_CF*Tbl_HPGeneralCalcs[[#This Row],[Number of hours]]</f>
        <v>0</v>
      </c>
      <c r="J215" s="165">
        <f>Tbl_HPGeneralCalcs[[#This Row],[heating load (Btu)]]/HPFUELCALC_REF_AFUE/100000</f>
        <v>0</v>
      </c>
      <c r="K215" s="165">
        <f>IF(Tbl_HPGeneralCalcs[[#This Row],[Temperature, °F]]&lt;=RESISTANCE_HEAT_THRESHOLD,1,IF($H$33+$H$34*Tbl_HPGeneralCalcs[[#This Row],[Temperature, °F]]&lt;1,1,($H$33+$H$34*Tbl_HPGeneralCalcs[[#This Row],[Temperature, °F]])*INPUT_HEATPUMP_EFFICIENCY_FACTOR))</f>
        <v>4.5461999999999998</v>
      </c>
      <c r="L215" s="165">
        <f>KWH_PER_BTU*Tbl_HPGeneralCalcs[[#This Row],[heating load (Btu)]]/Tbl_HPGeneralCalcs[[#This Row],[COP - DMSHP]]</f>
        <v>0</v>
      </c>
      <c r="M215" s="165">
        <f>HPFUELCALC_REF_DMSHPFAN*HPFUELCALC_REF_DMSHPFAN_CF*Tbl_HPGeneralCalcs[[#This Row],[Number of hours]]</f>
        <v>0</v>
      </c>
      <c r="N215" s="165">
        <f>Tbl_HPGeneralCalcs[[#This Row],[heating load (Btu)]]/HPFUELCALC_REF_AFUE/100000</f>
        <v>0</v>
      </c>
    </row>
    <row r="216" spans="2:14" x14ac:dyDescent="0.2">
      <c r="B216" s="16"/>
      <c r="C216" s="164">
        <v>100</v>
      </c>
      <c r="D216" s="164">
        <v>0</v>
      </c>
      <c r="E216" s="165">
        <f>IF((65-Tbl_HPGeneralCalcs[[#This Row],[Temperature, °F]])*Tbl_HPGeneralCalcs[[#This Row],[Number of hours]]&lt;0,0,(65-Tbl_HPGeneralCalcs[[#This Row],[Temperature, °F]])*Tbl_HPGeneralCalcs[[#This Row],[Number of hours]])</f>
        <v>0</v>
      </c>
      <c r="F216" s="165">
        <f>(Tbl_HPGeneralCalcs[[#This Row],[Heating-degree hours (MMBtu)]]/SUM(Tbl_HPGeneralCalcs[Heating-degree hours (MMBtu)]))*$S$30*10^6</f>
        <v>0</v>
      </c>
      <c r="G216" s="165">
        <f>IF(Tbl_HPGeneralCalcs[[#This Row],[Temperature, °F]]&lt;=RESISTANCE_HEAT_THRESHOLD,1,IF($D$33+$D$34*Tbl_HPGeneralCalcs[[#This Row],[Temperature, °F]]&lt;1,1,($D$33+$D$34*Tbl_HPGeneralCalcs[[#This Row],[Temperature, °F]])*INPUT_HEATPUMP_EFFICIENCY_FACTOR))</f>
        <v>6.1977000000000002</v>
      </c>
      <c r="H216" s="165">
        <f>KWH_PER_BTU*Tbl_HPGeneralCalcs[[#This Row],[heating load (Btu)]]/Tbl_HPGeneralCalcs[[#This Row],[COP - CHP]]</f>
        <v>0</v>
      </c>
      <c r="I216" s="165">
        <f>HPFUELCALC_REF_FUELPOWER_KW*HPFUELCALC_REF_FUELPOWER_CF*Tbl_HPGeneralCalcs[[#This Row],[Number of hours]]</f>
        <v>0</v>
      </c>
      <c r="J216" s="165">
        <f>Tbl_HPGeneralCalcs[[#This Row],[heating load (Btu)]]/HPFUELCALC_REF_AFUE/100000</f>
        <v>0</v>
      </c>
      <c r="K216" s="165">
        <f>IF(Tbl_HPGeneralCalcs[[#This Row],[Temperature, °F]]&lt;=RESISTANCE_HEAT_THRESHOLD,1,IF($H$33+$H$34*Tbl_HPGeneralCalcs[[#This Row],[Temperature, °F]]&lt;1,1,($H$33+$H$34*Tbl_HPGeneralCalcs[[#This Row],[Temperature, °F]])*INPUT_HEATPUMP_EFFICIENCY_FACTOR))</f>
        <v>4.5733999999999995</v>
      </c>
      <c r="L216" s="165">
        <f>KWH_PER_BTU*Tbl_HPGeneralCalcs[[#This Row],[heating load (Btu)]]/Tbl_HPGeneralCalcs[[#This Row],[COP - DMSHP]]</f>
        <v>0</v>
      </c>
      <c r="M216" s="165">
        <f>HPFUELCALC_REF_DMSHPFAN*HPFUELCALC_REF_DMSHPFAN_CF*Tbl_HPGeneralCalcs[[#This Row],[Number of hours]]</f>
        <v>0</v>
      </c>
      <c r="N216" s="165">
        <f>Tbl_HPGeneralCalcs[[#This Row],[heating load (Btu)]]/HPFUELCALC_REF_AFUE/100000</f>
        <v>0</v>
      </c>
    </row>
    <row r="217" spans="2:14" x14ac:dyDescent="0.2">
      <c r="B217" s="16"/>
      <c r="C217" s="164">
        <v>101</v>
      </c>
      <c r="D217" s="164">
        <v>0</v>
      </c>
      <c r="E217" s="165">
        <f>IF((65-Tbl_HPGeneralCalcs[[#This Row],[Temperature, °F]])*Tbl_HPGeneralCalcs[[#This Row],[Number of hours]]&lt;0,0,(65-Tbl_HPGeneralCalcs[[#This Row],[Temperature, °F]])*Tbl_HPGeneralCalcs[[#This Row],[Number of hours]])</f>
        <v>0</v>
      </c>
      <c r="F217" s="165">
        <f>(Tbl_HPGeneralCalcs[[#This Row],[Heating-degree hours (MMBtu)]]/SUM(Tbl_HPGeneralCalcs[Heating-degree hours (MMBtu)]))*$S$30*10^6</f>
        <v>0</v>
      </c>
      <c r="G217" s="165">
        <f>IF(Tbl_HPGeneralCalcs[[#This Row],[Temperature, °F]]&lt;=RESISTANCE_HEAT_THRESHOLD,1,IF($D$33+$D$34*Tbl_HPGeneralCalcs[[#This Row],[Temperature, °F]]&lt;1,1,($D$33+$D$34*Tbl_HPGeneralCalcs[[#This Row],[Temperature, °F]])*INPUT_HEATPUMP_EFFICIENCY_FACTOR))</f>
        <v>6.2430000000000003</v>
      </c>
      <c r="H217" s="165">
        <f>KWH_PER_BTU*Tbl_HPGeneralCalcs[[#This Row],[heating load (Btu)]]/Tbl_HPGeneralCalcs[[#This Row],[COP - CHP]]</f>
        <v>0</v>
      </c>
      <c r="I217" s="165">
        <f>HPFUELCALC_REF_FUELPOWER_KW*HPFUELCALC_REF_FUELPOWER_CF*Tbl_HPGeneralCalcs[[#This Row],[Number of hours]]</f>
        <v>0</v>
      </c>
      <c r="J217" s="165">
        <f>Tbl_HPGeneralCalcs[[#This Row],[heating load (Btu)]]/HPFUELCALC_REF_AFUE/100000</f>
        <v>0</v>
      </c>
      <c r="K217" s="165">
        <f>IF(Tbl_HPGeneralCalcs[[#This Row],[Temperature, °F]]&lt;=RESISTANCE_HEAT_THRESHOLD,1,IF($H$33+$H$34*Tbl_HPGeneralCalcs[[#This Row],[Temperature, °F]]&lt;1,1,($H$33+$H$34*Tbl_HPGeneralCalcs[[#This Row],[Temperature, °F]])*INPUT_HEATPUMP_EFFICIENCY_FACTOR))</f>
        <v>4.6006</v>
      </c>
      <c r="L217" s="165">
        <f>KWH_PER_BTU*Tbl_HPGeneralCalcs[[#This Row],[heating load (Btu)]]/Tbl_HPGeneralCalcs[[#This Row],[COP - DMSHP]]</f>
        <v>0</v>
      </c>
      <c r="M217" s="165">
        <f>HPFUELCALC_REF_DMSHPFAN*HPFUELCALC_REF_DMSHPFAN_CF*Tbl_HPGeneralCalcs[[#This Row],[Number of hours]]</f>
        <v>0</v>
      </c>
      <c r="N217" s="165">
        <f>Tbl_HPGeneralCalcs[[#This Row],[heating load (Btu)]]/HPFUELCALC_REF_AFUE/100000</f>
        <v>0</v>
      </c>
    </row>
    <row r="218" spans="2:14" x14ac:dyDescent="0.2">
      <c r="B218" s="16"/>
      <c r="C218" s="164">
        <v>102</v>
      </c>
      <c r="D218" s="164">
        <v>0</v>
      </c>
      <c r="E218" s="165">
        <f>IF((65-Tbl_HPGeneralCalcs[[#This Row],[Temperature, °F]])*Tbl_HPGeneralCalcs[[#This Row],[Number of hours]]&lt;0,0,(65-Tbl_HPGeneralCalcs[[#This Row],[Temperature, °F]])*Tbl_HPGeneralCalcs[[#This Row],[Number of hours]])</f>
        <v>0</v>
      </c>
      <c r="F218" s="165">
        <f>(Tbl_HPGeneralCalcs[[#This Row],[Heating-degree hours (MMBtu)]]/SUM(Tbl_HPGeneralCalcs[Heating-degree hours (MMBtu)]))*$S$30*10^6</f>
        <v>0</v>
      </c>
      <c r="G218" s="165">
        <f>IF(Tbl_HPGeneralCalcs[[#This Row],[Temperature, °F]]&lt;=RESISTANCE_HEAT_THRESHOLD,1,IF($D$33+$D$34*Tbl_HPGeneralCalcs[[#This Row],[Temperature, °F]]&lt;1,1,($D$33+$D$34*Tbl_HPGeneralCalcs[[#This Row],[Temperature, °F]])*INPUT_HEATPUMP_EFFICIENCY_FACTOR))</f>
        <v>6.2882999999999996</v>
      </c>
      <c r="H218" s="165">
        <f>KWH_PER_BTU*Tbl_HPGeneralCalcs[[#This Row],[heating load (Btu)]]/Tbl_HPGeneralCalcs[[#This Row],[COP - CHP]]</f>
        <v>0</v>
      </c>
      <c r="I218" s="165">
        <f>HPFUELCALC_REF_FUELPOWER_KW*HPFUELCALC_REF_FUELPOWER_CF*Tbl_HPGeneralCalcs[[#This Row],[Number of hours]]</f>
        <v>0</v>
      </c>
      <c r="J218" s="165">
        <f>Tbl_HPGeneralCalcs[[#This Row],[heating load (Btu)]]/HPFUELCALC_REF_AFUE/100000</f>
        <v>0</v>
      </c>
      <c r="K218" s="165">
        <f>IF(Tbl_HPGeneralCalcs[[#This Row],[Temperature, °F]]&lt;=RESISTANCE_HEAT_THRESHOLD,1,IF($H$33+$H$34*Tbl_HPGeneralCalcs[[#This Row],[Temperature, °F]]&lt;1,1,($H$33+$H$34*Tbl_HPGeneralCalcs[[#This Row],[Temperature, °F]])*INPUT_HEATPUMP_EFFICIENCY_FACTOR))</f>
        <v>4.6277999999999997</v>
      </c>
      <c r="L218" s="165">
        <f>KWH_PER_BTU*Tbl_HPGeneralCalcs[[#This Row],[heating load (Btu)]]/Tbl_HPGeneralCalcs[[#This Row],[COP - DMSHP]]</f>
        <v>0</v>
      </c>
      <c r="M218" s="165">
        <f>HPFUELCALC_REF_DMSHPFAN*HPFUELCALC_REF_DMSHPFAN_CF*Tbl_HPGeneralCalcs[[#This Row],[Number of hours]]</f>
        <v>0</v>
      </c>
      <c r="N218" s="165">
        <f>Tbl_HPGeneralCalcs[[#This Row],[heating load (Btu)]]/HPFUELCALC_REF_AFUE/100000</f>
        <v>0</v>
      </c>
    </row>
    <row r="219" spans="2:14" x14ac:dyDescent="0.2">
      <c r="B219" s="16"/>
      <c r="C219" s="164">
        <v>103</v>
      </c>
      <c r="D219" s="164">
        <v>0</v>
      </c>
      <c r="E219" s="165">
        <f>IF((65-Tbl_HPGeneralCalcs[[#This Row],[Temperature, °F]])*Tbl_HPGeneralCalcs[[#This Row],[Number of hours]]&lt;0,0,(65-Tbl_HPGeneralCalcs[[#This Row],[Temperature, °F]])*Tbl_HPGeneralCalcs[[#This Row],[Number of hours]])</f>
        <v>0</v>
      </c>
      <c r="F219" s="165">
        <f>(Tbl_HPGeneralCalcs[[#This Row],[Heating-degree hours (MMBtu)]]/SUM(Tbl_HPGeneralCalcs[Heating-degree hours (MMBtu)]))*$S$30*10^6</f>
        <v>0</v>
      </c>
      <c r="G219" s="165">
        <f>IF(Tbl_HPGeneralCalcs[[#This Row],[Temperature, °F]]&lt;=RESISTANCE_HEAT_THRESHOLD,1,IF($D$33+$D$34*Tbl_HPGeneralCalcs[[#This Row],[Temperature, °F]]&lt;1,1,($D$33+$D$34*Tbl_HPGeneralCalcs[[#This Row],[Temperature, °F]])*INPUT_HEATPUMP_EFFICIENCY_FACTOR))</f>
        <v>6.3335999999999997</v>
      </c>
      <c r="H219" s="165">
        <f>KWH_PER_BTU*Tbl_HPGeneralCalcs[[#This Row],[heating load (Btu)]]/Tbl_HPGeneralCalcs[[#This Row],[COP - CHP]]</f>
        <v>0</v>
      </c>
      <c r="I219" s="165">
        <f>HPFUELCALC_REF_FUELPOWER_KW*HPFUELCALC_REF_FUELPOWER_CF*Tbl_HPGeneralCalcs[[#This Row],[Number of hours]]</f>
        <v>0</v>
      </c>
      <c r="J219" s="165">
        <f>Tbl_HPGeneralCalcs[[#This Row],[heating load (Btu)]]/HPFUELCALC_REF_AFUE/100000</f>
        <v>0</v>
      </c>
      <c r="K219" s="165">
        <f>IF(Tbl_HPGeneralCalcs[[#This Row],[Temperature, °F]]&lt;=RESISTANCE_HEAT_THRESHOLD,1,IF($H$33+$H$34*Tbl_HPGeneralCalcs[[#This Row],[Temperature, °F]]&lt;1,1,($H$33+$H$34*Tbl_HPGeneralCalcs[[#This Row],[Temperature, °F]])*INPUT_HEATPUMP_EFFICIENCY_FACTOR))</f>
        <v>4.6549999999999994</v>
      </c>
      <c r="L219" s="165">
        <f>KWH_PER_BTU*Tbl_HPGeneralCalcs[[#This Row],[heating load (Btu)]]/Tbl_HPGeneralCalcs[[#This Row],[COP - DMSHP]]</f>
        <v>0</v>
      </c>
      <c r="M219" s="165">
        <f>HPFUELCALC_REF_DMSHPFAN*HPFUELCALC_REF_DMSHPFAN_CF*Tbl_HPGeneralCalcs[[#This Row],[Number of hours]]</f>
        <v>0</v>
      </c>
      <c r="N219" s="165">
        <f>Tbl_HPGeneralCalcs[[#This Row],[heating load (Btu)]]/HPFUELCALC_REF_AFUE/100000</f>
        <v>0</v>
      </c>
    </row>
    <row r="220" spans="2:14" x14ac:dyDescent="0.2">
      <c r="B220" s="16"/>
      <c r="C220" s="164">
        <v>104</v>
      </c>
      <c r="D220" s="164">
        <v>0</v>
      </c>
      <c r="E220" s="165">
        <f>IF((65-Tbl_HPGeneralCalcs[[#This Row],[Temperature, °F]])*Tbl_HPGeneralCalcs[[#This Row],[Number of hours]]&lt;0,0,(65-Tbl_HPGeneralCalcs[[#This Row],[Temperature, °F]])*Tbl_HPGeneralCalcs[[#This Row],[Number of hours]])</f>
        <v>0</v>
      </c>
      <c r="F220" s="165">
        <f>(Tbl_HPGeneralCalcs[[#This Row],[Heating-degree hours (MMBtu)]]/SUM(Tbl_HPGeneralCalcs[Heating-degree hours (MMBtu)]))*$S$30*10^6</f>
        <v>0</v>
      </c>
      <c r="G220" s="165">
        <f>IF(Tbl_HPGeneralCalcs[[#This Row],[Temperature, °F]]&lt;=RESISTANCE_HEAT_THRESHOLD,1,IF($D$33+$D$34*Tbl_HPGeneralCalcs[[#This Row],[Temperature, °F]]&lt;1,1,($D$33+$D$34*Tbl_HPGeneralCalcs[[#This Row],[Temperature, °F]])*INPUT_HEATPUMP_EFFICIENCY_FACTOR))</f>
        <v>6.3788999999999998</v>
      </c>
      <c r="H220" s="165">
        <f>KWH_PER_BTU*Tbl_HPGeneralCalcs[[#This Row],[heating load (Btu)]]/Tbl_HPGeneralCalcs[[#This Row],[COP - CHP]]</f>
        <v>0</v>
      </c>
      <c r="I220" s="165">
        <f>HPFUELCALC_REF_FUELPOWER_KW*HPFUELCALC_REF_FUELPOWER_CF*Tbl_HPGeneralCalcs[[#This Row],[Number of hours]]</f>
        <v>0</v>
      </c>
      <c r="J220" s="165">
        <f>Tbl_HPGeneralCalcs[[#This Row],[heating load (Btu)]]/HPFUELCALC_REF_AFUE/100000</f>
        <v>0</v>
      </c>
      <c r="K220" s="165">
        <f>IF(Tbl_HPGeneralCalcs[[#This Row],[Temperature, °F]]&lt;=RESISTANCE_HEAT_THRESHOLD,1,IF($H$33+$H$34*Tbl_HPGeneralCalcs[[#This Row],[Temperature, °F]]&lt;1,1,($H$33+$H$34*Tbl_HPGeneralCalcs[[#This Row],[Temperature, °F]])*INPUT_HEATPUMP_EFFICIENCY_FACTOR))</f>
        <v>4.6821999999999999</v>
      </c>
      <c r="L220" s="165">
        <f>KWH_PER_BTU*Tbl_HPGeneralCalcs[[#This Row],[heating load (Btu)]]/Tbl_HPGeneralCalcs[[#This Row],[COP - DMSHP]]</f>
        <v>0</v>
      </c>
      <c r="M220" s="165">
        <f>HPFUELCALC_REF_DMSHPFAN*HPFUELCALC_REF_DMSHPFAN_CF*Tbl_HPGeneralCalcs[[#This Row],[Number of hours]]</f>
        <v>0</v>
      </c>
      <c r="N220" s="165">
        <f>Tbl_HPGeneralCalcs[[#This Row],[heating load (Btu)]]/HPFUELCALC_REF_AFUE/100000</f>
        <v>0</v>
      </c>
    </row>
    <row r="221" spans="2:14" x14ac:dyDescent="0.2">
      <c r="B221" s="16"/>
      <c r="C221" s="164">
        <v>105</v>
      </c>
      <c r="D221" s="164">
        <v>0</v>
      </c>
      <c r="E221" s="165">
        <f>IF((65-Tbl_HPGeneralCalcs[[#This Row],[Temperature, °F]])*Tbl_HPGeneralCalcs[[#This Row],[Number of hours]]&lt;0,0,(65-Tbl_HPGeneralCalcs[[#This Row],[Temperature, °F]])*Tbl_HPGeneralCalcs[[#This Row],[Number of hours]])</f>
        <v>0</v>
      </c>
      <c r="F221" s="165">
        <f>(Tbl_HPGeneralCalcs[[#This Row],[Heating-degree hours (MMBtu)]]/SUM(Tbl_HPGeneralCalcs[Heating-degree hours (MMBtu)]))*$S$30*10^6</f>
        <v>0</v>
      </c>
      <c r="G221" s="165">
        <f>IF(Tbl_HPGeneralCalcs[[#This Row],[Temperature, °F]]&lt;=RESISTANCE_HEAT_THRESHOLD,1,IF($D$33+$D$34*Tbl_HPGeneralCalcs[[#This Row],[Temperature, °F]]&lt;1,1,($D$33+$D$34*Tbl_HPGeneralCalcs[[#This Row],[Temperature, °F]])*INPUT_HEATPUMP_EFFICIENCY_FACTOR))</f>
        <v>6.4241999999999999</v>
      </c>
      <c r="H221" s="165">
        <f>KWH_PER_BTU*Tbl_HPGeneralCalcs[[#This Row],[heating load (Btu)]]/Tbl_HPGeneralCalcs[[#This Row],[COP - CHP]]</f>
        <v>0</v>
      </c>
      <c r="I221" s="165">
        <f>HPFUELCALC_REF_FUELPOWER_KW*HPFUELCALC_REF_FUELPOWER_CF*Tbl_HPGeneralCalcs[[#This Row],[Number of hours]]</f>
        <v>0</v>
      </c>
      <c r="J221" s="165">
        <f>Tbl_HPGeneralCalcs[[#This Row],[heating load (Btu)]]/HPFUELCALC_REF_AFUE/100000</f>
        <v>0</v>
      </c>
      <c r="K221" s="165">
        <f>IF(Tbl_HPGeneralCalcs[[#This Row],[Temperature, °F]]&lt;=RESISTANCE_HEAT_THRESHOLD,1,IF($H$33+$H$34*Tbl_HPGeneralCalcs[[#This Row],[Temperature, °F]]&lt;1,1,($H$33+$H$34*Tbl_HPGeneralCalcs[[#This Row],[Temperature, °F]])*INPUT_HEATPUMP_EFFICIENCY_FACTOR))</f>
        <v>4.7093999999999996</v>
      </c>
      <c r="L221" s="165">
        <f>KWH_PER_BTU*Tbl_HPGeneralCalcs[[#This Row],[heating load (Btu)]]/Tbl_HPGeneralCalcs[[#This Row],[COP - DMSHP]]</f>
        <v>0</v>
      </c>
      <c r="M221" s="165">
        <f>HPFUELCALC_REF_DMSHPFAN*HPFUELCALC_REF_DMSHPFAN_CF*Tbl_HPGeneralCalcs[[#This Row],[Number of hours]]</f>
        <v>0</v>
      </c>
      <c r="N221" s="165">
        <f>Tbl_HPGeneralCalcs[[#This Row],[heating load (Btu)]]/HPFUELCALC_REF_AFUE/100000</f>
        <v>0</v>
      </c>
    </row>
    <row r="222" spans="2:14" x14ac:dyDescent="0.2">
      <c r="B222" s="16"/>
      <c r="C222" s="164">
        <v>106</v>
      </c>
      <c r="D222" s="164">
        <v>0</v>
      </c>
      <c r="E222" s="165">
        <f>IF((65-Tbl_HPGeneralCalcs[[#This Row],[Temperature, °F]])*Tbl_HPGeneralCalcs[[#This Row],[Number of hours]]&lt;0,0,(65-Tbl_HPGeneralCalcs[[#This Row],[Temperature, °F]])*Tbl_HPGeneralCalcs[[#This Row],[Number of hours]])</f>
        <v>0</v>
      </c>
      <c r="F222" s="165">
        <f>(Tbl_HPGeneralCalcs[[#This Row],[Heating-degree hours (MMBtu)]]/SUM(Tbl_HPGeneralCalcs[Heating-degree hours (MMBtu)]))*$S$30*10^6</f>
        <v>0</v>
      </c>
      <c r="G222" s="165">
        <f>IF(Tbl_HPGeneralCalcs[[#This Row],[Temperature, °F]]&lt;=RESISTANCE_HEAT_THRESHOLD,1,IF($D$33+$D$34*Tbl_HPGeneralCalcs[[#This Row],[Temperature, °F]]&lt;1,1,($D$33+$D$34*Tbl_HPGeneralCalcs[[#This Row],[Temperature, °F]])*INPUT_HEATPUMP_EFFICIENCY_FACTOR))</f>
        <v>6.4695</v>
      </c>
      <c r="H222" s="165">
        <f>KWH_PER_BTU*Tbl_HPGeneralCalcs[[#This Row],[heating load (Btu)]]/Tbl_HPGeneralCalcs[[#This Row],[COP - CHP]]</f>
        <v>0</v>
      </c>
      <c r="I222" s="165">
        <f>HPFUELCALC_REF_FUELPOWER_KW*HPFUELCALC_REF_FUELPOWER_CF*Tbl_HPGeneralCalcs[[#This Row],[Number of hours]]</f>
        <v>0</v>
      </c>
      <c r="J222" s="165">
        <f>Tbl_HPGeneralCalcs[[#This Row],[heating load (Btu)]]/HPFUELCALC_REF_AFUE/100000</f>
        <v>0</v>
      </c>
      <c r="K222" s="165">
        <f>IF(Tbl_HPGeneralCalcs[[#This Row],[Temperature, °F]]&lt;=RESISTANCE_HEAT_THRESHOLD,1,IF($H$33+$H$34*Tbl_HPGeneralCalcs[[#This Row],[Temperature, °F]]&lt;1,1,($H$33+$H$34*Tbl_HPGeneralCalcs[[#This Row],[Temperature, °F]])*INPUT_HEATPUMP_EFFICIENCY_FACTOR))</f>
        <v>4.7366000000000001</v>
      </c>
      <c r="L222" s="165">
        <f>KWH_PER_BTU*Tbl_HPGeneralCalcs[[#This Row],[heating load (Btu)]]/Tbl_HPGeneralCalcs[[#This Row],[COP - DMSHP]]</f>
        <v>0</v>
      </c>
      <c r="M222" s="165">
        <f>HPFUELCALC_REF_DMSHPFAN*HPFUELCALC_REF_DMSHPFAN_CF*Tbl_HPGeneralCalcs[[#This Row],[Number of hours]]</f>
        <v>0</v>
      </c>
      <c r="N222" s="165">
        <f>Tbl_HPGeneralCalcs[[#This Row],[heating load (Btu)]]/HPFUELCALC_REF_AFUE/100000</f>
        <v>0</v>
      </c>
    </row>
    <row r="223" spans="2:14" x14ac:dyDescent="0.2">
      <c r="B223" s="16"/>
      <c r="C223" s="164">
        <v>107</v>
      </c>
      <c r="D223" s="164">
        <v>0</v>
      </c>
      <c r="E223" s="165">
        <f>IF((65-Tbl_HPGeneralCalcs[[#This Row],[Temperature, °F]])*Tbl_HPGeneralCalcs[[#This Row],[Number of hours]]&lt;0,0,(65-Tbl_HPGeneralCalcs[[#This Row],[Temperature, °F]])*Tbl_HPGeneralCalcs[[#This Row],[Number of hours]])</f>
        <v>0</v>
      </c>
      <c r="F223" s="165">
        <f>(Tbl_HPGeneralCalcs[[#This Row],[Heating-degree hours (MMBtu)]]/SUM(Tbl_HPGeneralCalcs[Heating-degree hours (MMBtu)]))*$S$30*10^6</f>
        <v>0</v>
      </c>
      <c r="G223" s="165">
        <f>IF(Tbl_HPGeneralCalcs[[#This Row],[Temperature, °F]]&lt;=RESISTANCE_HEAT_THRESHOLD,1,IF($D$33+$D$34*Tbl_HPGeneralCalcs[[#This Row],[Temperature, °F]]&lt;1,1,($D$33+$D$34*Tbl_HPGeneralCalcs[[#This Row],[Temperature, °F]])*INPUT_HEATPUMP_EFFICIENCY_FACTOR))</f>
        <v>6.5148000000000001</v>
      </c>
      <c r="H223" s="165">
        <f>KWH_PER_BTU*Tbl_HPGeneralCalcs[[#This Row],[heating load (Btu)]]/Tbl_HPGeneralCalcs[[#This Row],[COP - CHP]]</f>
        <v>0</v>
      </c>
      <c r="I223" s="165">
        <f>HPFUELCALC_REF_FUELPOWER_KW*HPFUELCALC_REF_FUELPOWER_CF*Tbl_HPGeneralCalcs[[#This Row],[Number of hours]]</f>
        <v>0</v>
      </c>
      <c r="J223" s="165">
        <f>Tbl_HPGeneralCalcs[[#This Row],[heating load (Btu)]]/HPFUELCALC_REF_AFUE/100000</f>
        <v>0</v>
      </c>
      <c r="K223" s="165">
        <f>IF(Tbl_HPGeneralCalcs[[#This Row],[Temperature, °F]]&lt;=RESISTANCE_HEAT_THRESHOLD,1,IF($H$33+$H$34*Tbl_HPGeneralCalcs[[#This Row],[Temperature, °F]]&lt;1,1,($H$33+$H$34*Tbl_HPGeneralCalcs[[#This Row],[Temperature, °F]])*INPUT_HEATPUMP_EFFICIENCY_FACTOR))</f>
        <v>4.7637999999999998</v>
      </c>
      <c r="L223" s="165">
        <f>KWH_PER_BTU*Tbl_HPGeneralCalcs[[#This Row],[heating load (Btu)]]/Tbl_HPGeneralCalcs[[#This Row],[COP - DMSHP]]</f>
        <v>0</v>
      </c>
      <c r="M223" s="165">
        <f>HPFUELCALC_REF_DMSHPFAN*HPFUELCALC_REF_DMSHPFAN_CF*Tbl_HPGeneralCalcs[[#This Row],[Number of hours]]</f>
        <v>0</v>
      </c>
      <c r="N223" s="165">
        <f>Tbl_HPGeneralCalcs[[#This Row],[heating load (Btu)]]/HPFUELCALC_REF_AFUE/100000</f>
        <v>0</v>
      </c>
    </row>
    <row r="224" spans="2:14" x14ac:dyDescent="0.2">
      <c r="B224" s="16"/>
      <c r="C224" s="164">
        <v>108</v>
      </c>
      <c r="D224" s="164">
        <v>0</v>
      </c>
      <c r="E224" s="165">
        <f>IF((65-Tbl_HPGeneralCalcs[[#This Row],[Temperature, °F]])*Tbl_HPGeneralCalcs[[#This Row],[Number of hours]]&lt;0,0,(65-Tbl_HPGeneralCalcs[[#This Row],[Temperature, °F]])*Tbl_HPGeneralCalcs[[#This Row],[Number of hours]])</f>
        <v>0</v>
      </c>
      <c r="F224" s="165">
        <f>(Tbl_HPGeneralCalcs[[#This Row],[Heating-degree hours (MMBtu)]]/SUM(Tbl_HPGeneralCalcs[Heating-degree hours (MMBtu)]))*$S$30*10^6</f>
        <v>0</v>
      </c>
      <c r="G224" s="165">
        <f>IF(Tbl_HPGeneralCalcs[[#This Row],[Temperature, °F]]&lt;=RESISTANCE_HEAT_THRESHOLD,1,IF($D$33+$D$34*Tbl_HPGeneralCalcs[[#This Row],[Temperature, °F]]&lt;1,1,($D$33+$D$34*Tbl_HPGeneralCalcs[[#This Row],[Temperature, °F]])*INPUT_HEATPUMP_EFFICIENCY_FACTOR))</f>
        <v>6.5601000000000003</v>
      </c>
      <c r="H224" s="165">
        <f>KWH_PER_BTU*Tbl_HPGeneralCalcs[[#This Row],[heating load (Btu)]]/Tbl_HPGeneralCalcs[[#This Row],[COP - CHP]]</f>
        <v>0</v>
      </c>
      <c r="I224" s="165">
        <f>HPFUELCALC_REF_FUELPOWER_KW*HPFUELCALC_REF_FUELPOWER_CF*Tbl_HPGeneralCalcs[[#This Row],[Number of hours]]</f>
        <v>0</v>
      </c>
      <c r="J224" s="165">
        <f>Tbl_HPGeneralCalcs[[#This Row],[heating load (Btu)]]/HPFUELCALC_REF_AFUE/100000</f>
        <v>0</v>
      </c>
      <c r="K224" s="165">
        <f>IF(Tbl_HPGeneralCalcs[[#This Row],[Temperature, °F]]&lt;=RESISTANCE_HEAT_THRESHOLD,1,IF($H$33+$H$34*Tbl_HPGeneralCalcs[[#This Row],[Temperature, °F]]&lt;1,1,($H$33+$H$34*Tbl_HPGeneralCalcs[[#This Row],[Temperature, °F]])*INPUT_HEATPUMP_EFFICIENCY_FACTOR))</f>
        <v>4.7909999999999995</v>
      </c>
      <c r="L224" s="165">
        <f>KWH_PER_BTU*Tbl_HPGeneralCalcs[[#This Row],[heating load (Btu)]]/Tbl_HPGeneralCalcs[[#This Row],[COP - DMSHP]]</f>
        <v>0</v>
      </c>
      <c r="M224" s="165">
        <f>HPFUELCALC_REF_DMSHPFAN*HPFUELCALC_REF_DMSHPFAN_CF*Tbl_HPGeneralCalcs[[#This Row],[Number of hours]]</f>
        <v>0</v>
      </c>
      <c r="N224" s="165">
        <f>Tbl_HPGeneralCalcs[[#This Row],[heating load (Btu)]]/HPFUELCALC_REF_AFUE/100000</f>
        <v>0</v>
      </c>
    </row>
    <row r="225" spans="2:14" x14ac:dyDescent="0.2">
      <c r="B225" s="16"/>
      <c r="C225" s="164">
        <v>109</v>
      </c>
      <c r="D225" s="164">
        <v>0</v>
      </c>
      <c r="E225" s="165">
        <f>IF((65-Tbl_HPGeneralCalcs[[#This Row],[Temperature, °F]])*Tbl_HPGeneralCalcs[[#This Row],[Number of hours]]&lt;0,0,(65-Tbl_HPGeneralCalcs[[#This Row],[Temperature, °F]])*Tbl_HPGeneralCalcs[[#This Row],[Number of hours]])</f>
        <v>0</v>
      </c>
      <c r="F225" s="165">
        <f>(Tbl_HPGeneralCalcs[[#This Row],[Heating-degree hours (MMBtu)]]/SUM(Tbl_HPGeneralCalcs[Heating-degree hours (MMBtu)]))*$S$30*10^6</f>
        <v>0</v>
      </c>
      <c r="G225" s="165">
        <f>IF(Tbl_HPGeneralCalcs[[#This Row],[Temperature, °F]]&lt;=RESISTANCE_HEAT_THRESHOLD,1,IF($D$33+$D$34*Tbl_HPGeneralCalcs[[#This Row],[Temperature, °F]]&lt;1,1,($D$33+$D$34*Tbl_HPGeneralCalcs[[#This Row],[Temperature, °F]])*INPUT_HEATPUMP_EFFICIENCY_FACTOR))</f>
        <v>6.6054000000000004</v>
      </c>
      <c r="H225" s="165">
        <f>KWH_PER_BTU*Tbl_HPGeneralCalcs[[#This Row],[heating load (Btu)]]/Tbl_HPGeneralCalcs[[#This Row],[COP - CHP]]</f>
        <v>0</v>
      </c>
      <c r="I225" s="165">
        <f>HPFUELCALC_REF_FUELPOWER_KW*HPFUELCALC_REF_FUELPOWER_CF*Tbl_HPGeneralCalcs[[#This Row],[Number of hours]]</f>
        <v>0</v>
      </c>
      <c r="J225" s="165">
        <f>Tbl_HPGeneralCalcs[[#This Row],[heating load (Btu)]]/HPFUELCALC_REF_AFUE/100000</f>
        <v>0</v>
      </c>
      <c r="K225" s="165">
        <f>IF(Tbl_HPGeneralCalcs[[#This Row],[Temperature, °F]]&lt;=RESISTANCE_HEAT_THRESHOLD,1,IF($H$33+$H$34*Tbl_HPGeneralCalcs[[#This Row],[Temperature, °F]]&lt;1,1,($H$33+$H$34*Tbl_HPGeneralCalcs[[#This Row],[Temperature, °F]])*INPUT_HEATPUMP_EFFICIENCY_FACTOR))</f>
        <v>4.8182</v>
      </c>
      <c r="L225" s="165">
        <f>KWH_PER_BTU*Tbl_HPGeneralCalcs[[#This Row],[heating load (Btu)]]/Tbl_HPGeneralCalcs[[#This Row],[COP - DMSHP]]</f>
        <v>0</v>
      </c>
      <c r="M225" s="165">
        <f>HPFUELCALC_REF_DMSHPFAN*HPFUELCALC_REF_DMSHPFAN_CF*Tbl_HPGeneralCalcs[[#This Row],[Number of hours]]</f>
        <v>0</v>
      </c>
      <c r="N225" s="165">
        <f>Tbl_HPGeneralCalcs[[#This Row],[heating load (Btu)]]/HPFUELCALC_REF_AFUE/100000</f>
        <v>0</v>
      </c>
    </row>
    <row r="226" spans="2:14" x14ac:dyDescent="0.2">
      <c r="B226" s="16"/>
      <c r="C226" s="164">
        <v>110</v>
      </c>
      <c r="D226" s="164">
        <v>0</v>
      </c>
      <c r="E226" s="165">
        <f>IF((65-Tbl_HPGeneralCalcs[[#This Row],[Temperature, °F]])*Tbl_HPGeneralCalcs[[#This Row],[Number of hours]]&lt;0,0,(65-Tbl_HPGeneralCalcs[[#This Row],[Temperature, °F]])*Tbl_HPGeneralCalcs[[#This Row],[Number of hours]])</f>
        <v>0</v>
      </c>
      <c r="F226" s="165">
        <f>(Tbl_HPGeneralCalcs[[#This Row],[Heating-degree hours (MMBtu)]]/SUM(Tbl_HPGeneralCalcs[Heating-degree hours (MMBtu)]))*$S$30*10^6</f>
        <v>0</v>
      </c>
      <c r="G226" s="165">
        <f>IF(Tbl_HPGeneralCalcs[[#This Row],[Temperature, °F]]&lt;=RESISTANCE_HEAT_THRESHOLD,1,IF($D$33+$D$34*Tbl_HPGeneralCalcs[[#This Row],[Temperature, °F]]&lt;1,1,($D$33+$D$34*Tbl_HPGeneralCalcs[[#This Row],[Temperature, °F]])*INPUT_HEATPUMP_EFFICIENCY_FACTOR))</f>
        <v>6.6506999999999996</v>
      </c>
      <c r="H226" s="165">
        <f>KWH_PER_BTU*Tbl_HPGeneralCalcs[[#This Row],[heating load (Btu)]]/Tbl_HPGeneralCalcs[[#This Row],[COP - CHP]]</f>
        <v>0</v>
      </c>
      <c r="I226" s="165">
        <f>HPFUELCALC_REF_FUELPOWER_KW*HPFUELCALC_REF_FUELPOWER_CF*Tbl_HPGeneralCalcs[[#This Row],[Number of hours]]</f>
        <v>0</v>
      </c>
      <c r="J226" s="165">
        <f>Tbl_HPGeneralCalcs[[#This Row],[heating load (Btu)]]/HPFUELCALC_REF_AFUE/100000</f>
        <v>0</v>
      </c>
      <c r="K226" s="165">
        <f>IF(Tbl_HPGeneralCalcs[[#This Row],[Temperature, °F]]&lt;=RESISTANCE_HEAT_THRESHOLD,1,IF($H$33+$H$34*Tbl_HPGeneralCalcs[[#This Row],[Temperature, °F]]&lt;1,1,($H$33+$H$34*Tbl_HPGeneralCalcs[[#This Row],[Temperature, °F]])*INPUT_HEATPUMP_EFFICIENCY_FACTOR))</f>
        <v>4.8453999999999997</v>
      </c>
      <c r="L226" s="165">
        <f>KWH_PER_BTU*Tbl_HPGeneralCalcs[[#This Row],[heating load (Btu)]]/Tbl_HPGeneralCalcs[[#This Row],[COP - DMSHP]]</f>
        <v>0</v>
      </c>
      <c r="M226" s="165">
        <f>HPFUELCALC_REF_DMSHPFAN*HPFUELCALC_REF_DMSHPFAN_CF*Tbl_HPGeneralCalcs[[#This Row],[Number of hours]]</f>
        <v>0</v>
      </c>
      <c r="N226" s="165">
        <f>Tbl_HPGeneralCalcs[[#This Row],[heating load (Btu)]]/HPFUELCALC_REF_AFUE/100000</f>
        <v>0</v>
      </c>
    </row>
    <row r="227" spans="2:14" x14ac:dyDescent="0.2">
      <c r="B227" s="16"/>
    </row>
    <row r="228" spans="2:14" x14ac:dyDescent="0.2">
      <c r="B228" s="16"/>
    </row>
    <row r="229" spans="2:14" x14ac:dyDescent="0.2">
      <c r="B229" s="16"/>
    </row>
    <row r="230" spans="2:14" x14ac:dyDescent="0.2">
      <c r="B230" s="16"/>
    </row>
    <row r="231" spans="2:14" x14ac:dyDescent="0.2">
      <c r="B231" s="16"/>
    </row>
    <row r="232" spans="2:14" x14ac:dyDescent="0.2">
      <c r="B232" s="16"/>
    </row>
    <row r="233" spans="2:14" x14ac:dyDescent="0.2">
      <c r="B233" s="16"/>
    </row>
    <row r="234" spans="2:14" x14ac:dyDescent="0.2">
      <c r="B234" s="16"/>
    </row>
    <row r="235" spans="2:14" x14ac:dyDescent="0.2">
      <c r="B235" s="16"/>
    </row>
    <row r="236" spans="2:14" x14ac:dyDescent="0.2">
      <c r="B236" s="16"/>
    </row>
    <row r="237" spans="2:14" x14ac:dyDescent="0.2">
      <c r="B237" s="16"/>
    </row>
    <row r="238" spans="2:14" x14ac:dyDescent="0.2">
      <c r="B238" s="16"/>
    </row>
    <row r="239" spans="2:14" x14ac:dyDescent="0.2">
      <c r="B239" s="16"/>
    </row>
    <row r="240" spans="2:14" x14ac:dyDescent="0.2">
      <c r="B240" s="16"/>
    </row>
    <row r="241" spans="2:2" x14ac:dyDescent="0.2">
      <c r="B241" s="16"/>
    </row>
    <row r="242" spans="2:2" x14ac:dyDescent="0.2">
      <c r="B242" s="16"/>
    </row>
    <row r="243" spans="2:2" x14ac:dyDescent="0.2">
      <c r="B243" s="16"/>
    </row>
    <row r="244" spans="2:2" x14ac:dyDescent="0.2">
      <c r="B244" s="16"/>
    </row>
    <row r="245" spans="2:2" x14ac:dyDescent="0.2">
      <c r="B245" s="16"/>
    </row>
    <row r="246" spans="2:2" x14ac:dyDescent="0.2">
      <c r="B246" s="16"/>
    </row>
    <row r="247" spans="2:2" x14ac:dyDescent="0.2">
      <c r="B247" s="16"/>
    </row>
    <row r="248" spans="2:2" x14ac:dyDescent="0.2">
      <c r="B248" s="16"/>
    </row>
    <row r="249" spans="2:2" x14ac:dyDescent="0.2">
      <c r="B249" s="16"/>
    </row>
    <row r="250" spans="2:2" x14ac:dyDescent="0.2">
      <c r="B250" s="16"/>
    </row>
    <row r="251" spans="2:2" x14ac:dyDescent="0.2">
      <c r="B251" s="16"/>
    </row>
    <row r="252" spans="2:2" x14ac:dyDescent="0.2">
      <c r="B252" s="16"/>
    </row>
    <row r="253" spans="2:2" x14ac:dyDescent="0.2">
      <c r="B253" s="16"/>
    </row>
    <row r="254" spans="2:2" x14ac:dyDescent="0.2">
      <c r="B254" s="16"/>
    </row>
    <row r="255" spans="2:2" x14ac:dyDescent="0.2">
      <c r="B255" s="16"/>
    </row>
    <row r="256" spans="2:2" x14ac:dyDescent="0.2">
      <c r="B256" s="16"/>
    </row>
    <row r="257" spans="2:2" x14ac:dyDescent="0.2">
      <c r="B257" s="16"/>
    </row>
    <row r="258" spans="2:2" x14ac:dyDescent="0.2">
      <c r="B258" s="16"/>
    </row>
    <row r="259" spans="2:2" x14ac:dyDescent="0.2">
      <c r="B259" s="16"/>
    </row>
    <row r="260" spans="2:2" x14ac:dyDescent="0.2">
      <c r="B260" s="16"/>
    </row>
    <row r="261" spans="2:2" x14ac:dyDescent="0.2">
      <c r="B261" s="16"/>
    </row>
    <row r="262" spans="2:2" x14ac:dyDescent="0.2">
      <c r="B262" s="16"/>
    </row>
    <row r="263" spans="2:2" x14ac:dyDescent="0.2">
      <c r="B263" s="16"/>
    </row>
    <row r="264" spans="2:2" x14ac:dyDescent="0.2">
      <c r="B264" s="16"/>
    </row>
    <row r="265" spans="2:2" x14ac:dyDescent="0.2">
      <c r="B265" s="16"/>
    </row>
    <row r="266" spans="2:2" x14ac:dyDescent="0.2">
      <c r="B266" s="16"/>
    </row>
    <row r="267" spans="2:2" x14ac:dyDescent="0.2">
      <c r="B267" s="16"/>
    </row>
    <row r="268" spans="2:2" x14ac:dyDescent="0.2">
      <c r="B268" s="16"/>
    </row>
    <row r="269" spans="2:2" x14ac:dyDescent="0.2">
      <c r="B269" s="16"/>
    </row>
    <row r="270" spans="2:2" x14ac:dyDescent="0.2">
      <c r="B270" s="16"/>
    </row>
    <row r="271" spans="2:2" x14ac:dyDescent="0.2">
      <c r="B271" s="16"/>
    </row>
    <row r="272" spans="2:2" x14ac:dyDescent="0.2">
      <c r="B272" s="16"/>
    </row>
    <row r="273" spans="2:2" x14ac:dyDescent="0.2">
      <c r="B273" s="16"/>
    </row>
    <row r="274" spans="2:2" x14ac:dyDescent="0.2">
      <c r="B274" s="16"/>
    </row>
    <row r="275" spans="2:2" x14ac:dyDescent="0.2">
      <c r="B275" s="16"/>
    </row>
    <row r="276" spans="2:2" x14ac:dyDescent="0.2">
      <c r="B276" s="16"/>
    </row>
    <row r="277" spans="2:2" x14ac:dyDescent="0.2">
      <c r="B277" s="16"/>
    </row>
    <row r="278" spans="2:2" x14ac:dyDescent="0.2">
      <c r="B278" s="16"/>
    </row>
    <row r="279" spans="2:2" x14ac:dyDescent="0.2">
      <c r="B279" s="16"/>
    </row>
    <row r="280" spans="2:2" x14ac:dyDescent="0.2">
      <c r="B280" s="16"/>
    </row>
    <row r="281" spans="2:2" x14ac:dyDescent="0.2">
      <c r="B281" s="16"/>
    </row>
    <row r="282" spans="2:2" x14ac:dyDescent="0.2">
      <c r="B282" s="16"/>
    </row>
    <row r="283" spans="2:2" x14ac:dyDescent="0.2">
      <c r="B283" s="16"/>
    </row>
    <row r="284" spans="2:2" x14ac:dyDescent="0.2">
      <c r="B284" s="16"/>
    </row>
    <row r="285" spans="2:2" x14ac:dyDescent="0.2">
      <c r="B285" s="16"/>
    </row>
    <row r="286" spans="2:2" x14ac:dyDescent="0.2">
      <c r="B286" s="16"/>
    </row>
    <row r="287" spans="2:2" x14ac:dyDescent="0.2">
      <c r="B287" s="16"/>
    </row>
    <row r="288" spans="2:2" x14ac:dyDescent="0.2">
      <c r="B288" s="16"/>
    </row>
    <row r="289" spans="2:2" x14ac:dyDescent="0.2">
      <c r="B289" s="16"/>
    </row>
    <row r="290" spans="2:2" x14ac:dyDescent="0.2">
      <c r="B290" s="16"/>
    </row>
    <row r="291" spans="2:2" x14ac:dyDescent="0.2">
      <c r="B291" s="16"/>
    </row>
    <row r="292" spans="2:2" x14ac:dyDescent="0.2">
      <c r="B292" s="16"/>
    </row>
    <row r="293" spans="2:2" x14ac:dyDescent="0.2">
      <c r="B293" s="16"/>
    </row>
    <row r="294" spans="2:2" x14ac:dyDescent="0.2">
      <c r="B294" s="16"/>
    </row>
    <row r="295" spans="2:2" x14ac:dyDescent="0.2">
      <c r="B295" s="16"/>
    </row>
    <row r="296" spans="2:2" x14ac:dyDescent="0.2">
      <c r="B296" s="16"/>
    </row>
    <row r="297" spans="2:2" x14ac:dyDescent="0.2">
      <c r="B297" s="16"/>
    </row>
    <row r="298" spans="2:2" x14ac:dyDescent="0.2">
      <c r="B298" s="16"/>
    </row>
    <row r="299" spans="2:2" x14ac:dyDescent="0.2">
      <c r="B299" s="16"/>
    </row>
    <row r="300" spans="2:2" x14ac:dyDescent="0.2">
      <c r="B300" s="16"/>
    </row>
    <row r="301" spans="2:2" x14ac:dyDescent="0.2">
      <c r="B301" s="16"/>
    </row>
    <row r="302" spans="2:2" x14ac:dyDescent="0.2">
      <c r="B302" s="16"/>
    </row>
    <row r="303" spans="2:2" x14ac:dyDescent="0.2">
      <c r="B303" s="16"/>
    </row>
    <row r="304" spans="2:2" x14ac:dyDescent="0.2">
      <c r="B304" s="16"/>
    </row>
    <row r="305" spans="2:2" x14ac:dyDescent="0.2">
      <c r="B305" s="16"/>
    </row>
    <row r="306" spans="2:2" x14ac:dyDescent="0.2">
      <c r="B306" s="16"/>
    </row>
    <row r="307" spans="2:2" x14ac:dyDescent="0.2">
      <c r="B307" s="16"/>
    </row>
    <row r="308" spans="2:2" x14ac:dyDescent="0.2">
      <c r="B308" s="16"/>
    </row>
    <row r="309" spans="2:2" x14ac:dyDescent="0.2">
      <c r="B309" s="16"/>
    </row>
    <row r="310" spans="2:2" x14ac:dyDescent="0.2">
      <c r="B310" s="16"/>
    </row>
    <row r="311" spans="2:2" x14ac:dyDescent="0.2">
      <c r="B311" s="16"/>
    </row>
    <row r="312" spans="2:2" x14ac:dyDescent="0.2">
      <c r="B312" s="16"/>
    </row>
    <row r="313" spans="2:2" x14ac:dyDescent="0.2">
      <c r="B313" s="16"/>
    </row>
    <row r="314" spans="2:2" x14ac:dyDescent="0.2">
      <c r="B314" s="16"/>
    </row>
    <row r="315" spans="2:2" x14ac:dyDescent="0.2">
      <c r="B315" s="16"/>
    </row>
    <row r="316" spans="2:2" x14ac:dyDescent="0.2">
      <c r="B316" s="16"/>
    </row>
    <row r="317" spans="2:2" x14ac:dyDescent="0.2">
      <c r="B317" s="16"/>
    </row>
    <row r="318" spans="2:2" x14ac:dyDescent="0.2">
      <c r="B318" s="16"/>
    </row>
    <row r="319" spans="2:2" x14ac:dyDescent="0.2">
      <c r="B319" s="16"/>
    </row>
    <row r="320" spans="2:2" x14ac:dyDescent="0.2">
      <c r="B320" s="16"/>
    </row>
    <row r="321" spans="2:2" x14ac:dyDescent="0.2">
      <c r="B321" s="16"/>
    </row>
    <row r="322" spans="2:2" x14ac:dyDescent="0.2">
      <c r="B322" s="16"/>
    </row>
    <row r="323" spans="2:2" x14ac:dyDescent="0.2">
      <c r="B323" s="16"/>
    </row>
    <row r="324" spans="2:2" x14ac:dyDescent="0.2">
      <c r="B324" s="16"/>
    </row>
    <row r="325" spans="2:2" x14ac:dyDescent="0.2">
      <c r="B325" s="16"/>
    </row>
    <row r="326" spans="2:2" x14ac:dyDescent="0.2">
      <c r="B326" s="16"/>
    </row>
    <row r="327" spans="2:2" x14ac:dyDescent="0.2">
      <c r="B327" s="16"/>
    </row>
    <row r="328" spans="2:2" x14ac:dyDescent="0.2">
      <c r="B328" s="16"/>
    </row>
    <row r="329" spans="2:2" x14ac:dyDescent="0.2">
      <c r="B329" s="16"/>
    </row>
    <row r="330" spans="2:2" x14ac:dyDescent="0.2">
      <c r="B330" s="16"/>
    </row>
    <row r="331" spans="2:2" x14ac:dyDescent="0.2">
      <c r="B331" s="16"/>
    </row>
    <row r="332" spans="2:2" x14ac:dyDescent="0.2">
      <c r="B332" s="16"/>
    </row>
    <row r="333" spans="2:2" x14ac:dyDescent="0.2">
      <c r="B333" s="16"/>
    </row>
    <row r="334" spans="2:2" x14ac:dyDescent="0.2">
      <c r="B334" s="16"/>
    </row>
    <row r="335" spans="2:2" x14ac:dyDescent="0.2">
      <c r="B335" s="16"/>
    </row>
    <row r="336" spans="2:2" x14ac:dyDescent="0.2">
      <c r="B336" s="16"/>
    </row>
    <row r="337" spans="2:2" x14ac:dyDescent="0.2">
      <c r="B337" s="16"/>
    </row>
    <row r="338" spans="2:2" x14ac:dyDescent="0.2">
      <c r="B338" s="16"/>
    </row>
    <row r="339" spans="2:2" x14ac:dyDescent="0.2">
      <c r="B339" s="16"/>
    </row>
    <row r="340" spans="2:2" x14ac:dyDescent="0.2">
      <c r="B340" s="16"/>
    </row>
    <row r="341" spans="2:2" x14ac:dyDescent="0.2">
      <c r="B341" s="16"/>
    </row>
    <row r="342" spans="2:2" x14ac:dyDescent="0.2">
      <c r="B342" s="16"/>
    </row>
    <row r="343" spans="2:2" x14ac:dyDescent="0.2">
      <c r="B343" s="16"/>
    </row>
    <row r="344" spans="2:2" x14ac:dyDescent="0.2">
      <c r="B344" s="16"/>
    </row>
    <row r="345" spans="2:2" x14ac:dyDescent="0.2">
      <c r="B345" s="16"/>
    </row>
    <row r="346" spans="2:2" x14ac:dyDescent="0.2">
      <c r="B346" s="16"/>
    </row>
    <row r="347" spans="2:2" x14ac:dyDescent="0.2">
      <c r="B347" s="16"/>
    </row>
    <row r="348" spans="2:2" x14ac:dyDescent="0.2">
      <c r="B348" s="16"/>
    </row>
    <row r="349" spans="2:2" x14ac:dyDescent="0.2">
      <c r="B349" s="16"/>
    </row>
    <row r="350" spans="2:2" x14ac:dyDescent="0.2">
      <c r="B350" s="16"/>
    </row>
    <row r="351" spans="2:2" x14ac:dyDescent="0.2">
      <c r="B351" s="16"/>
    </row>
    <row r="352" spans="2:2" x14ac:dyDescent="0.2">
      <c r="B352" s="16"/>
    </row>
    <row r="353" spans="2:2" x14ac:dyDescent="0.2">
      <c r="B353" s="16"/>
    </row>
    <row r="354" spans="2:2" x14ac:dyDescent="0.2">
      <c r="B354" s="16"/>
    </row>
    <row r="355" spans="2:2" x14ac:dyDescent="0.2">
      <c r="B355" s="16"/>
    </row>
    <row r="356" spans="2:2" x14ac:dyDescent="0.2">
      <c r="B356" s="16"/>
    </row>
    <row r="357" spans="2:2" x14ac:dyDescent="0.2">
      <c r="B357" s="16"/>
    </row>
    <row r="358" spans="2:2" x14ac:dyDescent="0.2">
      <c r="B358" s="16"/>
    </row>
    <row r="359" spans="2:2" x14ac:dyDescent="0.2">
      <c r="B359" s="16"/>
    </row>
    <row r="360" spans="2:2" x14ac:dyDescent="0.2">
      <c r="B360" s="16"/>
    </row>
    <row r="361" spans="2:2" x14ac:dyDescent="0.2">
      <c r="B361" s="16"/>
    </row>
    <row r="362" spans="2:2" x14ac:dyDescent="0.2">
      <c r="B362" s="16"/>
    </row>
    <row r="363" spans="2:2" x14ac:dyDescent="0.2">
      <c r="B363" s="16"/>
    </row>
    <row r="364" spans="2:2" x14ac:dyDescent="0.2">
      <c r="B364" s="16"/>
    </row>
    <row r="365" spans="2:2" x14ac:dyDescent="0.2">
      <c r="B365" s="16"/>
    </row>
    <row r="366" spans="2:2" x14ac:dyDescent="0.2">
      <c r="B366" s="16"/>
    </row>
    <row r="367" spans="2:2" x14ac:dyDescent="0.2">
      <c r="B367" s="16"/>
    </row>
    <row r="368" spans="2:2" x14ac:dyDescent="0.2">
      <c r="B368" s="16"/>
    </row>
    <row r="369" spans="2:2" x14ac:dyDescent="0.2">
      <c r="B369" s="16"/>
    </row>
    <row r="370" spans="2:2" x14ac:dyDescent="0.2">
      <c r="B370" s="16"/>
    </row>
    <row r="371" spans="2:2" x14ac:dyDescent="0.2">
      <c r="B371" s="16"/>
    </row>
    <row r="372" spans="2:2" x14ac:dyDescent="0.2">
      <c r="B372" s="16"/>
    </row>
    <row r="373" spans="2:2" x14ac:dyDescent="0.2">
      <c r="B373" s="16"/>
    </row>
    <row r="374" spans="2:2" x14ac:dyDescent="0.2">
      <c r="B374" s="16"/>
    </row>
    <row r="375" spans="2:2" x14ac:dyDescent="0.2">
      <c r="B375" s="16"/>
    </row>
    <row r="376" spans="2:2" x14ac:dyDescent="0.2">
      <c r="B376" s="16"/>
    </row>
    <row r="377" spans="2:2" x14ac:dyDescent="0.2">
      <c r="B377" s="16"/>
    </row>
    <row r="378" spans="2:2" x14ac:dyDescent="0.2">
      <c r="B378" s="16"/>
    </row>
    <row r="379" spans="2:2" x14ac:dyDescent="0.2">
      <c r="B379" s="16"/>
    </row>
    <row r="380" spans="2:2" x14ac:dyDescent="0.2">
      <c r="B380" s="16"/>
    </row>
    <row r="381" spans="2:2" x14ac:dyDescent="0.2">
      <c r="B381" s="16"/>
    </row>
    <row r="382" spans="2:2" x14ac:dyDescent="0.2">
      <c r="B382" s="16"/>
    </row>
    <row r="383" spans="2:2" x14ac:dyDescent="0.2">
      <c r="B383" s="16"/>
    </row>
    <row r="384" spans="2:2" x14ac:dyDescent="0.2">
      <c r="B384" s="16"/>
    </row>
    <row r="385" spans="2:2" x14ac:dyDescent="0.2">
      <c r="B385" s="16"/>
    </row>
    <row r="386" spans="2:2" x14ac:dyDescent="0.2">
      <c r="B386" s="16"/>
    </row>
    <row r="387" spans="2:2" x14ac:dyDescent="0.2">
      <c r="B387" s="16"/>
    </row>
    <row r="388" spans="2:2" x14ac:dyDescent="0.2">
      <c r="B388" s="16"/>
    </row>
    <row r="389" spans="2:2" x14ac:dyDescent="0.2">
      <c r="B389" s="16"/>
    </row>
    <row r="390" spans="2:2" x14ac:dyDescent="0.2">
      <c r="B390" s="16"/>
    </row>
    <row r="391" spans="2:2" x14ac:dyDescent="0.2">
      <c r="B391" s="16"/>
    </row>
    <row r="392" spans="2:2" x14ac:dyDescent="0.2">
      <c r="B392" s="16"/>
    </row>
    <row r="393" spans="2:2" x14ac:dyDescent="0.2">
      <c r="B393" s="16"/>
    </row>
    <row r="394" spans="2:2" x14ac:dyDescent="0.2">
      <c r="B394" s="16"/>
    </row>
    <row r="395" spans="2:2" x14ac:dyDescent="0.2">
      <c r="B395" s="16"/>
    </row>
    <row r="396" spans="2:2" x14ac:dyDescent="0.2">
      <c r="B396" s="16"/>
    </row>
    <row r="397" spans="2:2" x14ac:dyDescent="0.2">
      <c r="B397" s="16"/>
    </row>
    <row r="398" spans="2:2" x14ac:dyDescent="0.2">
      <c r="B398" s="16"/>
    </row>
    <row r="399" spans="2:2" x14ac:dyDescent="0.2">
      <c r="B399" s="16"/>
    </row>
    <row r="400" spans="2:2" x14ac:dyDescent="0.2">
      <c r="B400" s="16"/>
    </row>
    <row r="401" spans="2:2" x14ac:dyDescent="0.2">
      <c r="B401" s="16"/>
    </row>
    <row r="402" spans="2:2" x14ac:dyDescent="0.2">
      <c r="B402" s="16"/>
    </row>
    <row r="403" spans="2:2" x14ac:dyDescent="0.2">
      <c r="B403" s="16"/>
    </row>
    <row r="404" spans="2:2" x14ac:dyDescent="0.2">
      <c r="B404" s="16"/>
    </row>
    <row r="405" spans="2:2" x14ac:dyDescent="0.2">
      <c r="B405" s="16"/>
    </row>
    <row r="406" spans="2:2" x14ac:dyDescent="0.2">
      <c r="B406" s="16"/>
    </row>
    <row r="407" spans="2:2" x14ac:dyDescent="0.2">
      <c r="B407" s="16"/>
    </row>
    <row r="408" spans="2:2" x14ac:dyDescent="0.2">
      <c r="B408" s="16"/>
    </row>
    <row r="409" spans="2:2" x14ac:dyDescent="0.2">
      <c r="B409" s="16"/>
    </row>
    <row r="410" spans="2:2" x14ac:dyDescent="0.2">
      <c r="B410" s="16"/>
    </row>
    <row r="411" spans="2:2" x14ac:dyDescent="0.2">
      <c r="B411" s="16"/>
    </row>
    <row r="412" spans="2:2" x14ac:dyDescent="0.2">
      <c r="B412" s="16"/>
    </row>
    <row r="413" spans="2:2" x14ac:dyDescent="0.2">
      <c r="B413" s="16"/>
    </row>
    <row r="414" spans="2:2" x14ac:dyDescent="0.2">
      <c r="B414" s="16"/>
    </row>
    <row r="415" spans="2:2" x14ac:dyDescent="0.2">
      <c r="B415" s="16"/>
    </row>
    <row r="416" spans="2:2" x14ac:dyDescent="0.2">
      <c r="B416" s="16"/>
    </row>
    <row r="417" spans="2:2" x14ac:dyDescent="0.2">
      <c r="B417" s="16"/>
    </row>
    <row r="418" spans="2:2" x14ac:dyDescent="0.2">
      <c r="B418" s="16"/>
    </row>
    <row r="419" spans="2:2" x14ac:dyDescent="0.2">
      <c r="B419" s="16"/>
    </row>
    <row r="420" spans="2:2" x14ac:dyDescent="0.2">
      <c r="B420" s="16"/>
    </row>
    <row r="421" spans="2:2" x14ac:dyDescent="0.2">
      <c r="B421" s="16"/>
    </row>
    <row r="422" spans="2:2" x14ac:dyDescent="0.2">
      <c r="B422" s="16"/>
    </row>
    <row r="423" spans="2:2" x14ac:dyDescent="0.2">
      <c r="B423" s="16"/>
    </row>
    <row r="424" spans="2:2" x14ac:dyDescent="0.2">
      <c r="B424" s="16"/>
    </row>
    <row r="425" spans="2:2" x14ac:dyDescent="0.2">
      <c r="B425" s="16"/>
    </row>
    <row r="426" spans="2:2" x14ac:dyDescent="0.2">
      <c r="B426" s="16"/>
    </row>
    <row r="427" spans="2:2" x14ac:dyDescent="0.2">
      <c r="B427" s="16"/>
    </row>
    <row r="428" spans="2:2" x14ac:dyDescent="0.2">
      <c r="B428" s="16"/>
    </row>
    <row r="429" spans="2:2" x14ac:dyDescent="0.2">
      <c r="B429" s="16"/>
    </row>
    <row r="430" spans="2:2" x14ac:dyDescent="0.2">
      <c r="B430" s="16"/>
    </row>
    <row r="431" spans="2:2" x14ac:dyDescent="0.2">
      <c r="B431" s="16"/>
    </row>
    <row r="432" spans="2:2" x14ac:dyDescent="0.2">
      <c r="B432" s="16"/>
    </row>
    <row r="433" spans="2:2" x14ac:dyDescent="0.2">
      <c r="B433" s="16"/>
    </row>
    <row r="434" spans="2:2" x14ac:dyDescent="0.2">
      <c r="B434" s="16"/>
    </row>
    <row r="435" spans="2:2" x14ac:dyDescent="0.2">
      <c r="B435" s="16"/>
    </row>
    <row r="436" spans="2:2" x14ac:dyDescent="0.2">
      <c r="B436" s="16"/>
    </row>
    <row r="437" spans="2:2" x14ac:dyDescent="0.2">
      <c r="B437" s="16"/>
    </row>
    <row r="438" spans="2:2" x14ac:dyDescent="0.2">
      <c r="B438" s="16"/>
    </row>
    <row r="439" spans="2:2" x14ac:dyDescent="0.2">
      <c r="B439" s="16"/>
    </row>
    <row r="440" spans="2:2" x14ac:dyDescent="0.2">
      <c r="B440" s="16"/>
    </row>
    <row r="441" spans="2:2" x14ac:dyDescent="0.2">
      <c r="B441" s="16"/>
    </row>
    <row r="442" spans="2:2" x14ac:dyDescent="0.2">
      <c r="B442" s="16"/>
    </row>
    <row r="443" spans="2:2" x14ac:dyDescent="0.2">
      <c r="B443" s="16"/>
    </row>
    <row r="444" spans="2:2" x14ac:dyDescent="0.2">
      <c r="B444" s="16"/>
    </row>
    <row r="445" spans="2:2" x14ac:dyDescent="0.2">
      <c r="B445" s="16"/>
    </row>
    <row r="446" spans="2:2" x14ac:dyDescent="0.2">
      <c r="B446" s="16"/>
    </row>
    <row r="447" spans="2:2" x14ac:dyDescent="0.2">
      <c r="B447" s="16"/>
    </row>
    <row r="448" spans="2:2" x14ac:dyDescent="0.2">
      <c r="B448" s="16"/>
    </row>
    <row r="449" spans="2:2" x14ac:dyDescent="0.2">
      <c r="B449" s="16"/>
    </row>
    <row r="450" spans="2:2" x14ac:dyDescent="0.2">
      <c r="B450" s="16"/>
    </row>
    <row r="451" spans="2:2" x14ac:dyDescent="0.2">
      <c r="B451" s="16"/>
    </row>
    <row r="452" spans="2:2" x14ac:dyDescent="0.2">
      <c r="B452" s="16"/>
    </row>
    <row r="453" spans="2:2" x14ac:dyDescent="0.2">
      <c r="B453" s="16"/>
    </row>
    <row r="454" spans="2:2" x14ac:dyDescent="0.2">
      <c r="B454" s="16"/>
    </row>
    <row r="455" spans="2:2" x14ac:dyDescent="0.2">
      <c r="B455" s="16"/>
    </row>
    <row r="456" spans="2:2" x14ac:dyDescent="0.2">
      <c r="B456" s="16"/>
    </row>
    <row r="457" spans="2:2" x14ac:dyDescent="0.2">
      <c r="B457" s="16"/>
    </row>
    <row r="458" spans="2:2" x14ac:dyDescent="0.2">
      <c r="B458" s="16"/>
    </row>
    <row r="459" spans="2:2" x14ac:dyDescent="0.2">
      <c r="B459" s="16"/>
    </row>
    <row r="460" spans="2:2" x14ac:dyDescent="0.2">
      <c r="B460" s="16"/>
    </row>
    <row r="461" spans="2:2" x14ac:dyDescent="0.2">
      <c r="B461" s="16"/>
    </row>
    <row r="462" spans="2:2" x14ac:dyDescent="0.2">
      <c r="B462" s="16"/>
    </row>
    <row r="463" spans="2:2" x14ac:dyDescent="0.2">
      <c r="B463" s="16"/>
    </row>
    <row r="464" spans="2:2" x14ac:dyDescent="0.2">
      <c r="B464" s="16"/>
    </row>
    <row r="465" spans="2:2" x14ac:dyDescent="0.2">
      <c r="B465" s="16"/>
    </row>
    <row r="466" spans="2:2" x14ac:dyDescent="0.2">
      <c r="B466" s="16"/>
    </row>
    <row r="467" spans="2:2" x14ac:dyDescent="0.2">
      <c r="B467" s="16"/>
    </row>
    <row r="468" spans="2:2" x14ac:dyDescent="0.2">
      <c r="B468" s="16"/>
    </row>
    <row r="469" spans="2:2" x14ac:dyDescent="0.2">
      <c r="B469" s="16"/>
    </row>
    <row r="470" spans="2:2" x14ac:dyDescent="0.2">
      <c r="B470" s="16"/>
    </row>
    <row r="471" spans="2:2" x14ac:dyDescent="0.2">
      <c r="B471" s="16"/>
    </row>
    <row r="472" spans="2:2" x14ac:dyDescent="0.2">
      <c r="B472" s="16"/>
    </row>
    <row r="473" spans="2:2" x14ac:dyDescent="0.2">
      <c r="B473" s="16"/>
    </row>
    <row r="474" spans="2:2" x14ac:dyDescent="0.2">
      <c r="B474" s="16"/>
    </row>
    <row r="475" spans="2:2" x14ac:dyDescent="0.2">
      <c r="B475" s="16"/>
    </row>
    <row r="476" spans="2:2" x14ac:dyDescent="0.2">
      <c r="B476" s="16"/>
    </row>
    <row r="477" spans="2:2" x14ac:dyDescent="0.2">
      <c r="B477" s="16"/>
    </row>
    <row r="478" spans="2:2" x14ac:dyDescent="0.2">
      <c r="B478" s="16"/>
    </row>
    <row r="479" spans="2:2" x14ac:dyDescent="0.2">
      <c r="B479" s="16"/>
    </row>
    <row r="480" spans="2:2" x14ac:dyDescent="0.2">
      <c r="B480" s="16"/>
    </row>
    <row r="481" spans="2:2" x14ac:dyDescent="0.2">
      <c r="B481" s="16"/>
    </row>
    <row r="482" spans="2:2" x14ac:dyDescent="0.2">
      <c r="B482" s="16"/>
    </row>
    <row r="483" spans="2:2" x14ac:dyDescent="0.2">
      <c r="B483" s="16"/>
    </row>
    <row r="484" spans="2:2" x14ac:dyDescent="0.2">
      <c r="B484" s="16"/>
    </row>
    <row r="485" spans="2:2" x14ac:dyDescent="0.2">
      <c r="B485" s="16"/>
    </row>
    <row r="486" spans="2:2" x14ac:dyDescent="0.2">
      <c r="B486" s="16"/>
    </row>
    <row r="487" spans="2:2" x14ac:dyDescent="0.2">
      <c r="B487" s="16"/>
    </row>
    <row r="488" spans="2:2" x14ac:dyDescent="0.2">
      <c r="B488" s="16"/>
    </row>
    <row r="489" spans="2:2" x14ac:dyDescent="0.2">
      <c r="B489" s="16"/>
    </row>
    <row r="490" spans="2:2" x14ac:dyDescent="0.2">
      <c r="B490" s="16"/>
    </row>
    <row r="491" spans="2:2" x14ac:dyDescent="0.2">
      <c r="B491" s="16"/>
    </row>
    <row r="492" spans="2:2" x14ac:dyDescent="0.2">
      <c r="B492" s="16"/>
    </row>
    <row r="493" spans="2:2" x14ac:dyDescent="0.2">
      <c r="B493" s="16"/>
    </row>
    <row r="494" spans="2:2" x14ac:dyDescent="0.2">
      <c r="B494" s="16"/>
    </row>
    <row r="495" spans="2:2" x14ac:dyDescent="0.2">
      <c r="B495" s="16"/>
    </row>
    <row r="496" spans="2:2" x14ac:dyDescent="0.2">
      <c r="B496" s="16"/>
    </row>
    <row r="497" spans="2:2" x14ac:dyDescent="0.2">
      <c r="B497" s="16"/>
    </row>
    <row r="498" spans="2:2" x14ac:dyDescent="0.2">
      <c r="B498" s="16"/>
    </row>
    <row r="499" spans="2:2" x14ac:dyDescent="0.2">
      <c r="B499" s="16"/>
    </row>
    <row r="500" spans="2:2" x14ac:dyDescent="0.2">
      <c r="B500" s="16"/>
    </row>
    <row r="501" spans="2:2" x14ac:dyDescent="0.2">
      <c r="B501" s="16"/>
    </row>
    <row r="502" spans="2:2" x14ac:dyDescent="0.2">
      <c r="B502" s="16"/>
    </row>
    <row r="503" spans="2:2" x14ac:dyDescent="0.2">
      <c r="B503" s="16"/>
    </row>
    <row r="504" spans="2:2" x14ac:dyDescent="0.2">
      <c r="B504" s="16"/>
    </row>
    <row r="505" spans="2:2" x14ac:dyDescent="0.2">
      <c r="B505" s="16"/>
    </row>
    <row r="506" spans="2:2" x14ac:dyDescent="0.2">
      <c r="B506" s="16"/>
    </row>
    <row r="507" spans="2:2" x14ac:dyDescent="0.2">
      <c r="B507" s="16"/>
    </row>
    <row r="508" spans="2:2" x14ac:dyDescent="0.2">
      <c r="B508" s="16"/>
    </row>
    <row r="509" spans="2:2" x14ac:dyDescent="0.2">
      <c r="B509" s="16"/>
    </row>
    <row r="510" spans="2:2" x14ac:dyDescent="0.2">
      <c r="B510" s="16"/>
    </row>
    <row r="511" spans="2:2" x14ac:dyDescent="0.2">
      <c r="B511" s="16"/>
    </row>
    <row r="512" spans="2:2" x14ac:dyDescent="0.2">
      <c r="B512" s="16"/>
    </row>
    <row r="513" spans="2:2" x14ac:dyDescent="0.2">
      <c r="B513" s="16"/>
    </row>
    <row r="514" spans="2:2" x14ac:dyDescent="0.2">
      <c r="B514" s="16"/>
    </row>
    <row r="515" spans="2:2" x14ac:dyDescent="0.2">
      <c r="B515" s="16"/>
    </row>
    <row r="516" spans="2:2" x14ac:dyDescent="0.2">
      <c r="B516" s="16"/>
    </row>
    <row r="517" spans="2:2" x14ac:dyDescent="0.2">
      <c r="B517" s="16"/>
    </row>
    <row r="518" spans="2:2" x14ac:dyDescent="0.2">
      <c r="B518" s="16"/>
    </row>
    <row r="519" spans="2:2" x14ac:dyDescent="0.2">
      <c r="B519" s="16"/>
    </row>
    <row r="520" spans="2:2" x14ac:dyDescent="0.2">
      <c r="B520" s="16"/>
    </row>
    <row r="521" spans="2:2" x14ac:dyDescent="0.2">
      <c r="B521" s="16"/>
    </row>
    <row r="522" spans="2:2" x14ac:dyDescent="0.2">
      <c r="B522" s="16"/>
    </row>
    <row r="523" spans="2:2" x14ac:dyDescent="0.2">
      <c r="B523" s="16"/>
    </row>
    <row r="524" spans="2:2" x14ac:dyDescent="0.2">
      <c r="B524" s="16"/>
    </row>
    <row r="525" spans="2:2" x14ac:dyDescent="0.2">
      <c r="B525" s="16"/>
    </row>
    <row r="526" spans="2:2" x14ac:dyDescent="0.2">
      <c r="B526" s="16"/>
    </row>
    <row r="527" spans="2:2" x14ac:dyDescent="0.2">
      <c r="B527" s="16"/>
    </row>
    <row r="528" spans="2:2" x14ac:dyDescent="0.2">
      <c r="B528" s="16"/>
    </row>
    <row r="529" spans="2:2" x14ac:dyDescent="0.2">
      <c r="B529" s="16"/>
    </row>
    <row r="530" spans="2:2" x14ac:dyDescent="0.2">
      <c r="B530" s="16"/>
    </row>
    <row r="531" spans="2:2" x14ac:dyDescent="0.2">
      <c r="B531" s="16"/>
    </row>
    <row r="532" spans="2:2" x14ac:dyDescent="0.2">
      <c r="B532" s="16"/>
    </row>
    <row r="533" spans="2:2" x14ac:dyDescent="0.2">
      <c r="B533" s="16"/>
    </row>
    <row r="534" spans="2:2" x14ac:dyDescent="0.2">
      <c r="B534" s="16"/>
    </row>
    <row r="535" spans="2:2" x14ac:dyDescent="0.2">
      <c r="B535" s="16"/>
    </row>
    <row r="536" spans="2:2" x14ac:dyDescent="0.2">
      <c r="B536" s="16"/>
    </row>
    <row r="537" spans="2:2" x14ac:dyDescent="0.2">
      <c r="B537" s="16"/>
    </row>
    <row r="538" spans="2:2" x14ac:dyDescent="0.2">
      <c r="B538" s="16"/>
    </row>
    <row r="539" spans="2:2" x14ac:dyDescent="0.2">
      <c r="B539" s="16"/>
    </row>
    <row r="540" spans="2:2" x14ac:dyDescent="0.2">
      <c r="B540" s="16"/>
    </row>
    <row r="541" spans="2:2" x14ac:dyDescent="0.2">
      <c r="B541" s="16"/>
    </row>
    <row r="542" spans="2:2" x14ac:dyDescent="0.2">
      <c r="B542" s="16"/>
    </row>
    <row r="543" spans="2:2" x14ac:dyDescent="0.2">
      <c r="B543" s="16"/>
    </row>
    <row r="544" spans="2:2" x14ac:dyDescent="0.2">
      <c r="B544" s="16"/>
    </row>
    <row r="545" spans="2:2" x14ac:dyDescent="0.2">
      <c r="B545" s="16"/>
    </row>
    <row r="546" spans="2:2" x14ac:dyDescent="0.2">
      <c r="B546" s="16"/>
    </row>
    <row r="547" spans="2:2" x14ac:dyDescent="0.2">
      <c r="B547" s="16"/>
    </row>
    <row r="548" spans="2:2" x14ac:dyDescent="0.2">
      <c r="B548" s="16"/>
    </row>
    <row r="549" spans="2:2" x14ac:dyDescent="0.2">
      <c r="B549" s="16"/>
    </row>
    <row r="550" spans="2:2" x14ac:dyDescent="0.2">
      <c r="B550" s="16"/>
    </row>
    <row r="551" spans="2:2" x14ac:dyDescent="0.2">
      <c r="B551" s="16"/>
    </row>
    <row r="552" spans="2:2" x14ac:dyDescent="0.2">
      <c r="B552" s="16"/>
    </row>
    <row r="553" spans="2:2" x14ac:dyDescent="0.2">
      <c r="B553" s="16"/>
    </row>
    <row r="554" spans="2:2" x14ac:dyDescent="0.2">
      <c r="B554" s="16"/>
    </row>
    <row r="555" spans="2:2" x14ac:dyDescent="0.2">
      <c r="B555" s="16"/>
    </row>
    <row r="556" spans="2:2" x14ac:dyDescent="0.2">
      <c r="B556" s="16"/>
    </row>
    <row r="557" spans="2:2" x14ac:dyDescent="0.2">
      <c r="B557" s="16"/>
    </row>
    <row r="558" spans="2:2" x14ac:dyDescent="0.2">
      <c r="B558" s="16"/>
    </row>
    <row r="559" spans="2:2" x14ac:dyDescent="0.2">
      <c r="B559" s="16"/>
    </row>
    <row r="560" spans="2:2" x14ac:dyDescent="0.2">
      <c r="B560" s="16"/>
    </row>
    <row r="561" spans="2:2" x14ac:dyDescent="0.2">
      <c r="B561" s="16"/>
    </row>
    <row r="562" spans="2:2" x14ac:dyDescent="0.2">
      <c r="B562" s="16"/>
    </row>
    <row r="563" spans="2:2" x14ac:dyDescent="0.2">
      <c r="B563" s="16"/>
    </row>
    <row r="564" spans="2:2" x14ac:dyDescent="0.2">
      <c r="B564" s="16"/>
    </row>
    <row r="565" spans="2:2" x14ac:dyDescent="0.2">
      <c r="B565" s="16"/>
    </row>
    <row r="566" spans="2:2" x14ac:dyDescent="0.2">
      <c r="B566" s="16"/>
    </row>
    <row r="567" spans="2:2" x14ac:dyDescent="0.2">
      <c r="B567" s="16"/>
    </row>
    <row r="568" spans="2:2" x14ac:dyDescent="0.2">
      <c r="B568" s="16"/>
    </row>
    <row r="569" spans="2:2" x14ac:dyDescent="0.2">
      <c r="B569" s="16"/>
    </row>
    <row r="570" spans="2:2" x14ac:dyDescent="0.2">
      <c r="B570" s="16"/>
    </row>
    <row r="571" spans="2:2" x14ac:dyDescent="0.2">
      <c r="B571" s="16"/>
    </row>
    <row r="572" spans="2:2" x14ac:dyDescent="0.2">
      <c r="B572" s="16"/>
    </row>
    <row r="573" spans="2:2" x14ac:dyDescent="0.2">
      <c r="B573" s="16"/>
    </row>
    <row r="574" spans="2:2" x14ac:dyDescent="0.2">
      <c r="B574" s="16"/>
    </row>
    <row r="575" spans="2:2" x14ac:dyDescent="0.2">
      <c r="B575" s="16"/>
    </row>
    <row r="576" spans="2:2" x14ac:dyDescent="0.2">
      <c r="B576" s="16"/>
    </row>
    <row r="577" spans="2:2" x14ac:dyDescent="0.2">
      <c r="B577" s="16"/>
    </row>
    <row r="578" spans="2:2" x14ac:dyDescent="0.2">
      <c r="B578" s="16"/>
    </row>
    <row r="579" spans="2:2" x14ac:dyDescent="0.2">
      <c r="B579" s="16"/>
    </row>
    <row r="580" spans="2:2" x14ac:dyDescent="0.2">
      <c r="B580" s="16"/>
    </row>
    <row r="581" spans="2:2" x14ac:dyDescent="0.2">
      <c r="B581" s="16"/>
    </row>
    <row r="582" spans="2:2" x14ac:dyDescent="0.2">
      <c r="B582" s="16"/>
    </row>
    <row r="583" spans="2:2" x14ac:dyDescent="0.2">
      <c r="B583" s="16"/>
    </row>
    <row r="584" spans="2:2" x14ac:dyDescent="0.2">
      <c r="B584" s="16"/>
    </row>
    <row r="585" spans="2:2" x14ac:dyDescent="0.2">
      <c r="B585" s="16"/>
    </row>
    <row r="586" spans="2:2" x14ac:dyDescent="0.2">
      <c r="B586" s="16"/>
    </row>
    <row r="587" spans="2:2" x14ac:dyDescent="0.2">
      <c r="B587" s="16"/>
    </row>
    <row r="588" spans="2:2" x14ac:dyDescent="0.2">
      <c r="B588" s="16"/>
    </row>
    <row r="589" spans="2:2" x14ac:dyDescent="0.2">
      <c r="B589" s="16"/>
    </row>
    <row r="590" spans="2:2" x14ac:dyDescent="0.2">
      <c r="B590" s="16"/>
    </row>
    <row r="591" spans="2:2" x14ac:dyDescent="0.2">
      <c r="B591" s="16"/>
    </row>
    <row r="592" spans="2:2" x14ac:dyDescent="0.2">
      <c r="B592" s="16"/>
    </row>
    <row r="593" spans="2:2" x14ac:dyDescent="0.2">
      <c r="B593" s="16"/>
    </row>
    <row r="594" spans="2:2" x14ac:dyDescent="0.2">
      <c r="B594" s="16"/>
    </row>
    <row r="595" spans="2:2" x14ac:dyDescent="0.2">
      <c r="B595" s="16"/>
    </row>
    <row r="596" spans="2:2" x14ac:dyDescent="0.2">
      <c r="B596" s="16"/>
    </row>
    <row r="597" spans="2:2" x14ac:dyDescent="0.2">
      <c r="B597" s="16"/>
    </row>
    <row r="598" spans="2:2" x14ac:dyDescent="0.2">
      <c r="B598" s="16"/>
    </row>
    <row r="599" spans="2:2" x14ac:dyDescent="0.2">
      <c r="B599" s="16"/>
    </row>
    <row r="600" spans="2:2" x14ac:dyDescent="0.2">
      <c r="B600" s="16"/>
    </row>
    <row r="601" spans="2:2" x14ac:dyDescent="0.2">
      <c r="B601" s="16"/>
    </row>
    <row r="602" spans="2:2" x14ac:dyDescent="0.2">
      <c r="B602" s="16"/>
    </row>
    <row r="603" spans="2:2" x14ac:dyDescent="0.2">
      <c r="B603" s="16"/>
    </row>
    <row r="604" spans="2:2" x14ac:dyDescent="0.2">
      <c r="B604" s="16"/>
    </row>
    <row r="605" spans="2:2" x14ac:dyDescent="0.2">
      <c r="B605" s="16"/>
    </row>
    <row r="606" spans="2:2" x14ac:dyDescent="0.2">
      <c r="B606" s="16"/>
    </row>
    <row r="607" spans="2:2" x14ac:dyDescent="0.2">
      <c r="B607" s="16"/>
    </row>
    <row r="608" spans="2:2" x14ac:dyDescent="0.2">
      <c r="B608" s="16"/>
    </row>
    <row r="609" spans="2:2" x14ac:dyDescent="0.2">
      <c r="B609" s="16"/>
    </row>
    <row r="610" spans="2:2" x14ac:dyDescent="0.2">
      <c r="B610" s="16"/>
    </row>
    <row r="611" spans="2:2" x14ac:dyDescent="0.2">
      <c r="B611" s="16"/>
    </row>
    <row r="612" spans="2:2" x14ac:dyDescent="0.2">
      <c r="B612" s="16"/>
    </row>
    <row r="613" spans="2:2" x14ac:dyDescent="0.2">
      <c r="B613" s="16"/>
    </row>
    <row r="614" spans="2:2" x14ac:dyDescent="0.2">
      <c r="B614" s="16"/>
    </row>
    <row r="615" spans="2:2" x14ac:dyDescent="0.2">
      <c r="B615" s="16"/>
    </row>
    <row r="616" spans="2:2" x14ac:dyDescent="0.2">
      <c r="B616" s="16"/>
    </row>
    <row r="617" spans="2:2" x14ac:dyDescent="0.2">
      <c r="B617" s="16"/>
    </row>
    <row r="618" spans="2:2" x14ac:dyDescent="0.2">
      <c r="B618" s="16"/>
    </row>
    <row r="619" spans="2:2" x14ac:dyDescent="0.2">
      <c r="B619" s="16"/>
    </row>
    <row r="620" spans="2:2" x14ac:dyDescent="0.2">
      <c r="B620" s="16"/>
    </row>
    <row r="621" spans="2:2" x14ac:dyDescent="0.2">
      <c r="B621" s="16"/>
    </row>
    <row r="622" spans="2:2" x14ac:dyDescent="0.2">
      <c r="B622" s="16"/>
    </row>
    <row r="623" spans="2:2" x14ac:dyDescent="0.2">
      <c r="B623" s="16"/>
    </row>
    <row r="624" spans="2:2" x14ac:dyDescent="0.2">
      <c r="B624" s="16"/>
    </row>
    <row r="625" spans="2:2" x14ac:dyDescent="0.2">
      <c r="B625" s="16"/>
    </row>
    <row r="626" spans="2:2" x14ac:dyDescent="0.2">
      <c r="B626" s="16"/>
    </row>
    <row r="627" spans="2:2" x14ac:dyDescent="0.2">
      <c r="B627" s="16"/>
    </row>
    <row r="628" spans="2:2" x14ac:dyDescent="0.2">
      <c r="B628" s="16"/>
    </row>
    <row r="629" spans="2:2" x14ac:dyDescent="0.2">
      <c r="B629" s="16"/>
    </row>
    <row r="630" spans="2:2" x14ac:dyDescent="0.2">
      <c r="B630" s="16"/>
    </row>
    <row r="631" spans="2:2" x14ac:dyDescent="0.2">
      <c r="B631" s="16"/>
    </row>
    <row r="632" spans="2:2" x14ac:dyDescent="0.2">
      <c r="B632" s="16"/>
    </row>
    <row r="633" spans="2:2" x14ac:dyDescent="0.2">
      <c r="B633" s="16"/>
    </row>
    <row r="634" spans="2:2" x14ac:dyDescent="0.2">
      <c r="B634" s="16"/>
    </row>
    <row r="635" spans="2:2" x14ac:dyDescent="0.2">
      <c r="B635" s="16"/>
    </row>
    <row r="636" spans="2:2" x14ac:dyDescent="0.2">
      <c r="B636" s="16"/>
    </row>
    <row r="637" spans="2:2" x14ac:dyDescent="0.2">
      <c r="B637" s="16"/>
    </row>
    <row r="638" spans="2:2" x14ac:dyDescent="0.2">
      <c r="B638" s="16"/>
    </row>
    <row r="639" spans="2:2" x14ac:dyDescent="0.2">
      <c r="B639" s="16"/>
    </row>
    <row r="640" spans="2:2" x14ac:dyDescent="0.2">
      <c r="B640" s="16"/>
    </row>
    <row r="641" spans="2:2" x14ac:dyDescent="0.2">
      <c r="B641" s="16"/>
    </row>
    <row r="642" spans="2:2" x14ac:dyDescent="0.2">
      <c r="B642" s="16"/>
    </row>
    <row r="643" spans="2:2" x14ac:dyDescent="0.2">
      <c r="B643" s="16"/>
    </row>
    <row r="644" spans="2:2" x14ac:dyDescent="0.2">
      <c r="B644" s="16"/>
    </row>
    <row r="645" spans="2:2" x14ac:dyDescent="0.2">
      <c r="B645" s="16"/>
    </row>
    <row r="646" spans="2:2" x14ac:dyDescent="0.2">
      <c r="B646" s="16"/>
    </row>
    <row r="647" spans="2:2" x14ac:dyDescent="0.2">
      <c r="B647" s="16"/>
    </row>
    <row r="648" spans="2:2" x14ac:dyDescent="0.2">
      <c r="B648" s="16"/>
    </row>
    <row r="649" spans="2:2" x14ac:dyDescent="0.2">
      <c r="B649" s="16"/>
    </row>
    <row r="650" spans="2:2" x14ac:dyDescent="0.2">
      <c r="B650" s="16"/>
    </row>
    <row r="651" spans="2:2" x14ac:dyDescent="0.2">
      <c r="B651" s="16"/>
    </row>
    <row r="652" spans="2:2" x14ac:dyDescent="0.2">
      <c r="B652" s="16"/>
    </row>
    <row r="653" spans="2:2" x14ac:dyDescent="0.2">
      <c r="B653" s="16"/>
    </row>
    <row r="654" spans="2:2" x14ac:dyDescent="0.2">
      <c r="B654" s="16"/>
    </row>
    <row r="655" spans="2:2" x14ac:dyDescent="0.2">
      <c r="B655" s="16"/>
    </row>
    <row r="656" spans="2:2" x14ac:dyDescent="0.2">
      <c r="B656" s="16"/>
    </row>
    <row r="657" spans="2:2" x14ac:dyDescent="0.2">
      <c r="B657" s="16"/>
    </row>
    <row r="658" spans="2:2" x14ac:dyDescent="0.2">
      <c r="B658" s="16"/>
    </row>
    <row r="659" spans="2:2" x14ac:dyDescent="0.2">
      <c r="B659" s="16"/>
    </row>
    <row r="660" spans="2:2" x14ac:dyDescent="0.2">
      <c r="B660" s="16"/>
    </row>
    <row r="661" spans="2:2" x14ac:dyDescent="0.2">
      <c r="B661" s="16"/>
    </row>
    <row r="662" spans="2:2" x14ac:dyDescent="0.2">
      <c r="B662" s="16"/>
    </row>
    <row r="663" spans="2:2" x14ac:dyDescent="0.2">
      <c r="B663" s="16"/>
    </row>
    <row r="664" spans="2:2" x14ac:dyDescent="0.2">
      <c r="B664" s="16"/>
    </row>
    <row r="665" spans="2:2" x14ac:dyDescent="0.2">
      <c r="B665" s="16"/>
    </row>
    <row r="666" spans="2:2" x14ac:dyDescent="0.2">
      <c r="B666" s="16"/>
    </row>
    <row r="667" spans="2:2" x14ac:dyDescent="0.2">
      <c r="B667" s="16"/>
    </row>
    <row r="668" spans="2:2" x14ac:dyDescent="0.2">
      <c r="B668" s="16"/>
    </row>
    <row r="669" spans="2:2" x14ac:dyDescent="0.2">
      <c r="B669" s="16"/>
    </row>
    <row r="670" spans="2:2" x14ac:dyDescent="0.2">
      <c r="B670" s="16"/>
    </row>
    <row r="671" spans="2:2" x14ac:dyDescent="0.2">
      <c r="B671" s="16"/>
    </row>
    <row r="672" spans="2:2" x14ac:dyDescent="0.2">
      <c r="B672" s="16"/>
    </row>
    <row r="673" spans="2:2" x14ac:dyDescent="0.2">
      <c r="B673" s="16"/>
    </row>
    <row r="674" spans="2:2" x14ac:dyDescent="0.2">
      <c r="B674" s="16"/>
    </row>
    <row r="675" spans="2:2" x14ac:dyDescent="0.2">
      <c r="B675" s="16"/>
    </row>
    <row r="676" spans="2:2" x14ac:dyDescent="0.2">
      <c r="B676" s="16"/>
    </row>
    <row r="677" spans="2:2" x14ac:dyDescent="0.2">
      <c r="B677" s="16"/>
    </row>
    <row r="678" spans="2:2" x14ac:dyDescent="0.2">
      <c r="B678" s="16"/>
    </row>
    <row r="679" spans="2:2" x14ac:dyDescent="0.2">
      <c r="B679" s="16"/>
    </row>
    <row r="680" spans="2:2" x14ac:dyDescent="0.2">
      <c r="B680" s="16"/>
    </row>
    <row r="681" spans="2:2" x14ac:dyDescent="0.2">
      <c r="B681" s="16"/>
    </row>
    <row r="682" spans="2:2" x14ac:dyDescent="0.2">
      <c r="B682" s="16"/>
    </row>
    <row r="683" spans="2:2" x14ac:dyDescent="0.2">
      <c r="B683" s="16"/>
    </row>
    <row r="684" spans="2:2" x14ac:dyDescent="0.2">
      <c r="B684" s="16"/>
    </row>
    <row r="685" spans="2:2" x14ac:dyDescent="0.2">
      <c r="B685" s="16"/>
    </row>
    <row r="686" spans="2:2" x14ac:dyDescent="0.2">
      <c r="B686" s="16"/>
    </row>
    <row r="687" spans="2:2" x14ac:dyDescent="0.2">
      <c r="B687" s="16"/>
    </row>
    <row r="688" spans="2:2" x14ac:dyDescent="0.2">
      <c r="B688" s="16"/>
    </row>
    <row r="689" spans="2:2" x14ac:dyDescent="0.2">
      <c r="B689" s="16"/>
    </row>
    <row r="690" spans="2:2" x14ac:dyDescent="0.2">
      <c r="B690" s="16"/>
    </row>
    <row r="691" spans="2:2" x14ac:dyDescent="0.2">
      <c r="B691" s="16"/>
    </row>
    <row r="692" spans="2:2" x14ac:dyDescent="0.2">
      <c r="B692" s="16"/>
    </row>
    <row r="693" spans="2:2" x14ac:dyDescent="0.2">
      <c r="B693" s="16"/>
    </row>
    <row r="694" spans="2:2" x14ac:dyDescent="0.2">
      <c r="B694" s="16"/>
    </row>
    <row r="695" spans="2:2" x14ac:dyDescent="0.2">
      <c r="B695" s="16"/>
    </row>
    <row r="696" spans="2:2" x14ac:dyDescent="0.2">
      <c r="B696" s="16"/>
    </row>
    <row r="697" spans="2:2" x14ac:dyDescent="0.2">
      <c r="B697" s="16"/>
    </row>
    <row r="698" spans="2:2" x14ac:dyDescent="0.2">
      <c r="B698" s="16"/>
    </row>
    <row r="699" spans="2:2" x14ac:dyDescent="0.2">
      <c r="B699" s="16"/>
    </row>
    <row r="700" spans="2:2" x14ac:dyDescent="0.2">
      <c r="B700" s="16"/>
    </row>
    <row r="701" spans="2:2" x14ac:dyDescent="0.2">
      <c r="B701" s="16"/>
    </row>
    <row r="702" spans="2:2" x14ac:dyDescent="0.2">
      <c r="B702" s="16"/>
    </row>
    <row r="703" spans="2:2" x14ac:dyDescent="0.2">
      <c r="B703" s="16"/>
    </row>
    <row r="704" spans="2:2" x14ac:dyDescent="0.2">
      <c r="B704" s="16"/>
    </row>
    <row r="705" spans="2:2" x14ac:dyDescent="0.2">
      <c r="B705" s="16"/>
    </row>
    <row r="706" spans="2:2" x14ac:dyDescent="0.2">
      <c r="B706" s="16"/>
    </row>
    <row r="707" spans="2:2" x14ac:dyDescent="0.2">
      <c r="B707" s="16"/>
    </row>
    <row r="708" spans="2:2" x14ac:dyDescent="0.2">
      <c r="B708" s="16"/>
    </row>
    <row r="709" spans="2:2" x14ac:dyDescent="0.2">
      <c r="B709" s="16"/>
    </row>
    <row r="710" spans="2:2" x14ac:dyDescent="0.2">
      <c r="B710" s="16"/>
    </row>
    <row r="711" spans="2:2" x14ac:dyDescent="0.2">
      <c r="B711" s="16"/>
    </row>
    <row r="712" spans="2:2" x14ac:dyDescent="0.2">
      <c r="B712" s="16"/>
    </row>
    <row r="713" spans="2:2" x14ac:dyDescent="0.2">
      <c r="B713" s="16"/>
    </row>
    <row r="714" spans="2:2" x14ac:dyDescent="0.2">
      <c r="B714" s="16"/>
    </row>
    <row r="715" spans="2:2" x14ac:dyDescent="0.2">
      <c r="B715" s="16"/>
    </row>
    <row r="716" spans="2:2" x14ac:dyDescent="0.2">
      <c r="B716" s="16"/>
    </row>
    <row r="717" spans="2:2" x14ac:dyDescent="0.2">
      <c r="B717" s="16"/>
    </row>
    <row r="718" spans="2:2" x14ac:dyDescent="0.2">
      <c r="B718" s="16"/>
    </row>
    <row r="719" spans="2:2" x14ac:dyDescent="0.2">
      <c r="B719" s="16"/>
    </row>
    <row r="720" spans="2:2" x14ac:dyDescent="0.2">
      <c r="B720" s="16"/>
    </row>
    <row r="721" spans="2:2" x14ac:dyDescent="0.2">
      <c r="B721" s="16"/>
    </row>
    <row r="722" spans="2:2" x14ac:dyDescent="0.2">
      <c r="B722" s="16"/>
    </row>
    <row r="723" spans="2:2" x14ac:dyDescent="0.2">
      <c r="B723" s="16"/>
    </row>
    <row r="724" spans="2:2" x14ac:dyDescent="0.2">
      <c r="B724" s="16"/>
    </row>
    <row r="725" spans="2:2" x14ac:dyDescent="0.2">
      <c r="B725" s="16"/>
    </row>
    <row r="726" spans="2:2" x14ac:dyDescent="0.2">
      <c r="B726" s="16"/>
    </row>
    <row r="727" spans="2:2" x14ac:dyDescent="0.2">
      <c r="B727" s="16"/>
    </row>
    <row r="728" spans="2:2" x14ac:dyDescent="0.2">
      <c r="B728" s="16"/>
    </row>
    <row r="729" spans="2:2" x14ac:dyDescent="0.2">
      <c r="B729" s="16"/>
    </row>
    <row r="730" spans="2:2" x14ac:dyDescent="0.2">
      <c r="B730" s="16"/>
    </row>
    <row r="731" spans="2:2" x14ac:dyDescent="0.2">
      <c r="B731" s="16"/>
    </row>
    <row r="732" spans="2:2" x14ac:dyDescent="0.2">
      <c r="B732" s="16"/>
    </row>
    <row r="733" spans="2:2" x14ac:dyDescent="0.2">
      <c r="B733" s="16"/>
    </row>
    <row r="734" spans="2:2" x14ac:dyDescent="0.2">
      <c r="B734" s="16"/>
    </row>
    <row r="735" spans="2:2" x14ac:dyDescent="0.2">
      <c r="B735" s="16"/>
    </row>
    <row r="736" spans="2:2" x14ac:dyDescent="0.2">
      <c r="B736" s="16"/>
    </row>
    <row r="737" spans="2:2" x14ac:dyDescent="0.2">
      <c r="B737" s="16"/>
    </row>
    <row r="738" spans="2:2" x14ac:dyDescent="0.2">
      <c r="B738" s="16"/>
    </row>
    <row r="739" spans="2:2" x14ac:dyDescent="0.2">
      <c r="B739" s="16"/>
    </row>
    <row r="740" spans="2:2" x14ac:dyDescent="0.2">
      <c r="B740" s="16"/>
    </row>
    <row r="741" spans="2:2" x14ac:dyDescent="0.2">
      <c r="B741" s="16"/>
    </row>
    <row r="742" spans="2:2" x14ac:dyDescent="0.2">
      <c r="B742" s="16"/>
    </row>
    <row r="743" spans="2:2" x14ac:dyDescent="0.2">
      <c r="B743" s="16"/>
    </row>
    <row r="744" spans="2:2" x14ac:dyDescent="0.2">
      <c r="B744" s="16"/>
    </row>
    <row r="745" spans="2:2" x14ac:dyDescent="0.2">
      <c r="B745" s="16"/>
    </row>
    <row r="746" spans="2:2" x14ac:dyDescent="0.2">
      <c r="B746" s="16"/>
    </row>
    <row r="747" spans="2:2" x14ac:dyDescent="0.2">
      <c r="B747" s="16"/>
    </row>
    <row r="748" spans="2:2" x14ac:dyDescent="0.2">
      <c r="B748" s="16"/>
    </row>
    <row r="749" spans="2:2" x14ac:dyDescent="0.2">
      <c r="B749" s="16"/>
    </row>
    <row r="750" spans="2:2" x14ac:dyDescent="0.2">
      <c r="B750" s="16"/>
    </row>
    <row r="751" spans="2:2" x14ac:dyDescent="0.2">
      <c r="B751" s="16"/>
    </row>
    <row r="752" spans="2:2" x14ac:dyDescent="0.2">
      <c r="B752" s="16"/>
    </row>
    <row r="753" spans="2:2" x14ac:dyDescent="0.2">
      <c r="B753" s="16"/>
    </row>
    <row r="754" spans="2:2" x14ac:dyDescent="0.2">
      <c r="B754" s="16"/>
    </row>
    <row r="755" spans="2:2" x14ac:dyDescent="0.2">
      <c r="B755" s="16"/>
    </row>
    <row r="756" spans="2:2" x14ac:dyDescent="0.2">
      <c r="B756" s="16"/>
    </row>
    <row r="757" spans="2:2" x14ac:dyDescent="0.2">
      <c r="B757" s="16"/>
    </row>
    <row r="758" spans="2:2" x14ac:dyDescent="0.2">
      <c r="B758" s="16"/>
    </row>
    <row r="759" spans="2:2" x14ac:dyDescent="0.2">
      <c r="B759" s="16"/>
    </row>
    <row r="760" spans="2:2" x14ac:dyDescent="0.2">
      <c r="B760" s="16"/>
    </row>
    <row r="761" spans="2:2" x14ac:dyDescent="0.2">
      <c r="B761" s="16"/>
    </row>
    <row r="762" spans="2:2" x14ac:dyDescent="0.2">
      <c r="B762" s="16"/>
    </row>
    <row r="763" spans="2:2" x14ac:dyDescent="0.2">
      <c r="B763" s="16"/>
    </row>
    <row r="764" spans="2:2" x14ac:dyDescent="0.2">
      <c r="B764" s="16"/>
    </row>
    <row r="765" spans="2:2" x14ac:dyDescent="0.2">
      <c r="B765" s="16"/>
    </row>
    <row r="766" spans="2:2" x14ac:dyDescent="0.2">
      <c r="B766" s="16"/>
    </row>
    <row r="767" spans="2:2" x14ac:dyDescent="0.2">
      <c r="B767" s="16"/>
    </row>
    <row r="768" spans="2:2" x14ac:dyDescent="0.2">
      <c r="B768" s="16"/>
    </row>
    <row r="769" spans="2:2" x14ac:dyDescent="0.2">
      <c r="B769" s="16"/>
    </row>
    <row r="770" spans="2:2" x14ac:dyDescent="0.2">
      <c r="B770" s="16"/>
    </row>
    <row r="771" spans="2:2" x14ac:dyDescent="0.2">
      <c r="B771" s="16"/>
    </row>
    <row r="772" spans="2:2" x14ac:dyDescent="0.2">
      <c r="B772" s="16"/>
    </row>
    <row r="773" spans="2:2" x14ac:dyDescent="0.2">
      <c r="B773" s="16"/>
    </row>
    <row r="774" spans="2:2" x14ac:dyDescent="0.2">
      <c r="B774" s="16"/>
    </row>
    <row r="775" spans="2:2" x14ac:dyDescent="0.2">
      <c r="B775" s="16"/>
    </row>
    <row r="776" spans="2:2" x14ac:dyDescent="0.2">
      <c r="B776" s="16"/>
    </row>
    <row r="777" spans="2:2" x14ac:dyDescent="0.2">
      <c r="B777" s="16"/>
    </row>
    <row r="778" spans="2:2" x14ac:dyDescent="0.2">
      <c r="B778" s="16"/>
    </row>
    <row r="779" spans="2:2" x14ac:dyDescent="0.2">
      <c r="B779" s="16"/>
    </row>
    <row r="780" spans="2:2" x14ac:dyDescent="0.2">
      <c r="B780" s="16"/>
    </row>
    <row r="781" spans="2:2" x14ac:dyDescent="0.2">
      <c r="B781" s="16"/>
    </row>
    <row r="782" spans="2:2" x14ac:dyDescent="0.2">
      <c r="B782" s="16"/>
    </row>
    <row r="783" spans="2:2" x14ac:dyDescent="0.2">
      <c r="B783" s="16"/>
    </row>
    <row r="784" spans="2:2" x14ac:dyDescent="0.2">
      <c r="B784" s="16"/>
    </row>
    <row r="785" spans="2:2" x14ac:dyDescent="0.2">
      <c r="B785" s="16"/>
    </row>
    <row r="786" spans="2:2" x14ac:dyDescent="0.2">
      <c r="B786" s="16"/>
    </row>
    <row r="787" spans="2:2" x14ac:dyDescent="0.2">
      <c r="B787" s="16"/>
    </row>
    <row r="788" spans="2:2" x14ac:dyDescent="0.2">
      <c r="B788" s="16"/>
    </row>
    <row r="789" spans="2:2" x14ac:dyDescent="0.2">
      <c r="B789" s="16"/>
    </row>
    <row r="790" spans="2:2" x14ac:dyDescent="0.2">
      <c r="B790" s="16"/>
    </row>
    <row r="791" spans="2:2" x14ac:dyDescent="0.2">
      <c r="B791" s="16"/>
    </row>
    <row r="792" spans="2:2" x14ac:dyDescent="0.2">
      <c r="B792" s="16"/>
    </row>
    <row r="793" spans="2:2" x14ac:dyDescent="0.2">
      <c r="B793" s="16"/>
    </row>
    <row r="794" spans="2:2" x14ac:dyDescent="0.2">
      <c r="B794" s="16"/>
    </row>
    <row r="795" spans="2:2" x14ac:dyDescent="0.2">
      <c r="B795" s="16"/>
    </row>
    <row r="796" spans="2:2" x14ac:dyDescent="0.2">
      <c r="B796" s="16"/>
    </row>
    <row r="797" spans="2:2" x14ac:dyDescent="0.2">
      <c r="B797" s="16"/>
    </row>
    <row r="798" spans="2:2" x14ac:dyDescent="0.2">
      <c r="B798" s="16"/>
    </row>
    <row r="799" spans="2:2" x14ac:dyDescent="0.2">
      <c r="B799" s="16"/>
    </row>
    <row r="800" spans="2:2" x14ac:dyDescent="0.2">
      <c r="B800" s="16"/>
    </row>
    <row r="801" spans="2:2" x14ac:dyDescent="0.2">
      <c r="B801" s="16"/>
    </row>
    <row r="802" spans="2:2" x14ac:dyDescent="0.2">
      <c r="B802" s="16"/>
    </row>
    <row r="803" spans="2:2" x14ac:dyDescent="0.2">
      <c r="B803" s="16"/>
    </row>
    <row r="804" spans="2:2" x14ac:dyDescent="0.2">
      <c r="B804" s="16"/>
    </row>
    <row r="805" spans="2:2" x14ac:dyDescent="0.2">
      <c r="B805" s="16"/>
    </row>
    <row r="806" spans="2:2" x14ac:dyDescent="0.2">
      <c r="B806" s="16"/>
    </row>
    <row r="807" spans="2:2" x14ac:dyDescent="0.2">
      <c r="B807" s="16"/>
    </row>
    <row r="808" spans="2:2" x14ac:dyDescent="0.2">
      <c r="B808" s="16"/>
    </row>
    <row r="809" spans="2:2" x14ac:dyDescent="0.2">
      <c r="B809" s="16"/>
    </row>
    <row r="810" spans="2:2" x14ac:dyDescent="0.2">
      <c r="B810" s="16"/>
    </row>
    <row r="811" spans="2:2" x14ac:dyDescent="0.2">
      <c r="B811" s="16"/>
    </row>
    <row r="812" spans="2:2" x14ac:dyDescent="0.2">
      <c r="B812" s="16"/>
    </row>
    <row r="813" spans="2:2" x14ac:dyDescent="0.2">
      <c r="B813" s="16"/>
    </row>
    <row r="814" spans="2:2" x14ac:dyDescent="0.2">
      <c r="B814" s="16"/>
    </row>
    <row r="815" spans="2:2" x14ac:dyDescent="0.2">
      <c r="B815" s="16"/>
    </row>
    <row r="816" spans="2:2" x14ac:dyDescent="0.2">
      <c r="B816" s="16"/>
    </row>
    <row r="817" spans="2:2" x14ac:dyDescent="0.2">
      <c r="B817" s="16"/>
    </row>
    <row r="818" spans="2:2" x14ac:dyDescent="0.2">
      <c r="B818" s="16"/>
    </row>
    <row r="819" spans="2:2" x14ac:dyDescent="0.2">
      <c r="B819" s="16"/>
    </row>
    <row r="820" spans="2:2" x14ac:dyDescent="0.2">
      <c r="B820" s="16"/>
    </row>
    <row r="821" spans="2:2" x14ac:dyDescent="0.2">
      <c r="B821" s="16"/>
    </row>
    <row r="822" spans="2:2" x14ac:dyDescent="0.2">
      <c r="B822" s="16"/>
    </row>
    <row r="823" spans="2:2" x14ac:dyDescent="0.2">
      <c r="B823" s="16"/>
    </row>
    <row r="824" spans="2:2" x14ac:dyDescent="0.2">
      <c r="B824" s="16"/>
    </row>
    <row r="825" spans="2:2" x14ac:dyDescent="0.2">
      <c r="B825" s="16"/>
    </row>
    <row r="826" spans="2:2" x14ac:dyDescent="0.2">
      <c r="B826" s="16"/>
    </row>
    <row r="827" spans="2:2" x14ac:dyDescent="0.2">
      <c r="B827" s="16"/>
    </row>
    <row r="828" spans="2:2" x14ac:dyDescent="0.2">
      <c r="B828" s="16"/>
    </row>
    <row r="829" spans="2:2" x14ac:dyDescent="0.2">
      <c r="B829" s="16"/>
    </row>
    <row r="830" spans="2:2" x14ac:dyDescent="0.2">
      <c r="B830" s="16"/>
    </row>
    <row r="831" spans="2:2" x14ac:dyDescent="0.2">
      <c r="B831" s="16"/>
    </row>
    <row r="832" spans="2:2" x14ac:dyDescent="0.2">
      <c r="B832" s="16"/>
    </row>
    <row r="833" spans="2:2" x14ac:dyDescent="0.2">
      <c r="B833" s="16"/>
    </row>
    <row r="834" spans="2:2" x14ac:dyDescent="0.2">
      <c r="B834" s="16"/>
    </row>
    <row r="835" spans="2:2" x14ac:dyDescent="0.2">
      <c r="B835" s="16"/>
    </row>
    <row r="836" spans="2:2" x14ac:dyDescent="0.2">
      <c r="B836" s="16"/>
    </row>
    <row r="837" spans="2:2" x14ac:dyDescent="0.2">
      <c r="B837" s="16"/>
    </row>
    <row r="838" spans="2:2" x14ac:dyDescent="0.2">
      <c r="B838" s="16"/>
    </row>
    <row r="839" spans="2:2" x14ac:dyDescent="0.2">
      <c r="B839" s="16"/>
    </row>
    <row r="840" spans="2:2" x14ac:dyDescent="0.2">
      <c r="B840" s="16"/>
    </row>
    <row r="841" spans="2:2" x14ac:dyDescent="0.2">
      <c r="B841" s="16"/>
    </row>
    <row r="842" spans="2:2" x14ac:dyDescent="0.2">
      <c r="B842" s="16"/>
    </row>
    <row r="843" spans="2:2" x14ac:dyDescent="0.2">
      <c r="B843" s="16"/>
    </row>
    <row r="844" spans="2:2" x14ac:dyDescent="0.2">
      <c r="B844" s="16"/>
    </row>
    <row r="845" spans="2:2" x14ac:dyDescent="0.2">
      <c r="B845" s="16"/>
    </row>
    <row r="846" spans="2:2" x14ac:dyDescent="0.2">
      <c r="B846" s="16"/>
    </row>
    <row r="847" spans="2:2" x14ac:dyDescent="0.2">
      <c r="B847" s="16"/>
    </row>
    <row r="848" spans="2:2" x14ac:dyDescent="0.2">
      <c r="B848" s="16"/>
    </row>
    <row r="849" spans="2:2" x14ac:dyDescent="0.2">
      <c r="B849" s="16"/>
    </row>
    <row r="850" spans="2:2" x14ac:dyDescent="0.2">
      <c r="B850" s="16"/>
    </row>
    <row r="851" spans="2:2" x14ac:dyDescent="0.2">
      <c r="B851" s="16"/>
    </row>
    <row r="852" spans="2:2" x14ac:dyDescent="0.2">
      <c r="B852" s="16"/>
    </row>
    <row r="853" spans="2:2" x14ac:dyDescent="0.2">
      <c r="B853" s="16"/>
    </row>
    <row r="854" spans="2:2" x14ac:dyDescent="0.2">
      <c r="B854" s="16"/>
    </row>
    <row r="855" spans="2:2" x14ac:dyDescent="0.2">
      <c r="B855" s="16"/>
    </row>
    <row r="856" spans="2:2" x14ac:dyDescent="0.2">
      <c r="B856" s="16"/>
    </row>
    <row r="857" spans="2:2" x14ac:dyDescent="0.2">
      <c r="B857" s="16"/>
    </row>
    <row r="858" spans="2:2" x14ac:dyDescent="0.2">
      <c r="B858" s="16"/>
    </row>
    <row r="859" spans="2:2" x14ac:dyDescent="0.2">
      <c r="B859" s="16"/>
    </row>
    <row r="860" spans="2:2" x14ac:dyDescent="0.2">
      <c r="B860" s="16"/>
    </row>
    <row r="861" spans="2:2" x14ac:dyDescent="0.2">
      <c r="B861" s="16"/>
    </row>
    <row r="862" spans="2:2" x14ac:dyDescent="0.2">
      <c r="B862" s="16"/>
    </row>
    <row r="863" spans="2:2" x14ac:dyDescent="0.2">
      <c r="B863" s="16"/>
    </row>
    <row r="864" spans="2:2" x14ac:dyDescent="0.2">
      <c r="B864" s="16"/>
    </row>
    <row r="865" spans="2:2" x14ac:dyDescent="0.2">
      <c r="B865" s="16"/>
    </row>
    <row r="866" spans="2:2" x14ac:dyDescent="0.2">
      <c r="B866" s="16"/>
    </row>
    <row r="867" spans="2:2" x14ac:dyDescent="0.2">
      <c r="B867" s="16"/>
    </row>
    <row r="868" spans="2:2" x14ac:dyDescent="0.2">
      <c r="B868" s="16"/>
    </row>
    <row r="869" spans="2:2" x14ac:dyDescent="0.2">
      <c r="B869" s="16"/>
    </row>
    <row r="870" spans="2:2" x14ac:dyDescent="0.2">
      <c r="B870" s="16"/>
    </row>
    <row r="871" spans="2:2" x14ac:dyDescent="0.2">
      <c r="B871" s="16"/>
    </row>
    <row r="872" spans="2:2" x14ac:dyDescent="0.2">
      <c r="B872" s="16"/>
    </row>
    <row r="873" spans="2:2" x14ac:dyDescent="0.2">
      <c r="B873" s="16"/>
    </row>
    <row r="874" spans="2:2" x14ac:dyDescent="0.2">
      <c r="B874" s="16"/>
    </row>
    <row r="875" spans="2:2" x14ac:dyDescent="0.2">
      <c r="B875" s="16"/>
    </row>
    <row r="876" spans="2:2" x14ac:dyDescent="0.2">
      <c r="B876" s="16"/>
    </row>
    <row r="877" spans="2:2" x14ac:dyDescent="0.2">
      <c r="B877" s="16"/>
    </row>
    <row r="878" spans="2:2" x14ac:dyDescent="0.2">
      <c r="B878" s="16"/>
    </row>
    <row r="879" spans="2:2" x14ac:dyDescent="0.2">
      <c r="B879" s="16"/>
    </row>
    <row r="880" spans="2:2" x14ac:dyDescent="0.2">
      <c r="B880" s="16"/>
    </row>
    <row r="881" spans="2:2" x14ac:dyDescent="0.2">
      <c r="B881" s="16"/>
    </row>
    <row r="882" spans="2:2" x14ac:dyDescent="0.2">
      <c r="B882" s="16"/>
    </row>
    <row r="883" spans="2:2" x14ac:dyDescent="0.2">
      <c r="B883" s="16"/>
    </row>
    <row r="884" spans="2:2" x14ac:dyDescent="0.2">
      <c r="B884" s="16"/>
    </row>
    <row r="885" spans="2:2" x14ac:dyDescent="0.2">
      <c r="B885" s="16"/>
    </row>
    <row r="886" spans="2:2" x14ac:dyDescent="0.2">
      <c r="B886" s="16"/>
    </row>
    <row r="887" spans="2:2" x14ac:dyDescent="0.2">
      <c r="B887" s="16"/>
    </row>
    <row r="888" spans="2:2" x14ac:dyDescent="0.2">
      <c r="B888" s="16"/>
    </row>
    <row r="889" spans="2:2" x14ac:dyDescent="0.2">
      <c r="B889" s="16"/>
    </row>
    <row r="890" spans="2:2" x14ac:dyDescent="0.2">
      <c r="B890" s="16"/>
    </row>
    <row r="891" spans="2:2" x14ac:dyDescent="0.2">
      <c r="B891" s="16"/>
    </row>
    <row r="892" spans="2:2" x14ac:dyDescent="0.2">
      <c r="B892" s="16"/>
    </row>
    <row r="893" spans="2:2" x14ac:dyDescent="0.2">
      <c r="B893" s="16"/>
    </row>
    <row r="894" spans="2:2" x14ac:dyDescent="0.2">
      <c r="B894" s="16"/>
    </row>
    <row r="895" spans="2:2" x14ac:dyDescent="0.2">
      <c r="B895" s="16"/>
    </row>
    <row r="896" spans="2:2" x14ac:dyDescent="0.2">
      <c r="B896" s="16"/>
    </row>
    <row r="897" spans="2:2" x14ac:dyDescent="0.2">
      <c r="B897" s="16"/>
    </row>
    <row r="898" spans="2:2" x14ac:dyDescent="0.2">
      <c r="B898" s="16"/>
    </row>
    <row r="899" spans="2:2" x14ac:dyDescent="0.2">
      <c r="B899" s="16"/>
    </row>
    <row r="900" spans="2:2" x14ac:dyDescent="0.2">
      <c r="B900" s="16"/>
    </row>
    <row r="901" spans="2:2" x14ac:dyDescent="0.2">
      <c r="B901" s="16"/>
    </row>
    <row r="902" spans="2:2" x14ac:dyDescent="0.2">
      <c r="B902" s="16"/>
    </row>
    <row r="903" spans="2:2" x14ac:dyDescent="0.2">
      <c r="B903" s="16"/>
    </row>
    <row r="904" spans="2:2" x14ac:dyDescent="0.2">
      <c r="B904" s="16"/>
    </row>
    <row r="905" spans="2:2" x14ac:dyDescent="0.2">
      <c r="B905" s="16"/>
    </row>
    <row r="906" spans="2:2" x14ac:dyDescent="0.2">
      <c r="B906" s="16"/>
    </row>
    <row r="907" spans="2:2" x14ac:dyDescent="0.2">
      <c r="B907" s="16"/>
    </row>
    <row r="908" spans="2:2" x14ac:dyDescent="0.2">
      <c r="B908" s="16"/>
    </row>
    <row r="909" spans="2:2" x14ac:dyDescent="0.2">
      <c r="B909" s="16"/>
    </row>
    <row r="910" spans="2:2" x14ac:dyDescent="0.2">
      <c r="B910" s="16"/>
    </row>
    <row r="911" spans="2:2" x14ac:dyDescent="0.2">
      <c r="B911" s="16"/>
    </row>
    <row r="912" spans="2:2" x14ac:dyDescent="0.2">
      <c r="B912" s="16"/>
    </row>
    <row r="913" spans="2:2" x14ac:dyDescent="0.2">
      <c r="B913" s="16"/>
    </row>
    <row r="914" spans="2:2" x14ac:dyDescent="0.2">
      <c r="B914" s="16"/>
    </row>
    <row r="915" spans="2:2" x14ac:dyDescent="0.2">
      <c r="B915" s="16"/>
    </row>
    <row r="916" spans="2:2" x14ac:dyDescent="0.2">
      <c r="B916" s="16"/>
    </row>
    <row r="917" spans="2:2" x14ac:dyDescent="0.2">
      <c r="B917" s="16"/>
    </row>
    <row r="918" spans="2:2" x14ac:dyDescent="0.2">
      <c r="B918" s="16"/>
    </row>
    <row r="919" spans="2:2" x14ac:dyDescent="0.2">
      <c r="B919" s="16"/>
    </row>
    <row r="920" spans="2:2" x14ac:dyDescent="0.2">
      <c r="B920" s="16"/>
    </row>
    <row r="921" spans="2:2" x14ac:dyDescent="0.2">
      <c r="B921" s="16"/>
    </row>
    <row r="922" spans="2:2" x14ac:dyDescent="0.2">
      <c r="B922" s="16"/>
    </row>
    <row r="923" spans="2:2" x14ac:dyDescent="0.2">
      <c r="B923" s="16"/>
    </row>
    <row r="924" spans="2:2" x14ac:dyDescent="0.2">
      <c r="B924" s="16"/>
    </row>
    <row r="925" spans="2:2" x14ac:dyDescent="0.2">
      <c r="B925" s="16"/>
    </row>
    <row r="926" spans="2:2" x14ac:dyDescent="0.2">
      <c r="B926" s="16"/>
    </row>
    <row r="927" spans="2:2" x14ac:dyDescent="0.2">
      <c r="B927" s="16"/>
    </row>
    <row r="928" spans="2:2" x14ac:dyDescent="0.2">
      <c r="B928" s="16"/>
    </row>
    <row r="929" spans="2:2" x14ac:dyDescent="0.2">
      <c r="B929" s="16"/>
    </row>
    <row r="930" spans="2:2" x14ac:dyDescent="0.2">
      <c r="B930" s="16"/>
    </row>
    <row r="931" spans="2:2" x14ac:dyDescent="0.2">
      <c r="B931" s="16"/>
    </row>
    <row r="932" spans="2:2" x14ac:dyDescent="0.2">
      <c r="B932" s="16"/>
    </row>
    <row r="933" spans="2:2" x14ac:dyDescent="0.2">
      <c r="B933" s="16"/>
    </row>
    <row r="934" spans="2:2" x14ac:dyDescent="0.2">
      <c r="B934" s="16"/>
    </row>
    <row r="935" spans="2:2" x14ac:dyDescent="0.2">
      <c r="B935" s="16"/>
    </row>
    <row r="936" spans="2:2" x14ac:dyDescent="0.2">
      <c r="B936" s="16"/>
    </row>
    <row r="937" spans="2:2" x14ac:dyDescent="0.2">
      <c r="B937" s="16"/>
    </row>
    <row r="938" spans="2:2" x14ac:dyDescent="0.2">
      <c r="B938" s="16"/>
    </row>
    <row r="939" spans="2:2" x14ac:dyDescent="0.2">
      <c r="B939" s="16"/>
    </row>
    <row r="940" spans="2:2" x14ac:dyDescent="0.2">
      <c r="B940" s="16"/>
    </row>
    <row r="941" spans="2:2" x14ac:dyDescent="0.2">
      <c r="B941" s="16"/>
    </row>
    <row r="942" spans="2:2" x14ac:dyDescent="0.2">
      <c r="B942" s="16"/>
    </row>
    <row r="943" spans="2:2" x14ac:dyDescent="0.2">
      <c r="B943" s="16"/>
    </row>
    <row r="944" spans="2:2" x14ac:dyDescent="0.2">
      <c r="B944" s="16"/>
    </row>
    <row r="945" spans="2:2" x14ac:dyDescent="0.2">
      <c r="B945" s="16"/>
    </row>
    <row r="946" spans="2:2" x14ac:dyDescent="0.2">
      <c r="B946" s="16"/>
    </row>
    <row r="947" spans="2:2" x14ac:dyDescent="0.2">
      <c r="B947" s="16"/>
    </row>
    <row r="948" spans="2:2" x14ac:dyDescent="0.2">
      <c r="B948" s="16"/>
    </row>
    <row r="949" spans="2:2" x14ac:dyDescent="0.2">
      <c r="B949" s="16"/>
    </row>
    <row r="950" spans="2:2" x14ac:dyDescent="0.2">
      <c r="B950" s="16"/>
    </row>
    <row r="951" spans="2:2" x14ac:dyDescent="0.2">
      <c r="B951" s="16"/>
    </row>
    <row r="952" spans="2:2" x14ac:dyDescent="0.2">
      <c r="B952" s="16"/>
    </row>
    <row r="953" spans="2:2" x14ac:dyDescent="0.2">
      <c r="B953" s="16"/>
    </row>
    <row r="954" spans="2:2" x14ac:dyDescent="0.2">
      <c r="B954" s="16"/>
    </row>
    <row r="955" spans="2:2" x14ac:dyDescent="0.2">
      <c r="B955" s="16"/>
    </row>
    <row r="956" spans="2:2" x14ac:dyDescent="0.2">
      <c r="B956" s="16"/>
    </row>
    <row r="957" spans="2:2" x14ac:dyDescent="0.2">
      <c r="B957" s="16"/>
    </row>
    <row r="958" spans="2:2" x14ac:dyDescent="0.2">
      <c r="B958" s="16"/>
    </row>
    <row r="959" spans="2:2" x14ac:dyDescent="0.2">
      <c r="B959" s="16"/>
    </row>
    <row r="960" spans="2:2" x14ac:dyDescent="0.2">
      <c r="B960" s="16"/>
    </row>
    <row r="961" spans="2:2" x14ac:dyDescent="0.2">
      <c r="B961" s="16"/>
    </row>
    <row r="962" spans="2:2" x14ac:dyDescent="0.2">
      <c r="B962" s="16"/>
    </row>
    <row r="963" spans="2:2" x14ac:dyDescent="0.2">
      <c r="B963" s="16"/>
    </row>
    <row r="964" spans="2:2" x14ac:dyDescent="0.2">
      <c r="B964" s="16"/>
    </row>
    <row r="965" spans="2:2" x14ac:dyDescent="0.2">
      <c r="B965" s="16"/>
    </row>
    <row r="966" spans="2:2" x14ac:dyDescent="0.2">
      <c r="B966" s="16"/>
    </row>
    <row r="967" spans="2:2" x14ac:dyDescent="0.2">
      <c r="B967" s="16"/>
    </row>
    <row r="968" spans="2:2" x14ac:dyDescent="0.2">
      <c r="B968" s="16"/>
    </row>
    <row r="969" spans="2:2" x14ac:dyDescent="0.2">
      <c r="B969" s="16"/>
    </row>
    <row r="970" spans="2:2" x14ac:dyDescent="0.2">
      <c r="B970" s="16"/>
    </row>
    <row r="971" spans="2:2" x14ac:dyDescent="0.2">
      <c r="B971" s="16"/>
    </row>
    <row r="972" spans="2:2" x14ac:dyDescent="0.2">
      <c r="B972" s="16"/>
    </row>
    <row r="973" spans="2:2" x14ac:dyDescent="0.2">
      <c r="B973" s="16"/>
    </row>
    <row r="974" spans="2:2" x14ac:dyDescent="0.2">
      <c r="B974" s="16"/>
    </row>
    <row r="975" spans="2:2" x14ac:dyDescent="0.2">
      <c r="B975" s="16"/>
    </row>
    <row r="976" spans="2:2" x14ac:dyDescent="0.2">
      <c r="B976" s="16"/>
    </row>
    <row r="977" spans="2:2" x14ac:dyDescent="0.2">
      <c r="B977" s="16"/>
    </row>
    <row r="978" spans="2:2" x14ac:dyDescent="0.2">
      <c r="B978" s="16"/>
    </row>
    <row r="979" spans="2:2" x14ac:dyDescent="0.2">
      <c r="B979" s="16"/>
    </row>
    <row r="980" spans="2:2" x14ac:dyDescent="0.2">
      <c r="B980" s="16"/>
    </row>
    <row r="981" spans="2:2" x14ac:dyDescent="0.2">
      <c r="B981" s="16"/>
    </row>
    <row r="982" spans="2:2" x14ac:dyDescent="0.2">
      <c r="B982" s="16"/>
    </row>
    <row r="983" spans="2:2" x14ac:dyDescent="0.2">
      <c r="B983" s="16"/>
    </row>
    <row r="984" spans="2:2" x14ac:dyDescent="0.2">
      <c r="B984" s="16"/>
    </row>
    <row r="985" spans="2:2" x14ac:dyDescent="0.2">
      <c r="B985" s="16"/>
    </row>
    <row r="986" spans="2:2" x14ac:dyDescent="0.2">
      <c r="B986" s="16"/>
    </row>
    <row r="987" spans="2:2" x14ac:dyDescent="0.2">
      <c r="B987" s="16"/>
    </row>
    <row r="988" spans="2:2" x14ac:dyDescent="0.2">
      <c r="B988" s="16"/>
    </row>
    <row r="989" spans="2:2" x14ac:dyDescent="0.2">
      <c r="B989" s="16"/>
    </row>
    <row r="990" spans="2:2" x14ac:dyDescent="0.2">
      <c r="B990" s="16"/>
    </row>
    <row r="991" spans="2:2" x14ac:dyDescent="0.2">
      <c r="B991" s="16"/>
    </row>
    <row r="992" spans="2:2" x14ac:dyDescent="0.2">
      <c r="B992" s="16"/>
    </row>
    <row r="993" spans="2:2" x14ac:dyDescent="0.2">
      <c r="B993" s="16"/>
    </row>
    <row r="994" spans="2:2" x14ac:dyDescent="0.2">
      <c r="B994" s="16"/>
    </row>
    <row r="995" spans="2:2" x14ac:dyDescent="0.2">
      <c r="B995" s="16"/>
    </row>
    <row r="996" spans="2:2" x14ac:dyDescent="0.2">
      <c r="B996" s="16"/>
    </row>
    <row r="997" spans="2:2" x14ac:dyDescent="0.2">
      <c r="B997" s="16"/>
    </row>
    <row r="998" spans="2:2" x14ac:dyDescent="0.2">
      <c r="B998" s="16"/>
    </row>
    <row r="999" spans="2:2" x14ac:dyDescent="0.2">
      <c r="B999" s="16"/>
    </row>
    <row r="1000" spans="2:2" x14ac:dyDescent="0.2">
      <c r="B1000" s="16"/>
    </row>
    <row r="1001" spans="2:2" x14ac:dyDescent="0.2">
      <c r="B1001" s="16"/>
    </row>
    <row r="1002" spans="2:2" x14ac:dyDescent="0.2">
      <c r="B1002" s="16"/>
    </row>
    <row r="1003" spans="2:2" x14ac:dyDescent="0.2">
      <c r="B1003" s="16"/>
    </row>
    <row r="1004" spans="2:2" x14ac:dyDescent="0.2">
      <c r="B1004" s="16"/>
    </row>
    <row r="1005" spans="2:2" x14ac:dyDescent="0.2">
      <c r="B1005" s="16"/>
    </row>
    <row r="1006" spans="2:2" x14ac:dyDescent="0.2">
      <c r="B1006" s="16"/>
    </row>
    <row r="1007" spans="2:2" x14ac:dyDescent="0.2">
      <c r="B1007" s="16"/>
    </row>
    <row r="1008" spans="2:2" x14ac:dyDescent="0.2">
      <c r="B1008" s="16"/>
    </row>
    <row r="1009" spans="2:2" x14ac:dyDescent="0.2">
      <c r="B1009" s="16"/>
    </row>
    <row r="1010" spans="2:2" x14ac:dyDescent="0.2">
      <c r="B1010" s="16"/>
    </row>
    <row r="1011" spans="2:2" x14ac:dyDescent="0.2">
      <c r="B1011" s="16"/>
    </row>
    <row r="1012" spans="2:2" x14ac:dyDescent="0.2">
      <c r="B1012" s="16"/>
    </row>
    <row r="1013" spans="2:2" x14ac:dyDescent="0.2">
      <c r="B1013" s="16"/>
    </row>
    <row r="1014" spans="2:2" x14ac:dyDescent="0.2">
      <c r="B1014" s="16"/>
    </row>
    <row r="1015" spans="2:2" x14ac:dyDescent="0.2">
      <c r="B1015" s="16"/>
    </row>
    <row r="1016" spans="2:2" x14ac:dyDescent="0.2">
      <c r="B1016" s="16"/>
    </row>
    <row r="1017" spans="2:2" x14ac:dyDescent="0.2">
      <c r="B1017" s="16"/>
    </row>
    <row r="1018" spans="2:2" x14ac:dyDescent="0.2">
      <c r="B1018" s="16"/>
    </row>
    <row r="1019" spans="2:2" x14ac:dyDescent="0.2">
      <c r="B1019" s="16"/>
    </row>
    <row r="1020" spans="2:2" x14ac:dyDescent="0.2">
      <c r="B1020" s="16"/>
    </row>
    <row r="1021" spans="2:2" x14ac:dyDescent="0.2">
      <c r="B1021" s="16"/>
    </row>
    <row r="1022" spans="2:2" x14ac:dyDescent="0.2">
      <c r="B1022" s="16"/>
    </row>
    <row r="1023" spans="2:2" x14ac:dyDescent="0.2">
      <c r="B1023" s="16"/>
    </row>
    <row r="1024" spans="2:2" x14ac:dyDescent="0.2">
      <c r="B1024" s="16"/>
    </row>
    <row r="1025" spans="2:2" x14ac:dyDescent="0.2">
      <c r="B1025" s="16"/>
    </row>
    <row r="1026" spans="2:2" x14ac:dyDescent="0.2">
      <c r="B1026" s="16"/>
    </row>
    <row r="1027" spans="2:2" x14ac:dyDescent="0.2">
      <c r="B1027" s="16"/>
    </row>
    <row r="1028" spans="2:2" x14ac:dyDescent="0.2">
      <c r="B1028" s="16"/>
    </row>
    <row r="1029" spans="2:2" x14ac:dyDescent="0.2">
      <c r="B1029" s="16"/>
    </row>
    <row r="1030" spans="2:2" x14ac:dyDescent="0.2">
      <c r="B1030" s="16"/>
    </row>
    <row r="1031" spans="2:2" x14ac:dyDescent="0.2">
      <c r="B1031" s="16"/>
    </row>
    <row r="1032" spans="2:2" x14ac:dyDescent="0.2">
      <c r="B1032" s="16"/>
    </row>
    <row r="1033" spans="2:2" x14ac:dyDescent="0.2">
      <c r="B1033" s="16"/>
    </row>
    <row r="1034" spans="2:2" x14ac:dyDescent="0.2">
      <c r="B1034" s="16"/>
    </row>
    <row r="1035" spans="2:2" x14ac:dyDescent="0.2">
      <c r="B1035" s="16"/>
    </row>
    <row r="1036" spans="2:2" x14ac:dyDescent="0.2">
      <c r="B1036" s="16"/>
    </row>
    <row r="1037" spans="2:2" x14ac:dyDescent="0.2">
      <c r="B1037" s="16"/>
    </row>
    <row r="1038" spans="2:2" x14ac:dyDescent="0.2">
      <c r="B1038" s="16"/>
    </row>
    <row r="1039" spans="2:2" x14ac:dyDescent="0.2">
      <c r="B1039" s="16"/>
    </row>
    <row r="1040" spans="2:2" x14ac:dyDescent="0.2">
      <c r="B1040" s="16"/>
    </row>
    <row r="1041" spans="2:2" x14ac:dyDescent="0.2">
      <c r="B1041" s="16"/>
    </row>
    <row r="1042" spans="2:2" x14ac:dyDescent="0.2">
      <c r="B1042" s="16"/>
    </row>
    <row r="1043" spans="2:2" x14ac:dyDescent="0.2">
      <c r="B1043" s="16"/>
    </row>
    <row r="1044" spans="2:2" x14ac:dyDescent="0.2">
      <c r="B1044" s="16"/>
    </row>
    <row r="1045" spans="2:2" x14ac:dyDescent="0.2">
      <c r="B1045" s="16"/>
    </row>
    <row r="1046" spans="2:2" x14ac:dyDescent="0.2">
      <c r="B1046" s="16"/>
    </row>
    <row r="1047" spans="2:2" x14ac:dyDescent="0.2">
      <c r="B1047" s="16"/>
    </row>
    <row r="1048" spans="2:2" x14ac:dyDescent="0.2">
      <c r="B1048" s="16"/>
    </row>
    <row r="1049" spans="2:2" x14ac:dyDescent="0.2">
      <c r="B1049" s="16"/>
    </row>
    <row r="1050" spans="2:2" x14ac:dyDescent="0.2">
      <c r="B1050" s="16"/>
    </row>
    <row r="1051" spans="2:2" x14ac:dyDescent="0.2">
      <c r="B1051" s="16"/>
    </row>
    <row r="1052" spans="2:2" x14ac:dyDescent="0.2">
      <c r="B1052" s="16"/>
    </row>
    <row r="1053" spans="2:2" x14ac:dyDescent="0.2">
      <c r="B1053" s="16"/>
    </row>
    <row r="1054" spans="2:2" x14ac:dyDescent="0.2">
      <c r="B1054" s="16"/>
    </row>
    <row r="1055" spans="2:2" x14ac:dyDescent="0.2">
      <c r="B1055" s="16"/>
    </row>
    <row r="1056" spans="2:2" x14ac:dyDescent="0.2">
      <c r="B1056" s="16"/>
    </row>
    <row r="1057" spans="2:2" x14ac:dyDescent="0.2">
      <c r="B1057" s="16"/>
    </row>
    <row r="1058" spans="2:2" x14ac:dyDescent="0.2">
      <c r="B1058" s="16"/>
    </row>
    <row r="1059" spans="2:2" x14ac:dyDescent="0.2">
      <c r="B1059" s="16"/>
    </row>
    <row r="1060" spans="2:2" x14ac:dyDescent="0.2">
      <c r="B1060" s="16"/>
    </row>
    <row r="1061" spans="2:2" x14ac:dyDescent="0.2">
      <c r="B1061" s="16"/>
    </row>
    <row r="1062" spans="2:2" x14ac:dyDescent="0.2">
      <c r="B1062" s="16"/>
    </row>
    <row r="1063" spans="2:2" x14ac:dyDescent="0.2">
      <c r="B1063" s="16"/>
    </row>
    <row r="1064" spans="2:2" x14ac:dyDescent="0.2">
      <c r="B1064" s="16"/>
    </row>
    <row r="1065" spans="2:2" x14ac:dyDescent="0.2">
      <c r="B1065" s="16"/>
    </row>
    <row r="1066" spans="2:2" x14ac:dyDescent="0.2">
      <c r="B1066" s="16"/>
    </row>
    <row r="1067" spans="2:2" x14ac:dyDescent="0.2">
      <c r="B1067" s="16"/>
    </row>
    <row r="1068" spans="2:2" x14ac:dyDescent="0.2">
      <c r="B1068" s="16"/>
    </row>
    <row r="1069" spans="2:2" x14ac:dyDescent="0.2">
      <c r="B1069" s="16"/>
    </row>
    <row r="1070" spans="2:2" x14ac:dyDescent="0.2">
      <c r="B1070" s="16"/>
    </row>
    <row r="1071" spans="2:2" x14ac:dyDescent="0.2">
      <c r="B1071" s="16"/>
    </row>
    <row r="1072" spans="2:2" x14ac:dyDescent="0.2">
      <c r="B1072" s="16"/>
    </row>
    <row r="1073" spans="2:2" x14ac:dyDescent="0.2">
      <c r="B1073" s="16"/>
    </row>
    <row r="1074" spans="2:2" x14ac:dyDescent="0.2">
      <c r="B1074" s="16"/>
    </row>
    <row r="1075" spans="2:2" x14ac:dyDescent="0.2">
      <c r="B1075" s="16"/>
    </row>
    <row r="1076" spans="2:2" x14ac:dyDescent="0.2">
      <c r="B1076" s="16"/>
    </row>
    <row r="1077" spans="2:2" x14ac:dyDescent="0.2">
      <c r="B1077" s="16"/>
    </row>
    <row r="1078" spans="2:2" x14ac:dyDescent="0.2">
      <c r="B1078" s="16"/>
    </row>
    <row r="1079" spans="2:2" x14ac:dyDescent="0.2">
      <c r="B1079" s="16"/>
    </row>
    <row r="1080" spans="2:2" x14ac:dyDescent="0.2">
      <c r="B1080" s="16"/>
    </row>
    <row r="1081" spans="2:2" x14ac:dyDescent="0.2">
      <c r="B1081" s="16"/>
    </row>
    <row r="1082" spans="2:2" x14ac:dyDescent="0.2">
      <c r="B1082" s="16"/>
    </row>
    <row r="1083" spans="2:2" x14ac:dyDescent="0.2">
      <c r="B1083" s="16"/>
    </row>
    <row r="1084" spans="2:2" x14ac:dyDescent="0.2">
      <c r="B1084" s="16"/>
    </row>
    <row r="1085" spans="2:2" x14ac:dyDescent="0.2">
      <c r="B1085" s="16"/>
    </row>
    <row r="1086" spans="2:2" x14ac:dyDescent="0.2">
      <c r="B1086" s="16"/>
    </row>
    <row r="1087" spans="2:2" x14ac:dyDescent="0.2">
      <c r="B1087" s="16"/>
    </row>
    <row r="1088" spans="2:2" x14ac:dyDescent="0.2">
      <c r="B1088" s="16"/>
    </row>
    <row r="1089" spans="2:2" x14ac:dyDescent="0.2">
      <c r="B1089" s="16"/>
    </row>
    <row r="1090" spans="2:2" x14ac:dyDescent="0.2">
      <c r="B1090" s="16"/>
    </row>
    <row r="1091" spans="2:2" x14ac:dyDescent="0.2">
      <c r="B1091" s="16"/>
    </row>
    <row r="1092" spans="2:2" x14ac:dyDescent="0.2">
      <c r="B1092" s="16"/>
    </row>
    <row r="1093" spans="2:2" x14ac:dyDescent="0.2">
      <c r="B1093" s="16"/>
    </row>
    <row r="1094" spans="2:2" x14ac:dyDescent="0.2">
      <c r="B1094" s="16"/>
    </row>
    <row r="1095" spans="2:2" x14ac:dyDescent="0.2">
      <c r="B1095" s="16"/>
    </row>
    <row r="1096" spans="2:2" x14ac:dyDescent="0.2">
      <c r="B1096" s="16"/>
    </row>
    <row r="1097" spans="2:2" x14ac:dyDescent="0.2">
      <c r="B1097" s="16"/>
    </row>
    <row r="1098" spans="2:2" x14ac:dyDescent="0.2">
      <c r="B1098" s="16"/>
    </row>
    <row r="1099" spans="2:2" x14ac:dyDescent="0.2">
      <c r="B1099" s="16"/>
    </row>
    <row r="1100" spans="2:2" x14ac:dyDescent="0.2">
      <c r="B1100" s="16"/>
    </row>
    <row r="1101" spans="2:2" x14ac:dyDescent="0.2">
      <c r="B1101" s="16"/>
    </row>
    <row r="1102" spans="2:2" x14ac:dyDescent="0.2">
      <c r="B1102" s="16"/>
    </row>
    <row r="1103" spans="2:2" x14ac:dyDescent="0.2">
      <c r="B1103" s="16"/>
    </row>
    <row r="1104" spans="2:2" x14ac:dyDescent="0.2">
      <c r="B1104" s="16"/>
    </row>
    <row r="1105" spans="2:2" x14ac:dyDescent="0.2">
      <c r="B1105" s="16"/>
    </row>
    <row r="1106" spans="2:2" x14ac:dyDescent="0.2">
      <c r="B1106" s="16"/>
    </row>
    <row r="1107" spans="2:2" x14ac:dyDescent="0.2">
      <c r="B1107" s="16"/>
    </row>
    <row r="1108" spans="2:2" x14ac:dyDescent="0.2">
      <c r="B1108" s="16"/>
    </row>
    <row r="1109" spans="2:2" x14ac:dyDescent="0.2">
      <c r="B1109" s="16"/>
    </row>
    <row r="1110" spans="2:2" x14ac:dyDescent="0.2">
      <c r="B1110" s="16"/>
    </row>
    <row r="1111" spans="2:2" x14ac:dyDescent="0.2">
      <c r="B1111" s="16"/>
    </row>
    <row r="1112" spans="2:2" x14ac:dyDescent="0.2">
      <c r="B1112" s="16"/>
    </row>
    <row r="1113" spans="2:2" x14ac:dyDescent="0.2">
      <c r="B1113" s="16"/>
    </row>
    <row r="1114" spans="2:2" x14ac:dyDescent="0.2">
      <c r="B1114" s="16"/>
    </row>
    <row r="1115" spans="2:2" x14ac:dyDescent="0.2">
      <c r="B1115" s="16"/>
    </row>
    <row r="1116" spans="2:2" x14ac:dyDescent="0.2">
      <c r="B1116" s="16"/>
    </row>
    <row r="1117" spans="2:2" x14ac:dyDescent="0.2">
      <c r="B1117" s="16"/>
    </row>
    <row r="1118" spans="2:2" x14ac:dyDescent="0.2">
      <c r="B1118" s="16"/>
    </row>
    <row r="1119" spans="2:2" x14ac:dyDescent="0.2">
      <c r="B1119" s="16"/>
    </row>
    <row r="1120" spans="2:2" x14ac:dyDescent="0.2">
      <c r="B1120" s="16"/>
    </row>
    <row r="1121" spans="2:2" x14ac:dyDescent="0.2">
      <c r="B1121" s="16"/>
    </row>
    <row r="1122" spans="2:2" x14ac:dyDescent="0.2">
      <c r="B1122" s="16"/>
    </row>
    <row r="1123" spans="2:2" x14ac:dyDescent="0.2">
      <c r="B1123" s="16"/>
    </row>
    <row r="1124" spans="2:2" x14ac:dyDescent="0.2">
      <c r="B1124" s="16"/>
    </row>
    <row r="1125" spans="2:2" x14ac:dyDescent="0.2">
      <c r="B1125" s="16"/>
    </row>
    <row r="1126" spans="2:2" x14ac:dyDescent="0.2">
      <c r="B1126" s="16"/>
    </row>
    <row r="1127" spans="2:2" x14ac:dyDescent="0.2">
      <c r="B1127" s="16"/>
    </row>
    <row r="1128" spans="2:2" x14ac:dyDescent="0.2">
      <c r="B1128" s="16"/>
    </row>
    <row r="1129" spans="2:2" x14ac:dyDescent="0.2">
      <c r="B1129" s="16"/>
    </row>
    <row r="1130" spans="2:2" x14ac:dyDescent="0.2">
      <c r="B1130" s="16"/>
    </row>
    <row r="1131" spans="2:2" x14ac:dyDescent="0.2">
      <c r="B1131" s="16"/>
    </row>
    <row r="1132" spans="2:2" x14ac:dyDescent="0.2">
      <c r="B1132" s="16"/>
    </row>
    <row r="1133" spans="2:2" x14ac:dyDescent="0.2">
      <c r="B1133" s="16"/>
    </row>
    <row r="1134" spans="2:2" x14ac:dyDescent="0.2">
      <c r="B1134" s="16"/>
    </row>
    <row r="1135" spans="2:2" x14ac:dyDescent="0.2">
      <c r="B1135" s="16"/>
    </row>
    <row r="1136" spans="2:2" x14ac:dyDescent="0.2">
      <c r="B1136" s="16"/>
    </row>
    <row r="1137" spans="2:2" x14ac:dyDescent="0.2">
      <c r="B1137" s="16"/>
    </row>
    <row r="1138" spans="2:2" x14ac:dyDescent="0.2">
      <c r="B1138" s="16"/>
    </row>
    <row r="1139" spans="2:2" x14ac:dyDescent="0.2">
      <c r="B1139" s="16"/>
    </row>
    <row r="1140" spans="2:2" x14ac:dyDescent="0.2">
      <c r="B1140" s="16"/>
    </row>
    <row r="1141" spans="2:2" x14ac:dyDescent="0.2">
      <c r="B1141" s="16"/>
    </row>
    <row r="1142" spans="2:2" x14ac:dyDescent="0.2">
      <c r="B1142" s="16"/>
    </row>
    <row r="1143" spans="2:2" x14ac:dyDescent="0.2">
      <c r="B1143" s="16"/>
    </row>
    <row r="1144" spans="2:2" x14ac:dyDescent="0.2">
      <c r="B1144" s="16"/>
    </row>
    <row r="1145" spans="2:2" x14ac:dyDescent="0.2">
      <c r="B1145" s="16"/>
    </row>
    <row r="1146" spans="2:2" x14ac:dyDescent="0.2">
      <c r="B1146" s="16"/>
    </row>
    <row r="1147" spans="2:2" x14ac:dyDescent="0.2">
      <c r="B1147" s="16"/>
    </row>
    <row r="1148" spans="2:2" x14ac:dyDescent="0.2">
      <c r="B1148" s="16"/>
    </row>
    <row r="1149" spans="2:2" x14ac:dyDescent="0.2">
      <c r="B1149" s="16"/>
    </row>
    <row r="1150" spans="2:2" x14ac:dyDescent="0.2">
      <c r="B1150" s="16"/>
    </row>
    <row r="1151" spans="2:2" x14ac:dyDescent="0.2">
      <c r="B1151" s="16"/>
    </row>
    <row r="1152" spans="2:2" x14ac:dyDescent="0.2">
      <c r="B1152" s="16"/>
    </row>
    <row r="1153" spans="2:2" x14ac:dyDescent="0.2">
      <c r="B1153" s="16"/>
    </row>
    <row r="1154" spans="2:2" x14ac:dyDescent="0.2">
      <c r="B1154" s="16"/>
    </row>
    <row r="1155" spans="2:2" x14ac:dyDescent="0.2">
      <c r="B1155" s="16"/>
    </row>
    <row r="1156" spans="2:2" x14ac:dyDescent="0.2">
      <c r="B1156" s="16"/>
    </row>
    <row r="1157" spans="2:2" x14ac:dyDescent="0.2">
      <c r="B1157" s="16"/>
    </row>
    <row r="1158" spans="2:2" x14ac:dyDescent="0.2">
      <c r="B1158" s="16"/>
    </row>
    <row r="1159" spans="2:2" x14ac:dyDescent="0.2">
      <c r="B1159" s="16"/>
    </row>
    <row r="1160" spans="2:2" x14ac:dyDescent="0.2">
      <c r="B1160" s="16"/>
    </row>
    <row r="1161" spans="2:2" x14ac:dyDescent="0.2">
      <c r="B1161" s="16"/>
    </row>
    <row r="1162" spans="2:2" x14ac:dyDescent="0.2">
      <c r="B1162" s="16"/>
    </row>
    <row r="1163" spans="2:2" x14ac:dyDescent="0.2">
      <c r="B1163" s="16"/>
    </row>
    <row r="1164" spans="2:2" x14ac:dyDescent="0.2">
      <c r="B1164" s="16"/>
    </row>
    <row r="1165" spans="2:2" x14ac:dyDescent="0.2">
      <c r="B1165" s="16"/>
    </row>
    <row r="1166" spans="2:2" x14ac:dyDescent="0.2">
      <c r="B1166" s="16"/>
    </row>
    <row r="1167" spans="2:2" x14ac:dyDescent="0.2">
      <c r="B1167" s="16"/>
    </row>
    <row r="1168" spans="2:2" x14ac:dyDescent="0.2">
      <c r="B1168" s="16"/>
    </row>
    <row r="1169" spans="2:2" x14ac:dyDescent="0.2">
      <c r="B1169" s="16"/>
    </row>
    <row r="1170" spans="2:2" x14ac:dyDescent="0.2">
      <c r="B1170" s="16"/>
    </row>
    <row r="1171" spans="2:2" x14ac:dyDescent="0.2">
      <c r="B1171" s="16"/>
    </row>
    <row r="1172" spans="2:2" x14ac:dyDescent="0.2">
      <c r="B1172" s="16"/>
    </row>
    <row r="1173" spans="2:2" x14ac:dyDescent="0.2">
      <c r="B1173" s="16"/>
    </row>
    <row r="1174" spans="2:2" x14ac:dyDescent="0.2">
      <c r="B1174" s="16"/>
    </row>
    <row r="1175" spans="2:2" x14ac:dyDescent="0.2">
      <c r="B1175" s="16"/>
    </row>
    <row r="1176" spans="2:2" x14ac:dyDescent="0.2">
      <c r="B1176" s="16"/>
    </row>
    <row r="1177" spans="2:2" x14ac:dyDescent="0.2">
      <c r="B1177" s="16"/>
    </row>
    <row r="1178" spans="2:2" x14ac:dyDescent="0.2">
      <c r="B1178" s="16"/>
    </row>
    <row r="1179" spans="2:2" x14ac:dyDescent="0.2">
      <c r="B1179" s="16"/>
    </row>
    <row r="1180" spans="2:2" x14ac:dyDescent="0.2">
      <c r="B1180" s="16"/>
    </row>
    <row r="1181" spans="2:2" x14ac:dyDescent="0.2">
      <c r="B1181" s="16"/>
    </row>
    <row r="1182" spans="2:2" x14ac:dyDescent="0.2">
      <c r="B1182" s="16"/>
    </row>
    <row r="1183" spans="2:2" x14ac:dyDescent="0.2">
      <c r="B1183" s="16"/>
    </row>
    <row r="1184" spans="2:2" x14ac:dyDescent="0.2">
      <c r="B1184" s="16"/>
    </row>
    <row r="1185" spans="2:2" x14ac:dyDescent="0.2">
      <c r="B1185" s="16"/>
    </row>
    <row r="1186" spans="2:2" x14ac:dyDescent="0.2">
      <c r="B1186" s="16"/>
    </row>
    <row r="1187" spans="2:2" x14ac:dyDescent="0.2">
      <c r="B1187" s="16"/>
    </row>
    <row r="1188" spans="2:2" x14ac:dyDescent="0.2">
      <c r="B1188" s="16"/>
    </row>
    <row r="1189" spans="2:2" x14ac:dyDescent="0.2">
      <c r="B1189" s="16"/>
    </row>
    <row r="1190" spans="2:2" x14ac:dyDescent="0.2">
      <c r="B1190" s="16"/>
    </row>
    <row r="1191" spans="2:2" x14ac:dyDescent="0.2">
      <c r="B1191" s="16"/>
    </row>
    <row r="1192" spans="2:2" x14ac:dyDescent="0.2">
      <c r="B1192" s="16"/>
    </row>
    <row r="1193" spans="2:2" x14ac:dyDescent="0.2">
      <c r="B1193" s="16"/>
    </row>
    <row r="1194" spans="2:2" x14ac:dyDescent="0.2">
      <c r="B1194" s="16"/>
    </row>
    <row r="1195" spans="2:2" x14ac:dyDescent="0.2">
      <c r="B1195" s="16"/>
    </row>
    <row r="1196" spans="2:2" x14ac:dyDescent="0.2">
      <c r="B1196" s="16"/>
    </row>
    <row r="1197" spans="2:2" x14ac:dyDescent="0.2">
      <c r="B1197" s="16"/>
    </row>
    <row r="1198" spans="2:2" x14ac:dyDescent="0.2">
      <c r="B1198" s="16"/>
    </row>
    <row r="1199" spans="2:2" x14ac:dyDescent="0.2">
      <c r="B1199" s="16"/>
    </row>
    <row r="1200" spans="2:2" x14ac:dyDescent="0.2">
      <c r="B1200" s="16"/>
    </row>
    <row r="1201" spans="2:2" x14ac:dyDescent="0.2">
      <c r="B1201" s="16"/>
    </row>
    <row r="1202" spans="2:2" x14ac:dyDescent="0.2">
      <c r="B1202" s="16"/>
    </row>
    <row r="1203" spans="2:2" x14ac:dyDescent="0.2">
      <c r="B1203" s="16"/>
    </row>
    <row r="1204" spans="2:2" x14ac:dyDescent="0.2">
      <c r="B1204" s="16"/>
    </row>
    <row r="1205" spans="2:2" x14ac:dyDescent="0.2">
      <c r="B1205" s="16"/>
    </row>
    <row r="1206" spans="2:2" x14ac:dyDescent="0.2">
      <c r="B1206" s="16"/>
    </row>
    <row r="1207" spans="2:2" x14ac:dyDescent="0.2">
      <c r="B1207" s="16"/>
    </row>
    <row r="1208" spans="2:2" x14ac:dyDescent="0.2">
      <c r="B1208" s="16"/>
    </row>
    <row r="1209" spans="2:2" x14ac:dyDescent="0.2">
      <c r="B1209" s="16"/>
    </row>
    <row r="1210" spans="2:2" x14ac:dyDescent="0.2">
      <c r="B1210" s="16"/>
    </row>
    <row r="1211" spans="2:2" x14ac:dyDescent="0.2">
      <c r="B1211" s="16"/>
    </row>
    <row r="1212" spans="2:2" x14ac:dyDescent="0.2">
      <c r="B1212" s="16"/>
    </row>
    <row r="1213" spans="2:2" x14ac:dyDescent="0.2">
      <c r="B1213" s="16"/>
    </row>
    <row r="1214" spans="2:2" x14ac:dyDescent="0.2">
      <c r="B1214" s="16"/>
    </row>
    <row r="1215" spans="2:2" x14ac:dyDescent="0.2">
      <c r="B1215" s="16"/>
    </row>
    <row r="1216" spans="2:2" x14ac:dyDescent="0.2">
      <c r="B1216" s="16"/>
    </row>
    <row r="1217" spans="2:2" x14ac:dyDescent="0.2">
      <c r="B1217" s="16"/>
    </row>
    <row r="1218" spans="2:2" x14ac:dyDescent="0.2">
      <c r="B1218" s="16"/>
    </row>
    <row r="1219" spans="2:2" x14ac:dyDescent="0.2">
      <c r="B1219" s="16"/>
    </row>
    <row r="1220" spans="2:2" x14ac:dyDescent="0.2">
      <c r="B1220" s="16"/>
    </row>
    <row r="1221" spans="2:2" x14ac:dyDescent="0.2">
      <c r="B1221" s="16"/>
    </row>
    <row r="1222" spans="2:2" x14ac:dyDescent="0.2">
      <c r="B1222" s="16"/>
    </row>
    <row r="1223" spans="2:2" x14ac:dyDescent="0.2">
      <c r="B1223" s="16"/>
    </row>
    <row r="1224" spans="2:2" x14ac:dyDescent="0.2">
      <c r="B1224" s="16"/>
    </row>
    <row r="1225" spans="2:2" x14ac:dyDescent="0.2">
      <c r="B1225" s="16"/>
    </row>
    <row r="1226" spans="2:2" x14ac:dyDescent="0.2">
      <c r="B1226" s="16"/>
    </row>
    <row r="1227" spans="2:2" x14ac:dyDescent="0.2">
      <c r="B1227" s="16"/>
    </row>
    <row r="1228" spans="2:2" x14ac:dyDescent="0.2">
      <c r="B1228" s="16"/>
    </row>
    <row r="1229" spans="2:2" x14ac:dyDescent="0.2">
      <c r="B1229" s="16"/>
    </row>
    <row r="1230" spans="2:2" x14ac:dyDescent="0.2">
      <c r="B1230" s="16"/>
    </row>
    <row r="1231" spans="2:2" x14ac:dyDescent="0.2">
      <c r="B1231" s="16"/>
    </row>
    <row r="1232" spans="2:2" x14ac:dyDescent="0.2">
      <c r="B1232" s="16"/>
    </row>
    <row r="1233" spans="2:2" x14ac:dyDescent="0.2">
      <c r="B1233" s="16"/>
    </row>
    <row r="1234" spans="2:2" x14ac:dyDescent="0.2">
      <c r="B1234" s="16"/>
    </row>
    <row r="1235" spans="2:2" x14ac:dyDescent="0.2">
      <c r="B1235" s="16"/>
    </row>
    <row r="1236" spans="2:2" x14ac:dyDescent="0.2">
      <c r="B1236" s="16"/>
    </row>
    <row r="1237" spans="2:2" x14ac:dyDescent="0.2">
      <c r="B1237" s="16"/>
    </row>
    <row r="1238" spans="2:2" x14ac:dyDescent="0.2">
      <c r="B1238" s="16"/>
    </row>
    <row r="1239" spans="2:2" x14ac:dyDescent="0.2">
      <c r="B1239" s="16"/>
    </row>
    <row r="1240" spans="2:2" x14ac:dyDescent="0.2">
      <c r="B1240" s="16"/>
    </row>
    <row r="1241" spans="2:2" x14ac:dyDescent="0.2">
      <c r="B1241" s="16"/>
    </row>
    <row r="1242" spans="2:2" x14ac:dyDescent="0.2">
      <c r="B1242" s="16"/>
    </row>
    <row r="1243" spans="2:2" x14ac:dyDescent="0.2">
      <c r="B1243" s="16"/>
    </row>
    <row r="1244" spans="2:2" x14ac:dyDescent="0.2">
      <c r="B1244" s="16"/>
    </row>
    <row r="1245" spans="2:2" x14ac:dyDescent="0.2">
      <c r="B1245" s="16"/>
    </row>
    <row r="1246" spans="2:2" x14ac:dyDescent="0.2">
      <c r="B1246" s="16"/>
    </row>
    <row r="1247" spans="2:2" x14ac:dyDescent="0.2">
      <c r="B1247" s="16"/>
    </row>
    <row r="1248" spans="2:2" x14ac:dyDescent="0.2">
      <c r="B1248" s="16"/>
    </row>
    <row r="1249" spans="2:2" x14ac:dyDescent="0.2">
      <c r="B1249" s="16"/>
    </row>
    <row r="1250" spans="2:2" x14ac:dyDescent="0.2">
      <c r="B1250" s="16"/>
    </row>
    <row r="1251" spans="2:2" x14ac:dyDescent="0.2">
      <c r="B1251" s="16"/>
    </row>
    <row r="1252" spans="2:2" x14ac:dyDescent="0.2">
      <c r="B1252" s="16"/>
    </row>
    <row r="1253" spans="2:2" x14ac:dyDescent="0.2">
      <c r="B1253" s="16"/>
    </row>
    <row r="1254" spans="2:2" x14ac:dyDescent="0.2">
      <c r="B1254" s="16"/>
    </row>
    <row r="1255" spans="2:2" x14ac:dyDescent="0.2">
      <c r="B1255" s="16"/>
    </row>
    <row r="1256" spans="2:2" x14ac:dyDescent="0.2">
      <c r="B1256" s="16"/>
    </row>
    <row r="1257" spans="2:2" x14ac:dyDescent="0.2">
      <c r="B1257" s="16"/>
    </row>
    <row r="1258" spans="2:2" x14ac:dyDescent="0.2">
      <c r="B1258" s="16"/>
    </row>
    <row r="1259" spans="2:2" x14ac:dyDescent="0.2">
      <c r="B1259" s="16"/>
    </row>
    <row r="1260" spans="2:2" x14ac:dyDescent="0.2">
      <c r="B1260" s="16"/>
    </row>
    <row r="1261" spans="2:2" x14ac:dyDescent="0.2">
      <c r="B1261" s="16"/>
    </row>
    <row r="1262" spans="2:2" x14ac:dyDescent="0.2">
      <c r="B1262" s="16"/>
    </row>
    <row r="1263" spans="2:2" x14ac:dyDescent="0.2">
      <c r="B1263" s="16"/>
    </row>
    <row r="1264" spans="2:2" x14ac:dyDescent="0.2">
      <c r="B1264" s="16"/>
    </row>
    <row r="1265" spans="2:2" x14ac:dyDescent="0.2">
      <c r="B1265" s="16"/>
    </row>
    <row r="1266" spans="2:2" x14ac:dyDescent="0.2">
      <c r="B1266" s="16"/>
    </row>
    <row r="1267" spans="2:2" x14ac:dyDescent="0.2">
      <c r="B1267" s="16"/>
    </row>
    <row r="1268" spans="2:2" x14ac:dyDescent="0.2">
      <c r="B1268" s="16"/>
    </row>
    <row r="1269" spans="2:2" x14ac:dyDescent="0.2">
      <c r="B1269" s="16"/>
    </row>
    <row r="1270" spans="2:2" x14ac:dyDescent="0.2">
      <c r="B1270" s="16"/>
    </row>
    <row r="1271" spans="2:2" x14ac:dyDescent="0.2">
      <c r="B1271" s="16"/>
    </row>
    <row r="1272" spans="2:2" x14ac:dyDescent="0.2">
      <c r="B1272" s="16"/>
    </row>
    <row r="1273" spans="2:2" x14ac:dyDescent="0.2">
      <c r="B1273" s="16"/>
    </row>
    <row r="1274" spans="2:2" x14ac:dyDescent="0.2">
      <c r="B1274" s="16"/>
    </row>
    <row r="1275" spans="2:2" x14ac:dyDescent="0.2">
      <c r="B1275" s="16"/>
    </row>
    <row r="1276" spans="2:2" x14ac:dyDescent="0.2">
      <c r="B1276" s="16"/>
    </row>
    <row r="1277" spans="2:2" x14ac:dyDescent="0.2">
      <c r="B1277" s="16"/>
    </row>
    <row r="1278" spans="2:2" x14ac:dyDescent="0.2">
      <c r="B1278" s="16"/>
    </row>
    <row r="1279" spans="2:2" x14ac:dyDescent="0.2">
      <c r="B1279" s="16"/>
    </row>
    <row r="1280" spans="2:2" x14ac:dyDescent="0.2">
      <c r="B1280" s="16"/>
    </row>
    <row r="1281" spans="2:2" x14ac:dyDescent="0.2">
      <c r="B1281" s="16"/>
    </row>
    <row r="1282" spans="2:2" x14ac:dyDescent="0.2">
      <c r="B1282" s="16"/>
    </row>
    <row r="1283" spans="2:2" x14ac:dyDescent="0.2">
      <c r="B1283" s="16"/>
    </row>
    <row r="1284" spans="2:2" x14ac:dyDescent="0.2">
      <c r="B1284" s="16"/>
    </row>
    <row r="1285" spans="2:2" x14ac:dyDescent="0.2">
      <c r="B1285" s="16"/>
    </row>
    <row r="1286" spans="2:2" x14ac:dyDescent="0.2">
      <c r="B1286" s="16"/>
    </row>
    <row r="1287" spans="2:2" x14ac:dyDescent="0.2">
      <c r="B1287" s="16"/>
    </row>
    <row r="1288" spans="2:2" x14ac:dyDescent="0.2">
      <c r="B1288" s="16"/>
    </row>
    <row r="1289" spans="2:2" x14ac:dyDescent="0.2">
      <c r="B1289" s="16"/>
    </row>
    <row r="1290" spans="2:2" x14ac:dyDescent="0.2">
      <c r="B1290" s="16"/>
    </row>
    <row r="1291" spans="2:2" x14ac:dyDescent="0.2">
      <c r="B1291" s="16"/>
    </row>
    <row r="1292" spans="2:2" x14ac:dyDescent="0.2">
      <c r="B1292" s="16"/>
    </row>
    <row r="1293" spans="2:2" x14ac:dyDescent="0.2">
      <c r="B1293" s="16"/>
    </row>
    <row r="1294" spans="2:2" x14ac:dyDescent="0.2">
      <c r="B1294" s="16"/>
    </row>
    <row r="1295" spans="2:2" x14ac:dyDescent="0.2">
      <c r="B1295" s="16"/>
    </row>
    <row r="1296" spans="2:2" x14ac:dyDescent="0.2">
      <c r="B1296" s="16"/>
    </row>
    <row r="1297" spans="2:2" x14ac:dyDescent="0.2">
      <c r="B1297" s="16"/>
    </row>
    <row r="1298" spans="2:2" x14ac:dyDescent="0.2">
      <c r="B1298" s="16"/>
    </row>
    <row r="1299" spans="2:2" x14ac:dyDescent="0.2">
      <c r="B1299" s="16"/>
    </row>
    <row r="1300" spans="2:2" x14ac:dyDescent="0.2">
      <c r="B1300" s="16"/>
    </row>
    <row r="1301" spans="2:2" x14ac:dyDescent="0.2">
      <c r="B1301" s="16"/>
    </row>
    <row r="1302" spans="2:2" x14ac:dyDescent="0.2">
      <c r="B1302" s="16"/>
    </row>
    <row r="1303" spans="2:2" x14ac:dyDescent="0.2">
      <c r="B1303" s="16"/>
    </row>
    <row r="1304" spans="2:2" x14ac:dyDescent="0.2">
      <c r="B1304" s="16"/>
    </row>
    <row r="1305" spans="2:2" x14ac:dyDescent="0.2">
      <c r="B1305" s="16"/>
    </row>
    <row r="1306" spans="2:2" x14ac:dyDescent="0.2">
      <c r="B1306" s="16"/>
    </row>
    <row r="1307" spans="2:2" x14ac:dyDescent="0.2">
      <c r="B1307" s="16"/>
    </row>
    <row r="1308" spans="2:2" x14ac:dyDescent="0.2">
      <c r="B1308" s="16"/>
    </row>
    <row r="1309" spans="2:2" x14ac:dyDescent="0.2">
      <c r="B1309" s="16"/>
    </row>
    <row r="1310" spans="2:2" x14ac:dyDescent="0.2">
      <c r="B1310" s="16"/>
    </row>
    <row r="1311" spans="2:2" x14ac:dyDescent="0.2">
      <c r="B1311" s="16"/>
    </row>
    <row r="1312" spans="2:2" x14ac:dyDescent="0.2">
      <c r="B1312" s="16"/>
    </row>
    <row r="1313" spans="2:2" x14ac:dyDescent="0.2">
      <c r="B1313" s="16"/>
    </row>
    <row r="1314" spans="2:2" x14ac:dyDescent="0.2">
      <c r="B1314" s="16"/>
    </row>
    <row r="1315" spans="2:2" x14ac:dyDescent="0.2">
      <c r="B1315" s="16"/>
    </row>
    <row r="1316" spans="2:2" x14ac:dyDescent="0.2">
      <c r="B1316" s="16"/>
    </row>
    <row r="1317" spans="2:2" x14ac:dyDescent="0.2">
      <c r="B1317" s="16"/>
    </row>
    <row r="1318" spans="2:2" x14ac:dyDescent="0.2">
      <c r="B1318" s="16"/>
    </row>
    <row r="1319" spans="2:2" x14ac:dyDescent="0.2">
      <c r="B1319" s="16"/>
    </row>
    <row r="1320" spans="2:2" x14ac:dyDescent="0.2">
      <c r="B1320" s="16"/>
    </row>
    <row r="1321" spans="2:2" x14ac:dyDescent="0.2">
      <c r="B1321" s="16"/>
    </row>
    <row r="1322" spans="2:2" x14ac:dyDescent="0.2">
      <c r="B1322" s="16"/>
    </row>
    <row r="1323" spans="2:2" x14ac:dyDescent="0.2">
      <c r="B1323" s="16"/>
    </row>
    <row r="1324" spans="2:2" x14ac:dyDescent="0.2">
      <c r="B1324" s="16"/>
    </row>
    <row r="1325" spans="2:2" x14ac:dyDescent="0.2">
      <c r="B1325" s="16"/>
    </row>
    <row r="1326" spans="2:2" x14ac:dyDescent="0.2">
      <c r="B1326" s="16"/>
    </row>
    <row r="1327" spans="2:2" x14ac:dyDescent="0.2">
      <c r="B1327" s="16"/>
    </row>
    <row r="1328" spans="2:2" x14ac:dyDescent="0.2">
      <c r="B1328" s="16"/>
    </row>
    <row r="1329" spans="2:2" x14ac:dyDescent="0.2">
      <c r="B1329" s="16"/>
    </row>
    <row r="1330" spans="2:2" x14ac:dyDescent="0.2">
      <c r="B1330" s="16"/>
    </row>
    <row r="1331" spans="2:2" x14ac:dyDescent="0.2">
      <c r="B1331" s="16"/>
    </row>
    <row r="1332" spans="2:2" x14ac:dyDescent="0.2">
      <c r="B1332" s="16"/>
    </row>
    <row r="1333" spans="2:2" x14ac:dyDescent="0.2">
      <c r="B1333" s="16"/>
    </row>
    <row r="1334" spans="2:2" x14ac:dyDescent="0.2">
      <c r="B1334" s="16"/>
    </row>
    <row r="1335" spans="2:2" x14ac:dyDescent="0.2">
      <c r="B1335" s="16"/>
    </row>
    <row r="1336" spans="2:2" x14ac:dyDescent="0.2">
      <c r="B1336" s="16"/>
    </row>
    <row r="1337" spans="2:2" x14ac:dyDescent="0.2">
      <c r="B1337" s="16"/>
    </row>
    <row r="1338" spans="2:2" x14ac:dyDescent="0.2">
      <c r="B1338" s="16"/>
    </row>
    <row r="1339" spans="2:2" x14ac:dyDescent="0.2">
      <c r="B1339" s="16"/>
    </row>
    <row r="1340" spans="2:2" x14ac:dyDescent="0.2">
      <c r="B1340" s="16"/>
    </row>
    <row r="1341" spans="2:2" x14ac:dyDescent="0.2">
      <c r="B1341" s="16"/>
    </row>
    <row r="1342" spans="2:2" x14ac:dyDescent="0.2">
      <c r="B1342" s="16"/>
    </row>
    <row r="1343" spans="2:2" x14ac:dyDescent="0.2">
      <c r="B1343" s="16"/>
    </row>
    <row r="1344" spans="2:2" x14ac:dyDescent="0.2">
      <c r="B1344" s="16"/>
    </row>
    <row r="1345" spans="2:2" x14ac:dyDescent="0.2">
      <c r="B1345" s="16"/>
    </row>
    <row r="1346" spans="2:2" x14ac:dyDescent="0.2">
      <c r="B1346" s="16"/>
    </row>
    <row r="1347" spans="2:2" x14ac:dyDescent="0.2">
      <c r="B1347" s="16"/>
    </row>
    <row r="1348" spans="2:2" x14ac:dyDescent="0.2">
      <c r="B1348" s="16"/>
    </row>
    <row r="1349" spans="2:2" x14ac:dyDescent="0.2">
      <c r="B1349" s="16"/>
    </row>
    <row r="1350" spans="2:2" x14ac:dyDescent="0.2">
      <c r="B1350" s="16"/>
    </row>
    <row r="1351" spans="2:2" x14ac:dyDescent="0.2">
      <c r="B1351" s="16"/>
    </row>
    <row r="1352" spans="2:2" x14ac:dyDescent="0.2">
      <c r="B1352" s="16"/>
    </row>
    <row r="1353" spans="2:2" x14ac:dyDescent="0.2">
      <c r="B1353" s="16"/>
    </row>
    <row r="1354" spans="2:2" x14ac:dyDescent="0.2">
      <c r="B1354" s="16"/>
    </row>
    <row r="1355" spans="2:2" x14ac:dyDescent="0.2">
      <c r="B1355" s="16"/>
    </row>
    <row r="1356" spans="2:2" x14ac:dyDescent="0.2">
      <c r="B1356" s="16"/>
    </row>
    <row r="1357" spans="2:2" x14ac:dyDescent="0.2">
      <c r="B1357" s="16"/>
    </row>
    <row r="1358" spans="2:2" x14ac:dyDescent="0.2">
      <c r="B1358" s="16"/>
    </row>
    <row r="1359" spans="2:2" x14ac:dyDescent="0.2">
      <c r="B1359" s="16"/>
    </row>
    <row r="1360" spans="2:2" x14ac:dyDescent="0.2">
      <c r="B1360" s="16"/>
    </row>
    <row r="1361" spans="2:2" x14ac:dyDescent="0.2">
      <c r="B1361" s="16"/>
    </row>
    <row r="1362" spans="2:2" x14ac:dyDescent="0.2">
      <c r="B1362" s="16"/>
    </row>
    <row r="1363" spans="2:2" x14ac:dyDescent="0.2">
      <c r="B1363" s="16"/>
    </row>
    <row r="1364" spans="2:2" x14ac:dyDescent="0.2">
      <c r="B1364" s="16"/>
    </row>
    <row r="1365" spans="2:2" x14ac:dyDescent="0.2">
      <c r="B1365" s="16"/>
    </row>
    <row r="1366" spans="2:2" x14ac:dyDescent="0.2">
      <c r="B1366" s="16"/>
    </row>
    <row r="1367" spans="2:2" x14ac:dyDescent="0.2">
      <c r="B1367" s="16"/>
    </row>
    <row r="1368" spans="2:2" x14ac:dyDescent="0.2">
      <c r="B1368" s="16"/>
    </row>
    <row r="1369" spans="2:2" x14ac:dyDescent="0.2">
      <c r="B1369" s="16"/>
    </row>
    <row r="1370" spans="2:2" x14ac:dyDescent="0.2">
      <c r="B1370" s="16"/>
    </row>
    <row r="1371" spans="2:2" x14ac:dyDescent="0.2">
      <c r="B1371" s="16"/>
    </row>
    <row r="1372" spans="2:2" x14ac:dyDescent="0.2">
      <c r="B1372" s="16"/>
    </row>
    <row r="1373" spans="2:2" x14ac:dyDescent="0.2">
      <c r="B1373" s="16"/>
    </row>
    <row r="1374" spans="2:2" x14ac:dyDescent="0.2">
      <c r="B1374" s="16"/>
    </row>
    <row r="1375" spans="2:2" x14ac:dyDescent="0.2">
      <c r="B1375" s="16"/>
    </row>
    <row r="1376" spans="2:2" x14ac:dyDescent="0.2">
      <c r="B1376" s="16"/>
    </row>
    <row r="1377" spans="2:2" x14ac:dyDescent="0.2">
      <c r="B1377" s="16"/>
    </row>
    <row r="1378" spans="2:2" x14ac:dyDescent="0.2">
      <c r="B1378" s="16"/>
    </row>
    <row r="1379" spans="2:2" x14ac:dyDescent="0.2">
      <c r="B1379" s="16"/>
    </row>
    <row r="1380" spans="2:2" x14ac:dyDescent="0.2">
      <c r="B1380" s="16"/>
    </row>
    <row r="1381" spans="2:2" x14ac:dyDescent="0.2">
      <c r="B1381" s="16"/>
    </row>
    <row r="1382" spans="2:2" x14ac:dyDescent="0.2">
      <c r="B1382" s="16"/>
    </row>
    <row r="1383" spans="2:2" x14ac:dyDescent="0.2">
      <c r="B1383" s="16"/>
    </row>
    <row r="1384" spans="2:2" x14ac:dyDescent="0.2">
      <c r="B1384" s="16"/>
    </row>
    <row r="1385" spans="2:2" x14ac:dyDescent="0.2">
      <c r="B1385" s="16"/>
    </row>
    <row r="1386" spans="2:2" x14ac:dyDescent="0.2">
      <c r="B1386" s="16"/>
    </row>
    <row r="1387" spans="2:2" x14ac:dyDescent="0.2">
      <c r="B1387" s="16"/>
    </row>
  </sheetData>
  <mergeCells count="36">
    <mergeCell ref="C42:D42"/>
    <mergeCell ref="C44:D44"/>
    <mergeCell ref="C45:D45"/>
    <mergeCell ref="K42:L42"/>
    <mergeCell ref="K44:L44"/>
    <mergeCell ref="K45:L45"/>
    <mergeCell ref="C70:D70"/>
    <mergeCell ref="K70:L70"/>
    <mergeCell ref="C43:D43"/>
    <mergeCell ref="G74:J74"/>
    <mergeCell ref="K43:L43"/>
    <mergeCell ref="C49:D49"/>
    <mergeCell ref="K49:L49"/>
    <mergeCell ref="K74:N74"/>
    <mergeCell ref="C69:D69"/>
    <mergeCell ref="K69:L69"/>
    <mergeCell ref="C50:D50"/>
    <mergeCell ref="K50:L50"/>
    <mergeCell ref="C51:D51"/>
    <mergeCell ref="K51:L51"/>
    <mergeCell ref="C52:D52"/>
    <mergeCell ref="K52:L52"/>
    <mergeCell ref="C56:D56"/>
    <mergeCell ref="K56:L56"/>
    <mergeCell ref="C57:D57"/>
    <mergeCell ref="K57:L57"/>
    <mergeCell ref="C58:D58"/>
    <mergeCell ref="K58:L58"/>
    <mergeCell ref="C64:D64"/>
    <mergeCell ref="K64:L64"/>
    <mergeCell ref="C65:D65"/>
    <mergeCell ref="K65:L65"/>
    <mergeCell ref="C59:D59"/>
    <mergeCell ref="K59:L59"/>
    <mergeCell ref="C63:D63"/>
    <mergeCell ref="K63:L63"/>
  </mergeCells>
  <dataValidations disablePrompts="1" count="2">
    <dataValidation type="decimal" allowBlank="1" showInputMessage="1" showErrorMessage="1" sqref="S33 S36">
      <formula1>0</formula1>
      <formula2>9999999</formula2>
    </dataValidation>
    <dataValidation type="whole" allowBlank="1" showInputMessage="1" showErrorMessage="1" sqref="M30:M33">
      <formula1>-40</formula1>
      <formula2>110</formula2>
    </dataValidation>
  </dataValidations>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sheetPr>
  <dimension ref="A1:AD157"/>
  <sheetViews>
    <sheetView topLeftCell="A115" workbookViewId="0">
      <selection activeCell="D128" sqref="D128"/>
    </sheetView>
  </sheetViews>
  <sheetFormatPr defaultColWidth="9.33203125" defaultRowHeight="11.25" x14ac:dyDescent="0.2"/>
  <cols>
    <col min="1" max="2" width="3.33203125" style="6" customWidth="1"/>
    <col min="3" max="3" width="22.6640625" style="6" bestFit="1" customWidth="1"/>
    <col min="4" max="4" width="18" style="6" customWidth="1"/>
    <col min="5" max="5" width="21.33203125" style="6" customWidth="1"/>
    <col min="6" max="6" width="15" style="6" customWidth="1"/>
    <col min="7" max="7" width="13.5" style="6" customWidth="1"/>
    <col min="8" max="8" width="17.6640625" style="6" customWidth="1"/>
    <col min="9" max="9" width="22.33203125" style="6" bestFit="1" customWidth="1"/>
    <col min="10" max="10" width="20.5" style="6" bestFit="1" customWidth="1"/>
    <col min="11" max="11" width="9.33203125" style="6"/>
    <col min="12" max="13" width="15" style="6" customWidth="1"/>
    <col min="14"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29" t="s">
        <v>82</v>
      </c>
      <c r="E9" s="7" t="s">
        <v>290</v>
      </c>
    </row>
    <row r="10" spans="1:30" ht="12.75" x14ac:dyDescent="0.2">
      <c r="B10" s="16"/>
      <c r="C10" s="30" t="s">
        <v>289</v>
      </c>
      <c r="D10" s="83" t="str">
        <f>INDEX(Tbl_MeasureList[Baseline ID],MATCH($D$9,Tbl_MeasureList[Measure ID],0))</f>
        <v>BASE01</v>
      </c>
      <c r="E10" s="7"/>
    </row>
    <row r="11" spans="1:30" x14ac:dyDescent="0.2">
      <c r="B11" s="16"/>
      <c r="C11" s="7"/>
      <c r="D11" s="7"/>
      <c r="E11" s="7"/>
    </row>
    <row r="12" spans="1:30" ht="12" thickBot="1" x14ac:dyDescent="0.25">
      <c r="B12" s="16"/>
      <c r="C12" s="7"/>
      <c r="D12" s="160" t="s">
        <v>5</v>
      </c>
      <c r="E12" s="160" t="s">
        <v>284</v>
      </c>
    </row>
    <row r="13" spans="1:30" x14ac:dyDescent="0.2">
      <c r="B13" s="16"/>
      <c r="C13" s="32" t="s">
        <v>2</v>
      </c>
      <c r="D13" s="84" t="str">
        <f>INDEX(Tbl_MeasureList[Baseline Equipment ID],MATCH($D$9,Tbl_MeasureList[Measure ID],0))</f>
        <v>EQUI001</v>
      </c>
      <c r="E13" s="84" t="str">
        <f>INDEX(Tbl_MeasureList[Replacement ID],MATCH($D$9,Tbl_MeasureList[Measure ID],0))</f>
        <v>EQUI005</v>
      </c>
      <c r="F13" s="7"/>
    </row>
    <row r="14" spans="1:30" ht="22.5" x14ac:dyDescent="0.2">
      <c r="B14" s="16"/>
      <c r="C14" s="32" t="s">
        <v>4</v>
      </c>
      <c r="D14" s="223" t="str">
        <f>INDEX(Tbl_EquipmentDefinitions[[Equipment Name]:[Equipment Name]],MATCH(D$13,Tbl_EquipmentDefinitions[[Equipment ID]:[Equipment ID]],0))</f>
        <v>Baseline A/C Blend+Oil Furnace</v>
      </c>
      <c r="E14" s="223" t="str">
        <f>INDEX(Tbl_EquipmentDefinitions[[Equipment Name]:[Equipment Name]],MATCH(E$13,Tbl_EquipmentDefinitions[[Equipment ID]:[Equipment ID]],0))</f>
        <v>Central HP+Oil Furnace</v>
      </c>
      <c r="F14" s="7"/>
    </row>
    <row r="15" spans="1:30" x14ac:dyDescent="0.2">
      <c r="B15" s="16"/>
      <c r="C15" s="32" t="s">
        <v>24</v>
      </c>
      <c r="D15" s="84" t="str">
        <f>INDEX(Tbl_EquipmentDefinitions[[Function]:[Function]],MATCH(D$13,Tbl_EquipmentDefinitions[[Equipment ID]:[Equipment ID]],0))</f>
        <v>Cool+Heat</v>
      </c>
      <c r="E15" s="84" t="str">
        <f>INDEX(Tbl_EquipmentDefinitions[[Function]:[Function]],MATCH(E$13,Tbl_EquipmentDefinitions[[Equipment ID]:[Equipment ID]],0))</f>
        <v>Cool+Heat</v>
      </c>
      <c r="F15" s="7"/>
    </row>
    <row r="16" spans="1:30" x14ac:dyDescent="0.2">
      <c r="B16" s="16"/>
      <c r="C16" s="32" t="s">
        <v>7</v>
      </c>
      <c r="D16" s="85" t="str">
        <f>INDEX(Tbl_EquipmentDefinitions[[Fuel Type]:[Fuel Type]],MATCH(D$13,Tbl_EquipmentDefinitions[[Equipment ID]:[Equipment ID]],0))</f>
        <v>Electric+Oil</v>
      </c>
      <c r="E16" s="85" t="str">
        <f>INDEX(Tbl_EquipmentDefinitions[[Fuel Type]:[Fuel Type]],MATCH(E$13,Tbl_EquipmentDefinitions[[Equipment ID]:[Equipment ID]],0))</f>
        <v>Electric+Oil</v>
      </c>
      <c r="F16" s="7"/>
    </row>
    <row r="17" spans="2:14" x14ac:dyDescent="0.2">
      <c r="B17" s="16"/>
      <c r="C17" s="32" t="s">
        <v>126</v>
      </c>
      <c r="D17" s="84">
        <f>IF(ISERR(SEARCH("+",D16,1)),1,2)</f>
        <v>2</v>
      </c>
      <c r="E17" s="84">
        <f>IF(ISERR(SEARCH("+",E16,1)),1,2)</f>
        <v>2</v>
      </c>
      <c r="F17" s="7"/>
    </row>
    <row r="18" spans="2:14" x14ac:dyDescent="0.2">
      <c r="B18" s="16"/>
      <c r="C18" s="32" t="s">
        <v>155</v>
      </c>
      <c r="D18" s="86">
        <f>INDEX(Tbl_BaselineSummary[Space Heating Load (MMBtu/yr)],MATCH($D$10,Tbl_BaselineSummary[Baseline ID],0))</f>
        <v>68.400000000000006</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13.9</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160" t="s">
        <v>127</v>
      </c>
      <c r="D25" s="281" t="s">
        <v>345</v>
      </c>
      <c r="E25" s="281" t="s">
        <v>956</v>
      </c>
      <c r="F25" s="281" t="s">
        <v>326</v>
      </c>
      <c r="G25" s="281" t="s">
        <v>1532</v>
      </c>
      <c r="H25" s="385" t="s">
        <v>958</v>
      </c>
      <c r="I25" s="569" t="s">
        <v>1447</v>
      </c>
      <c r="J25" s="569" t="s">
        <v>1448</v>
      </c>
      <c r="L25" s="160" t="s">
        <v>1533</v>
      </c>
      <c r="M25" s="160" t="s">
        <v>1531</v>
      </c>
    </row>
    <row r="26" spans="2:14" ht="11.25" customHeight="1" x14ac:dyDescent="0.2">
      <c r="B26" s="16"/>
      <c r="C26" s="32" t="s">
        <v>6</v>
      </c>
      <c r="D26" s="122">
        <f>D102</f>
        <v>5987.1321677142405</v>
      </c>
      <c r="E26" s="126">
        <f>D126</f>
        <v>1.1341463414634148</v>
      </c>
      <c r="F26" s="111">
        <f>D106</f>
        <v>1184.2547427738768</v>
      </c>
      <c r="G26" s="111">
        <f>D153</f>
        <v>11242.5</v>
      </c>
      <c r="H26" s="126">
        <f>D137</f>
        <v>1.2820512820512822</v>
      </c>
      <c r="I26" s="122">
        <f>D98</f>
        <v>933.7714285714286</v>
      </c>
      <c r="J26" s="122">
        <f>D78</f>
        <v>5053.3607391428122</v>
      </c>
      <c r="L26" s="84">
        <f t="shared" ref="L26:M28" si="0">F26+E32+E38+E44</f>
        <v>2030.452432206692</v>
      </c>
      <c r="M26" s="86">
        <f t="shared" si="0"/>
        <v>11242.5</v>
      </c>
    </row>
    <row r="27" spans="2:14" x14ac:dyDescent="0.2">
      <c r="B27" s="16"/>
      <c r="C27" s="32" t="s">
        <v>19</v>
      </c>
      <c r="D27" s="122">
        <f>D103</f>
        <v>5697.1769763090433</v>
      </c>
      <c r="E27" s="126">
        <f>D127</f>
        <v>1.0941176470588236</v>
      </c>
      <c r="F27" s="111">
        <f>D107</f>
        <v>1126.9016059139287</v>
      </c>
      <c r="G27" s="111">
        <f t="shared" ref="G27:G28" si="1">D154</f>
        <v>12112.5</v>
      </c>
      <c r="H27" s="126">
        <f t="shared" ref="H27:H28" si="2">D138</f>
        <v>1.2820512820512822</v>
      </c>
      <c r="I27" s="122">
        <f t="shared" ref="I27:I28" si="3">D99</f>
        <v>817.05000000000007</v>
      </c>
      <c r="J27" s="122">
        <f t="shared" ref="J27:J28" si="4">D79</f>
        <v>4880.1269763090431</v>
      </c>
      <c r="L27" s="84">
        <f t="shared" si="0"/>
        <v>1973.0992953467439</v>
      </c>
      <c r="M27" s="86">
        <f t="shared" si="0"/>
        <v>12112.5</v>
      </c>
    </row>
    <row r="28" spans="2:14" x14ac:dyDescent="0.2">
      <c r="B28" s="16"/>
      <c r="C28" s="32" t="s">
        <v>20</v>
      </c>
      <c r="D28" s="122">
        <f>D104</f>
        <v>5063.8351218782782</v>
      </c>
      <c r="E28" s="126">
        <f>D128</f>
        <v>1.6875000000000004</v>
      </c>
      <c r="F28" s="111">
        <f>D108</f>
        <v>1001.6265871075234</v>
      </c>
      <c r="G28" s="111">
        <f t="shared" si="1"/>
        <v>12982.5</v>
      </c>
      <c r="H28" s="126">
        <f t="shared" si="2"/>
        <v>1.2820512820512822</v>
      </c>
      <c r="I28" s="122">
        <f t="shared" si="3"/>
        <v>726.26666666666677</v>
      </c>
      <c r="J28" s="122">
        <f t="shared" si="4"/>
        <v>4337.5684552116118</v>
      </c>
      <c r="L28" s="84">
        <f t="shared" si="0"/>
        <v>1847.8242765403386</v>
      </c>
      <c r="M28" s="86">
        <f t="shared" si="0"/>
        <v>12982.5</v>
      </c>
    </row>
    <row r="29" spans="2:14" x14ac:dyDescent="0.2">
      <c r="B29" s="16"/>
    </row>
    <row r="30" spans="2:14" ht="12.75" thickBot="1" x14ac:dyDescent="0.25">
      <c r="B30" s="16"/>
      <c r="C30" s="34" t="s">
        <v>55</v>
      </c>
      <c r="D30" s="34"/>
      <c r="E30" s="33"/>
      <c r="F30" s="33"/>
    </row>
    <row r="31" spans="2:14" ht="34.5" thickBot="1" x14ac:dyDescent="0.25">
      <c r="B31" s="16"/>
      <c r="C31" s="160" t="s">
        <v>127</v>
      </c>
      <c r="D31" s="281" t="s">
        <v>325</v>
      </c>
      <c r="E31" s="281" t="s">
        <v>326</v>
      </c>
      <c r="F31" s="421" t="s">
        <v>1532</v>
      </c>
    </row>
    <row r="32" spans="2:14" x14ac:dyDescent="0.2">
      <c r="B32" s="16"/>
      <c r="C32" s="32" t="s">
        <v>6</v>
      </c>
      <c r="D32" s="40">
        <v>0</v>
      </c>
      <c r="E32" s="39">
        <v>0</v>
      </c>
      <c r="F32" s="39">
        <v>0</v>
      </c>
      <c r="G32" s="7" t="s">
        <v>128</v>
      </c>
    </row>
    <row r="33" spans="2:14" x14ac:dyDescent="0.2">
      <c r="B33" s="16"/>
      <c r="C33" s="32" t="s">
        <v>19</v>
      </c>
      <c r="D33" s="40">
        <v>0</v>
      </c>
      <c r="E33" s="39">
        <v>0</v>
      </c>
      <c r="F33" s="39">
        <v>0</v>
      </c>
    </row>
    <row r="34" spans="2:14" x14ac:dyDescent="0.2">
      <c r="B34" s="16"/>
      <c r="C34" s="32" t="s">
        <v>20</v>
      </c>
      <c r="D34" s="40">
        <v>0</v>
      </c>
      <c r="E34" s="39">
        <v>0</v>
      </c>
      <c r="F34" s="39">
        <v>0</v>
      </c>
    </row>
    <row r="35" spans="2:14" x14ac:dyDescent="0.2">
      <c r="B35" s="16"/>
    </row>
    <row r="36" spans="2:14" ht="12.75" thickBot="1" x14ac:dyDescent="0.25">
      <c r="B36" s="16"/>
      <c r="C36" s="34" t="s">
        <v>28</v>
      </c>
      <c r="D36" s="34"/>
      <c r="E36" s="33"/>
      <c r="F36" s="33"/>
    </row>
    <row r="37" spans="2:14" ht="34.5" thickBot="1" x14ac:dyDescent="0.25">
      <c r="B37" s="16"/>
      <c r="C37" s="160" t="s">
        <v>127</v>
      </c>
      <c r="D37" s="281" t="s">
        <v>756</v>
      </c>
      <c r="E37" s="281" t="s">
        <v>326</v>
      </c>
      <c r="F37" s="421"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34.5" thickBot="1" x14ac:dyDescent="0.25">
      <c r="B43" s="16"/>
      <c r="C43" s="160" t="s">
        <v>127</v>
      </c>
      <c r="D43" s="281" t="s">
        <v>756</v>
      </c>
      <c r="E43" s="281" t="s">
        <v>326</v>
      </c>
      <c r="F43" s="421" t="s">
        <v>1532</v>
      </c>
    </row>
    <row r="44" spans="2:14" x14ac:dyDescent="0.2">
      <c r="B44" s="16"/>
      <c r="C44" s="32" t="s">
        <v>6</v>
      </c>
      <c r="D44" s="122">
        <f>D86</f>
        <v>37.67549198954643</v>
      </c>
      <c r="E44" s="111">
        <f>D87</f>
        <v>846.1976894328152</v>
      </c>
      <c r="F44" s="39">
        <v>0</v>
      </c>
      <c r="G44" s="7" t="s">
        <v>128</v>
      </c>
    </row>
    <row r="45" spans="2:14" x14ac:dyDescent="0.2">
      <c r="B45" s="16"/>
      <c r="C45" s="32" t="s">
        <v>19</v>
      </c>
      <c r="D45" s="122">
        <f>D86</f>
        <v>37.67549198954643</v>
      </c>
      <c r="E45" s="111">
        <f>D87</f>
        <v>846.1976894328152</v>
      </c>
      <c r="F45" s="39">
        <v>0</v>
      </c>
    </row>
    <row r="46" spans="2:14" x14ac:dyDescent="0.2">
      <c r="B46" s="16"/>
      <c r="C46" s="32" t="s">
        <v>20</v>
      </c>
      <c r="D46" s="122">
        <f>D86</f>
        <v>37.67549198954643</v>
      </c>
      <c r="E46" s="111">
        <f>D87</f>
        <v>846.1976894328152</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14 SEER/11.7 EER/8.2 HSPF</v>
      </c>
      <c r="E51" s="690"/>
      <c r="F51" s="693" t="str">
        <f>INDEX(Tbl_EquipmentDefinitions[Natural Gas Code Efficiency],MATCH($E$13,Tbl_EquipmentDefinitions[Equipment ID],0))</f>
        <v>-</v>
      </c>
      <c r="G51" s="690"/>
      <c r="H51" s="693" t="str">
        <f>INDEX(Tbl_EquipmentDefinitions[Propane Code Efficiency],MATCH($E$13,Tbl_EquipmentDefinitions[Equipment ID],0))</f>
        <v>-</v>
      </c>
      <c r="I51" s="690"/>
      <c r="J51" s="693" t="str">
        <f>INDEX(Tbl_EquipmentDefinitions[Oil Code Efficiency],MATCH($E$13,Tbl_EquipmentDefinitions[Equipment ID],0))</f>
        <v>83% AFUE</v>
      </c>
      <c r="K51" s="690"/>
    </row>
    <row r="52" spans="2:14" ht="12.75" x14ac:dyDescent="0.2">
      <c r="B52" s="16"/>
      <c r="C52" s="30" t="s">
        <v>153</v>
      </c>
      <c r="D52" s="689" t="str">
        <f>INDEX(Tbl_EquipmentDefinitions[Electricity Low Measure Efficiency],MATCH($E$13,Tbl_EquipmentDefinitions[Equipment ID],0))</f>
        <v>16 SEER/8.5 HSPF</v>
      </c>
      <c r="E52" s="690"/>
      <c r="F52" s="689" t="str">
        <f>INDEX(Tbl_EquipmentDefinitions[Natural Gas Low Measure Efficiency],MATCH($E$13,Tbl_EquipmentDefinitions[Equipment ID],0))</f>
        <v>-</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18 SEER/9.6 HSPF</v>
      </c>
      <c r="E53" s="690"/>
      <c r="F53" s="689" t="str">
        <f>INDEX(Tbl_EquipmentDefinitions[Natural Gas High Measure Efficiency],MATCH($E$13,Tbl_EquipmentDefinitions[Equipment ID],0))</f>
        <v>-</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160" t="s">
        <v>131</v>
      </c>
      <c r="D58" s="691" t="s">
        <v>132</v>
      </c>
      <c r="E58" s="692"/>
      <c r="F58" s="692"/>
      <c r="G58" s="692"/>
    </row>
    <row r="59" spans="2:14" x14ac:dyDescent="0.2">
      <c r="B59" s="16"/>
      <c r="C59" s="32" t="s">
        <v>207</v>
      </c>
      <c r="D59" s="696" t="s">
        <v>206</v>
      </c>
      <c r="E59" s="697"/>
      <c r="F59" s="697"/>
      <c r="G59" s="697"/>
    </row>
    <row r="60" spans="2:14" x14ac:dyDescent="0.2">
      <c r="B60" s="16"/>
      <c r="C60" s="32" t="s">
        <v>174</v>
      </c>
      <c r="D60" s="698" t="s">
        <v>206</v>
      </c>
      <c r="E60" s="699"/>
      <c r="F60" s="699"/>
      <c r="G60" s="699"/>
    </row>
    <row r="61" spans="2:14" x14ac:dyDescent="0.2">
      <c r="B61" s="16"/>
      <c r="C61" s="32" t="s">
        <v>309</v>
      </c>
      <c r="D61" s="698" t="s">
        <v>282</v>
      </c>
      <c r="E61" s="699"/>
      <c r="F61" s="699"/>
      <c r="G61" s="699"/>
    </row>
    <row r="62" spans="2:14" x14ac:dyDescent="0.2">
      <c r="B62" s="16"/>
    </row>
    <row r="64" spans="2:14" ht="13.5" thickBot="1" x14ac:dyDescent="0.25">
      <c r="B64" s="9" t="s">
        <v>129</v>
      </c>
      <c r="C64" s="9"/>
      <c r="D64" s="9"/>
      <c r="E64" s="9"/>
      <c r="F64" s="9"/>
      <c r="G64" s="9"/>
      <c r="H64" s="9"/>
      <c r="I64" s="9"/>
      <c r="J64" s="9"/>
      <c r="K64" s="9"/>
      <c r="L64" s="9"/>
      <c r="M64" s="9"/>
      <c r="N64" s="9"/>
    </row>
    <row r="65" spans="2:6" x14ac:dyDescent="0.2">
      <c r="B65" s="15"/>
    </row>
    <row r="66" spans="2:6" ht="12.75" x14ac:dyDescent="0.2">
      <c r="B66" s="16"/>
      <c r="C66" s="10" t="s">
        <v>531</v>
      </c>
      <c r="D66" s="10"/>
    </row>
    <row r="67" spans="2:6" x14ac:dyDescent="0.2">
      <c r="B67" s="16"/>
    </row>
    <row r="68" spans="2:6" ht="12.75" x14ac:dyDescent="0.2">
      <c r="B68" s="16"/>
      <c r="C68" s="30" t="s">
        <v>155</v>
      </c>
      <c r="D68" s="88">
        <f>$D$18</f>
        <v>68.400000000000006</v>
      </c>
      <c r="E68" s="6" t="s">
        <v>156</v>
      </c>
    </row>
    <row r="69" spans="2:6" x14ac:dyDescent="0.2">
      <c r="B69" s="16"/>
    </row>
    <row r="70" spans="2:6" ht="12.75" x14ac:dyDescent="0.2">
      <c r="B70" s="16"/>
      <c r="C70" s="30" t="s">
        <v>159</v>
      </c>
      <c r="D70" s="44">
        <v>8.1999999999999993</v>
      </c>
      <c r="E70" s="6" t="s">
        <v>182</v>
      </c>
      <c r="F70" s="45" t="s">
        <v>301</v>
      </c>
    </row>
    <row r="71" spans="2:6" ht="12.75" x14ac:dyDescent="0.2">
      <c r="B71" s="16"/>
      <c r="C71" s="36" t="s">
        <v>180</v>
      </c>
      <c r="D71" s="44">
        <v>8.5</v>
      </c>
      <c r="E71" s="6" t="s">
        <v>182</v>
      </c>
      <c r="F71" s="8"/>
    </row>
    <row r="72" spans="2:6" ht="12.75" x14ac:dyDescent="0.2">
      <c r="B72" s="16"/>
      <c r="C72" s="36" t="s">
        <v>181</v>
      </c>
      <c r="D72" s="44">
        <v>9.6</v>
      </c>
      <c r="E72" s="6" t="s">
        <v>182</v>
      </c>
      <c r="F72" s="8"/>
    </row>
    <row r="73" spans="2:6" x14ac:dyDescent="0.2">
      <c r="B73" s="16"/>
    </row>
    <row r="74" spans="2:6" x14ac:dyDescent="0.2">
      <c r="B74" s="16"/>
      <c r="C74" s="5" t="s">
        <v>250</v>
      </c>
      <c r="D74" s="5"/>
    </row>
    <row r="75" spans="2:6" ht="12.75" x14ac:dyDescent="0.2">
      <c r="B75" s="16"/>
      <c r="C75" s="53" t="s">
        <v>526</v>
      </c>
      <c r="D75" s="54">
        <f>374.55/1043</f>
        <v>0.35910834132310643</v>
      </c>
      <c r="E75" s="188" t="s">
        <v>176</v>
      </c>
      <c r="F75" s="45" t="s">
        <v>951</v>
      </c>
    </row>
    <row r="76" spans="2:6" ht="12.75" x14ac:dyDescent="0.2">
      <c r="B76" s="16"/>
      <c r="C76" s="36" t="s">
        <v>528</v>
      </c>
      <c r="D76" s="189">
        <v>0.25</v>
      </c>
      <c r="E76" s="45" t="s">
        <v>961</v>
      </c>
    </row>
    <row r="77" spans="2:6" x14ac:dyDescent="0.2">
      <c r="B77" s="16"/>
    </row>
    <row r="78" spans="2:6" ht="12.75" x14ac:dyDescent="0.2">
      <c r="B78" s="16"/>
      <c r="C78" s="36" t="s">
        <v>292</v>
      </c>
      <c r="D78" s="41">
        <f>($D$68/HPFUELCALC_REF_HEATINGLOAD)/($D70/HPFUELCALC_REF_CHP_HSPF)*HPOILCALC_CHP_HPCONSUMPTION
+($D$68/HPFUELCALC_REF_HEATINGLOAD)*HPOILCALC_CHP_CHPRESISTANCECONSUMPTION
+HPOILCALC_CHP_FURNACEFANCONSUMPTION*$D$75/HPFUELCALC_REF_FUELPOWER_KW*($D$76/HPFUELCALC_REF_FUELPOWER_CF)</f>
        <v>5053.3607391428122</v>
      </c>
      <c r="E78" s="6" t="s">
        <v>170</v>
      </c>
      <c r="F78" s="45" t="s">
        <v>305</v>
      </c>
    </row>
    <row r="79" spans="2:6" ht="12.75" x14ac:dyDescent="0.2">
      <c r="B79" s="16"/>
      <c r="C79" s="36" t="s">
        <v>293</v>
      </c>
      <c r="D79" s="41">
        <f>($D$68/HPFUELCALC_REF_HEATINGLOAD)/($D71/HPFUELCALC_REF_CHP_HSPF)*HPOILCALC_CHP_HPCONSUMPTION
+($D$68/HPFUELCALC_REF_HEATINGLOAD)*HPOILCALC_CHP_CHPRESISTANCECONSUMPTION
+HPOILCALC_CHP_FURNACEFANCONSUMPTION*$D$75/HPFUELCALC_REF_FUELPOWER_KW*($D$76/HPFUELCALC_REF_FUELPOWER_CF)</f>
        <v>4880.1269763090431</v>
      </c>
      <c r="E79" s="6" t="s">
        <v>170</v>
      </c>
      <c r="F79" s="45" t="s">
        <v>527</v>
      </c>
    </row>
    <row r="80" spans="2:6" ht="12.75" x14ac:dyDescent="0.2">
      <c r="B80" s="16"/>
      <c r="C80" s="36" t="s">
        <v>294</v>
      </c>
      <c r="D80" s="41">
        <f>($D$68/HPFUELCALC_REF_HEATINGLOAD)/($D72/HPFUELCALC_REF_CHP_HSPF)*HPOILCALC_CHP_HPCONSUMPTION
+($D$68/HPFUELCALC_REF_HEATINGLOAD)*HPOILCALC_CHP_CHPRESISTANCECONSUMPTION
+HPOILCALC_CHP_FURNACEFANCONSUMPTION*$D$75/HPFUELCALC_REF_FUELPOWER_KW*($D$76/HPFUELCALC_REF_FUELPOWER_CF)</f>
        <v>4337.5684552116118</v>
      </c>
      <c r="E80" s="6" t="s">
        <v>170</v>
      </c>
      <c r="F80" s="45"/>
    </row>
    <row r="81" spans="2:6" x14ac:dyDescent="0.2">
      <c r="B81" s="16"/>
      <c r="F81" s="45"/>
    </row>
    <row r="82" spans="2:6" ht="12.75" x14ac:dyDescent="0.2">
      <c r="B82" s="16"/>
      <c r="C82" s="10" t="s">
        <v>539</v>
      </c>
      <c r="D82" s="10"/>
      <c r="F82" s="45"/>
    </row>
    <row r="83" spans="2:6" x14ac:dyDescent="0.2">
      <c r="B83" s="16"/>
      <c r="F83" s="45"/>
    </row>
    <row r="84" spans="2:6" ht="12.75" x14ac:dyDescent="0.2">
      <c r="B84" s="16"/>
      <c r="C84" s="30" t="s">
        <v>529</v>
      </c>
      <c r="D84" s="150">
        <v>0.78900000000000003</v>
      </c>
      <c r="E84" s="6" t="s">
        <v>158</v>
      </c>
      <c r="F84" s="45"/>
    </row>
    <row r="85" spans="2:6" x14ac:dyDescent="0.2">
      <c r="B85" s="16"/>
      <c r="F85" s="45"/>
    </row>
    <row r="86" spans="2:6" ht="12.75" x14ac:dyDescent="0.2">
      <c r="B86" s="16"/>
      <c r="C86" s="36" t="s">
        <v>530</v>
      </c>
      <c r="D86" s="190">
        <f>D68*HPOILCALC_CHP_FURNACEOILCONSUMPTION/(D84/HPFUELCALC_REF_AFUE)/10</f>
        <v>37.67549198954643</v>
      </c>
      <c r="E86" s="6" t="s">
        <v>156</v>
      </c>
      <c r="F86" s="45"/>
    </row>
    <row r="87" spans="2:6" ht="12.75" x14ac:dyDescent="0.2">
      <c r="B87" s="16"/>
      <c r="C87" s="36" t="s">
        <v>729</v>
      </c>
      <c r="D87" s="282">
        <f>D86*PRICE_PER_MMBTU_2018_OIL</f>
        <v>846.1976894328152</v>
      </c>
      <c r="E87" s="6" t="s">
        <v>164</v>
      </c>
      <c r="F87" s="45"/>
    </row>
    <row r="88" spans="2:6" x14ac:dyDescent="0.2">
      <c r="B88" s="16"/>
      <c r="F88" s="45"/>
    </row>
    <row r="89" spans="2:6" x14ac:dyDescent="0.2">
      <c r="B89" s="16"/>
      <c r="F89" s="45"/>
    </row>
    <row r="90" spans="2:6" ht="12.75" x14ac:dyDescent="0.2">
      <c r="B90" s="16"/>
      <c r="C90" s="10" t="s">
        <v>532</v>
      </c>
      <c r="D90" s="10"/>
      <c r="F90" s="45"/>
    </row>
    <row r="91" spans="2:6" x14ac:dyDescent="0.2">
      <c r="B91" s="16"/>
      <c r="F91" s="45"/>
    </row>
    <row r="92" spans="2:6" ht="12.75" x14ac:dyDescent="0.2">
      <c r="B92" s="16"/>
      <c r="C92" s="30" t="s">
        <v>167</v>
      </c>
      <c r="D92" s="87">
        <f>$D$19</f>
        <v>13.072800000000001</v>
      </c>
      <c r="E92" s="6" t="s">
        <v>156</v>
      </c>
    </row>
    <row r="93" spans="2:6" x14ac:dyDescent="0.2">
      <c r="B93" s="16"/>
    </row>
    <row r="94" spans="2:6" ht="12.75" x14ac:dyDescent="0.2">
      <c r="B94" s="16"/>
      <c r="C94" s="36" t="s">
        <v>168</v>
      </c>
      <c r="D94" s="44">
        <v>14</v>
      </c>
      <c r="E94" s="6" t="s">
        <v>169</v>
      </c>
      <c r="F94" s="45" t="s">
        <v>302</v>
      </c>
    </row>
    <row r="95" spans="2:6" ht="12.75" x14ac:dyDescent="0.2">
      <c r="B95" s="16"/>
      <c r="C95" s="36" t="s">
        <v>201</v>
      </c>
      <c r="D95" s="44">
        <v>16</v>
      </c>
      <c r="E95" s="6" t="s">
        <v>169</v>
      </c>
    </row>
    <row r="96" spans="2:6" ht="12.75" x14ac:dyDescent="0.2">
      <c r="B96" s="16"/>
      <c r="C96" s="36" t="s">
        <v>202</v>
      </c>
      <c r="D96" s="44">
        <v>18</v>
      </c>
      <c r="E96" s="6" t="s">
        <v>169</v>
      </c>
    </row>
    <row r="97" spans="2:6" x14ac:dyDescent="0.2">
      <c r="B97" s="16"/>
    </row>
    <row r="98" spans="2:6" ht="12.75" x14ac:dyDescent="0.2">
      <c r="B98" s="16"/>
      <c r="C98" s="36" t="s">
        <v>295</v>
      </c>
      <c r="D98" s="41">
        <f>1000*$D$92/D94</f>
        <v>933.7714285714286</v>
      </c>
      <c r="E98" s="6" t="s">
        <v>170</v>
      </c>
      <c r="F98" s="45" t="s">
        <v>306</v>
      </c>
    </row>
    <row r="99" spans="2:6" ht="12.75" x14ac:dyDescent="0.2">
      <c r="B99" s="16"/>
      <c r="C99" s="36" t="s">
        <v>296</v>
      </c>
      <c r="D99" s="41">
        <f>1000*$D$92/D95</f>
        <v>817.05000000000007</v>
      </c>
      <c r="E99" s="6" t="s">
        <v>170</v>
      </c>
    </row>
    <row r="100" spans="2:6" ht="12.75" x14ac:dyDescent="0.2">
      <c r="B100" s="16"/>
      <c r="C100" s="36" t="s">
        <v>297</v>
      </c>
      <c r="D100" s="41">
        <f>1000*$D$92/D96</f>
        <v>726.26666666666677</v>
      </c>
      <c r="E100" s="6" t="s">
        <v>170</v>
      </c>
    </row>
    <row r="101" spans="2:6" x14ac:dyDescent="0.2">
      <c r="B101" s="16"/>
    </row>
    <row r="102" spans="2:6" ht="12.75" x14ac:dyDescent="0.2">
      <c r="B102" s="16"/>
      <c r="C102" s="36" t="s">
        <v>298</v>
      </c>
      <c r="D102" s="41">
        <f>D78+D98</f>
        <v>5987.1321677142405</v>
      </c>
      <c r="E102" s="6" t="s">
        <v>170</v>
      </c>
      <c r="F102" s="45" t="s">
        <v>307</v>
      </c>
    </row>
    <row r="103" spans="2:6" ht="12.75" x14ac:dyDescent="0.2">
      <c r="B103" s="16"/>
      <c r="C103" s="36" t="s">
        <v>299</v>
      </c>
      <c r="D103" s="41">
        <f>D79+D99</f>
        <v>5697.1769763090433</v>
      </c>
      <c r="E103" s="6" t="s">
        <v>170</v>
      </c>
    </row>
    <row r="104" spans="2:6" ht="12.75" x14ac:dyDescent="0.2">
      <c r="B104" s="16"/>
      <c r="C104" s="36" t="s">
        <v>300</v>
      </c>
      <c r="D104" s="41">
        <f>D80+D100</f>
        <v>5063.8351218782782</v>
      </c>
      <c r="E104" s="6" t="s">
        <v>170</v>
      </c>
    </row>
    <row r="105" spans="2:6" x14ac:dyDescent="0.2">
      <c r="B105" s="16"/>
    </row>
    <row r="106" spans="2:6" ht="12.75" x14ac:dyDescent="0.2">
      <c r="B106" s="16"/>
      <c r="C106" s="30" t="s">
        <v>163</v>
      </c>
      <c r="D106" s="42">
        <f>D102*PRICE_PER_KWH_2018_ELECTRICITY</f>
        <v>1184.2547427738768</v>
      </c>
      <c r="E106" s="6" t="s">
        <v>164</v>
      </c>
      <c r="F106" s="45" t="s">
        <v>308</v>
      </c>
    </row>
    <row r="107" spans="2:6" ht="12.75" x14ac:dyDescent="0.2">
      <c r="B107" s="16"/>
      <c r="C107" s="36" t="s">
        <v>203</v>
      </c>
      <c r="D107" s="42">
        <f>D103*PRICE_PER_KWH_2018_ELECTRICITY</f>
        <v>1126.9016059139287</v>
      </c>
      <c r="E107" s="6" t="s">
        <v>164</v>
      </c>
    </row>
    <row r="108" spans="2:6" ht="12.75" x14ac:dyDescent="0.2">
      <c r="B108" s="16"/>
      <c r="C108" s="36" t="s">
        <v>204</v>
      </c>
      <c r="D108" s="42">
        <f>D104*PRICE_PER_KWH_2018_ELECTRICITY</f>
        <v>1001.6265871075234</v>
      </c>
      <c r="E108" s="6" t="s">
        <v>164</v>
      </c>
      <c r="F108" s="226"/>
    </row>
    <row r="109" spans="2:6" x14ac:dyDescent="0.2">
      <c r="B109" s="16"/>
    </row>
    <row r="110" spans="2:6" x14ac:dyDescent="0.2">
      <c r="B110" s="16"/>
    </row>
    <row r="111" spans="2:6" ht="12.75" x14ac:dyDescent="0.2">
      <c r="B111" s="16"/>
      <c r="C111" s="10" t="s">
        <v>366</v>
      </c>
      <c r="D111" s="10"/>
    </row>
    <row r="112" spans="2:6" x14ac:dyDescent="0.2">
      <c r="B112" s="16"/>
    </row>
    <row r="113" spans="2:6" ht="12.75" x14ac:dyDescent="0.2">
      <c r="B113" s="16"/>
      <c r="C113" s="423" t="s">
        <v>1595</v>
      </c>
      <c r="D113" s="694" t="str">
        <f>INPUT_CHP_COOLCAP_SUPPLEMENTED</f>
        <v>2.5 ton (default HP partial displacement)</v>
      </c>
      <c r="E113" s="695"/>
    </row>
    <row r="114" spans="2:6" ht="12.75" x14ac:dyDescent="0.2">
      <c r="B114" s="16"/>
      <c r="C114" s="423" t="s">
        <v>1594</v>
      </c>
      <c r="D114" s="694" t="str">
        <f>INPUT_CHP_HEATCAP_SUPPLEMENTED</f>
        <v>2.5 ton (default HP partial displacement)</v>
      </c>
      <c r="E114" s="695"/>
    </row>
    <row r="115" spans="2:6" ht="12.75" x14ac:dyDescent="0.2">
      <c r="B115" s="16"/>
      <c r="C115" s="30" t="s">
        <v>1612</v>
      </c>
      <c r="D115" s="41" t="str">
        <f>LEFT(D113,SEARCH("ton",D113,1)-2)</f>
        <v>2.5</v>
      </c>
      <c r="E115" s="6" t="s">
        <v>173</v>
      </c>
    </row>
    <row r="116" spans="2:6" ht="12.75" x14ac:dyDescent="0.2">
      <c r="B116" s="16"/>
      <c r="C116" s="30" t="s">
        <v>1614</v>
      </c>
      <c r="D116" s="41" t="str">
        <f>LEFT(D114,SEARCH("ton",D114,1)-2)</f>
        <v>2.5</v>
      </c>
      <c r="E116" s="6" t="s">
        <v>173</v>
      </c>
      <c r="F116" s="617"/>
    </row>
    <row r="117" spans="2:6" ht="12.75" x14ac:dyDescent="0.2">
      <c r="B117" s="16"/>
      <c r="C117" s="30" t="s">
        <v>1615</v>
      </c>
      <c r="D117" s="190">
        <f>MAX(VALUE(D115),VALUE(D116))</f>
        <v>2.5</v>
      </c>
      <c r="E117" s="6" t="s">
        <v>173</v>
      </c>
    </row>
    <row r="118" spans="2:6" x14ac:dyDescent="0.2">
      <c r="B118" s="16"/>
    </row>
    <row r="119" spans="2:6" ht="12.75" x14ac:dyDescent="0.2">
      <c r="B119" s="16"/>
      <c r="C119" s="36" t="s">
        <v>217</v>
      </c>
      <c r="D119" s="44">
        <v>8.1999999999999993</v>
      </c>
      <c r="E119" s="6" t="s">
        <v>182</v>
      </c>
      <c r="F119" s="45" t="s">
        <v>303</v>
      </c>
    </row>
    <row r="120" spans="2:6" ht="12.75" x14ac:dyDescent="0.2">
      <c r="B120" s="16"/>
      <c r="C120" s="36" t="s">
        <v>218</v>
      </c>
      <c r="D120" s="44">
        <v>8.5</v>
      </c>
      <c r="E120" s="6" t="s">
        <v>182</v>
      </c>
      <c r="F120" s="45"/>
    </row>
    <row r="121" spans="2:6" ht="12.75" x14ac:dyDescent="0.2">
      <c r="B121" s="16"/>
      <c r="C121" s="36" t="s">
        <v>219</v>
      </c>
      <c r="D121" s="44">
        <v>9.6</v>
      </c>
      <c r="E121" s="6" t="s">
        <v>182</v>
      </c>
      <c r="F121" s="45"/>
    </row>
    <row r="122" spans="2:6" x14ac:dyDescent="0.2">
      <c r="B122" s="16"/>
    </row>
    <row r="123" spans="2:6" ht="12.75" x14ac:dyDescent="0.2">
      <c r="B123" s="16"/>
      <c r="C123" s="36" t="s">
        <v>209</v>
      </c>
      <c r="D123" s="44">
        <v>0.31</v>
      </c>
      <c r="E123" s="45" t="s">
        <v>206</v>
      </c>
    </row>
    <row r="124" spans="2:6" ht="12.75" x14ac:dyDescent="0.2">
      <c r="B124" s="16"/>
      <c r="C124" s="36" t="s">
        <v>210</v>
      </c>
      <c r="D124" s="44">
        <v>0.54</v>
      </c>
      <c r="E124" s="45" t="s">
        <v>206</v>
      </c>
    </row>
    <row r="125" spans="2:6" x14ac:dyDescent="0.2">
      <c r="B125" s="16"/>
    </row>
    <row r="126" spans="2:6" ht="12.75" x14ac:dyDescent="0.2">
      <c r="B126" s="16"/>
      <c r="C126" s="36" t="s">
        <v>220</v>
      </c>
      <c r="D126" s="37">
        <f>$D$123*$D$116*12/D119</f>
        <v>1.1341463414634148</v>
      </c>
      <c r="E126" s="6" t="s">
        <v>176</v>
      </c>
      <c r="F126" s="45" t="s">
        <v>216</v>
      </c>
    </row>
    <row r="127" spans="2:6" ht="12.75" x14ac:dyDescent="0.2">
      <c r="B127" s="16"/>
      <c r="C127" s="36" t="s">
        <v>221</v>
      </c>
      <c r="D127" s="37">
        <f>$D$123*$D$116*12/D120</f>
        <v>1.0941176470588236</v>
      </c>
      <c r="E127" s="6" t="s">
        <v>176</v>
      </c>
    </row>
    <row r="128" spans="2:6" ht="12.75" x14ac:dyDescent="0.2">
      <c r="B128" s="16"/>
      <c r="C128" s="36" t="s">
        <v>222</v>
      </c>
      <c r="D128" s="46">
        <f>$D$124*$D$116*12/D121</f>
        <v>1.6875000000000004</v>
      </c>
      <c r="E128" s="6" t="s">
        <v>176</v>
      </c>
    </row>
    <row r="129" spans="2:6" x14ac:dyDescent="0.2">
      <c r="B129" s="16"/>
    </row>
    <row r="130" spans="2:6" x14ac:dyDescent="0.2">
      <c r="B130" s="16"/>
    </row>
    <row r="131" spans="2:6" ht="12.75" x14ac:dyDescent="0.2">
      <c r="B131" s="16"/>
      <c r="C131" s="36" t="s">
        <v>208</v>
      </c>
      <c r="D131" s="44">
        <v>11.7</v>
      </c>
      <c r="E131" s="6" t="s">
        <v>175</v>
      </c>
      <c r="F131" s="45" t="s">
        <v>304</v>
      </c>
    </row>
    <row r="132" spans="2:6" ht="12.75" x14ac:dyDescent="0.2">
      <c r="B132" s="16"/>
      <c r="C132" s="36" t="s">
        <v>213</v>
      </c>
      <c r="D132" s="31">
        <f>$D$131</f>
        <v>11.7</v>
      </c>
      <c r="E132" s="6" t="s">
        <v>175</v>
      </c>
      <c r="F132" s="45" t="s">
        <v>223</v>
      </c>
    </row>
    <row r="133" spans="2:6" ht="12.75" x14ac:dyDescent="0.2">
      <c r="B133" s="16"/>
      <c r="C133" s="36" t="s">
        <v>214</v>
      </c>
      <c r="D133" s="31">
        <f>$D$131</f>
        <v>11.7</v>
      </c>
      <c r="E133" s="6" t="s">
        <v>175</v>
      </c>
      <c r="F133" s="45" t="s">
        <v>223</v>
      </c>
    </row>
    <row r="134" spans="2:6" x14ac:dyDescent="0.2">
      <c r="B134" s="16"/>
    </row>
    <row r="135" spans="2:6" ht="12.75" x14ac:dyDescent="0.2">
      <c r="B135" s="16"/>
      <c r="C135" s="36" t="s">
        <v>174</v>
      </c>
      <c r="D135" s="44">
        <v>0.5</v>
      </c>
      <c r="E135" s="45" t="s">
        <v>953</v>
      </c>
    </row>
    <row r="136" spans="2:6" x14ac:dyDescent="0.2">
      <c r="B136" s="16"/>
    </row>
    <row r="137" spans="2:6" ht="12.75" x14ac:dyDescent="0.2">
      <c r="B137" s="16"/>
      <c r="C137" s="36" t="s">
        <v>211</v>
      </c>
      <c r="D137" s="37">
        <f>$D$135*$D$115*12/D131</f>
        <v>1.2820512820512822</v>
      </c>
      <c r="E137" s="6" t="s">
        <v>176</v>
      </c>
      <c r="F137" s="45"/>
    </row>
    <row r="138" spans="2:6" ht="12.75" x14ac:dyDescent="0.2">
      <c r="B138" s="16"/>
      <c r="C138" s="36" t="s">
        <v>212</v>
      </c>
      <c r="D138" s="37">
        <f>$D$135*$D$115*12/D132</f>
        <v>1.2820512820512822</v>
      </c>
      <c r="E138" s="6" t="s">
        <v>176</v>
      </c>
    </row>
    <row r="139" spans="2:6" ht="12.75" x14ac:dyDescent="0.2">
      <c r="B139" s="16"/>
      <c r="C139" s="36" t="s">
        <v>215</v>
      </c>
      <c r="D139" s="37">
        <f>$D$135*$D$115*12/D133</f>
        <v>1.2820512820512822</v>
      </c>
      <c r="E139" s="6" t="s">
        <v>176</v>
      </c>
    </row>
    <row r="140" spans="2:6" x14ac:dyDescent="0.2">
      <c r="B140" s="16"/>
    </row>
    <row r="141" spans="2:6" x14ac:dyDescent="0.2">
      <c r="B141" s="16"/>
    </row>
    <row r="142" spans="2:6" ht="12.75" x14ac:dyDescent="0.2">
      <c r="B142" s="16"/>
      <c r="C142" s="10" t="s">
        <v>1143</v>
      </c>
      <c r="D142" s="10"/>
    </row>
    <row r="143" spans="2:6" ht="12.75" x14ac:dyDescent="0.2">
      <c r="B143" s="16"/>
      <c r="C143" s="420" t="s">
        <v>1207</v>
      </c>
      <c r="D143" s="422">
        <f>INPUT_SYSTEMINTEGRATIONCOST</f>
        <v>400</v>
      </c>
      <c r="E143" s="6" t="s">
        <v>1180</v>
      </c>
    </row>
    <row r="144" spans="2:6" x14ac:dyDescent="0.2">
      <c r="B144" s="16"/>
    </row>
    <row r="145" spans="2:5" x14ac:dyDescent="0.2">
      <c r="B145" s="16"/>
      <c r="C145" s="6" t="s">
        <v>1144</v>
      </c>
    </row>
    <row r="146" spans="2:5" x14ac:dyDescent="0.2">
      <c r="B146" s="16"/>
      <c r="C146" s="6" t="s">
        <v>1150</v>
      </c>
    </row>
    <row r="147" spans="2:5" x14ac:dyDescent="0.2">
      <c r="B147" s="16"/>
      <c r="C147" s="6" t="s">
        <v>1152</v>
      </c>
    </row>
    <row r="148" spans="2:5" ht="12.75" x14ac:dyDescent="0.2">
      <c r="B148" s="16"/>
      <c r="C148" s="420" t="s">
        <v>1146</v>
      </c>
      <c r="D148" s="406">
        <f>D149-(D150-D149)</f>
        <v>4337</v>
      </c>
      <c r="E148" s="6" t="s">
        <v>1145</v>
      </c>
    </row>
    <row r="149" spans="2:5" ht="12.75" x14ac:dyDescent="0.2">
      <c r="B149" s="16"/>
      <c r="C149" s="420" t="s">
        <v>1147</v>
      </c>
      <c r="D149" s="406">
        <f>COST_HP_16SEER_REPLACE</f>
        <v>4685</v>
      </c>
      <c r="E149" s="6" t="s">
        <v>1145</v>
      </c>
    </row>
    <row r="150" spans="2:5" ht="12.75" x14ac:dyDescent="0.2">
      <c r="B150" s="16"/>
      <c r="C150" s="420" t="s">
        <v>1148</v>
      </c>
      <c r="D150" s="406">
        <f>COST_HP_18SEER_REPLACE</f>
        <v>5033</v>
      </c>
      <c r="E150" s="6" t="s">
        <v>1145</v>
      </c>
    </row>
    <row r="151" spans="2:5" x14ac:dyDescent="0.2">
      <c r="B151" s="16"/>
    </row>
    <row r="152" spans="2:5" x14ac:dyDescent="0.2">
      <c r="B152" s="16"/>
      <c r="C152" s="6" t="s">
        <v>1151</v>
      </c>
    </row>
    <row r="153" spans="2:5" ht="12.75" x14ac:dyDescent="0.2">
      <c r="B153" s="16"/>
      <c r="C153" s="420" t="s">
        <v>1146</v>
      </c>
      <c r="D153" s="406">
        <f>D148*$D$117+$D$143</f>
        <v>11242.5</v>
      </c>
      <c r="E153" s="6" t="s">
        <v>1149</v>
      </c>
    </row>
    <row r="154" spans="2:5" ht="12.75" x14ac:dyDescent="0.2">
      <c r="B154" s="16"/>
      <c r="C154" s="420" t="s">
        <v>1147</v>
      </c>
      <c r="D154" s="406">
        <f>D149*$D$117+$D$143</f>
        <v>12112.5</v>
      </c>
      <c r="E154" s="6" t="s">
        <v>1149</v>
      </c>
    </row>
    <row r="155" spans="2:5" ht="12.75" x14ac:dyDescent="0.2">
      <c r="B155" s="16"/>
      <c r="C155" s="420" t="s">
        <v>1148</v>
      </c>
      <c r="D155" s="406">
        <f>D150*$D$117+$D$143</f>
        <v>12982.5</v>
      </c>
      <c r="E155" s="6" t="s">
        <v>1149</v>
      </c>
    </row>
    <row r="156" spans="2:5" x14ac:dyDescent="0.2">
      <c r="B156" s="16"/>
    </row>
    <row r="157" spans="2:5" x14ac:dyDescent="0.2">
      <c r="B157" s="16"/>
    </row>
  </sheetData>
  <mergeCells count="22">
    <mergeCell ref="D113:E113"/>
    <mergeCell ref="D114:E114"/>
    <mergeCell ref="D50:E50"/>
    <mergeCell ref="F50:G50"/>
    <mergeCell ref="H50:I50"/>
    <mergeCell ref="H52:I52"/>
    <mergeCell ref="D58:G58"/>
    <mergeCell ref="D59:G59"/>
    <mergeCell ref="D60:G60"/>
    <mergeCell ref="D61:G61"/>
    <mergeCell ref="J50:K50"/>
    <mergeCell ref="D51:E51"/>
    <mergeCell ref="F51:G51"/>
    <mergeCell ref="H51:I51"/>
    <mergeCell ref="J51:K51"/>
    <mergeCell ref="J52:K52"/>
    <mergeCell ref="D53:E53"/>
    <mergeCell ref="F53:G53"/>
    <mergeCell ref="H53:I53"/>
    <mergeCell ref="J53:K53"/>
    <mergeCell ref="D52:E52"/>
    <mergeCell ref="F52:G52"/>
  </mergeCells>
  <dataValidations disablePrompts="1" count="2">
    <dataValidation type="list" allowBlank="1" showInputMessage="1" showErrorMessage="1" sqref="D5">
      <formula1>"1. Not Started,2. Analyzing,3. Ready"</formula1>
    </dataValidation>
    <dataValidation type="list" allowBlank="1" showInputMessage="1" showErrorMessage="1" sqref="D9">
      <formula1>DEFINED_MEASURES</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sheetPr>
  <dimension ref="A1:AD156"/>
  <sheetViews>
    <sheetView topLeftCell="A4" workbookViewId="0"/>
  </sheetViews>
  <sheetFormatPr defaultColWidth="9.33203125" defaultRowHeight="11.25" x14ac:dyDescent="0.2"/>
  <cols>
    <col min="1" max="2" width="3.33203125" style="6" customWidth="1"/>
    <col min="3" max="3" width="22.6640625" style="6" bestFit="1" customWidth="1"/>
    <col min="4" max="4" width="22.5" style="6" customWidth="1"/>
    <col min="5" max="5" width="26.6640625" style="6" customWidth="1"/>
    <col min="6" max="6" width="15" style="6" customWidth="1"/>
    <col min="7" max="7" width="13.5" style="6" customWidth="1"/>
    <col min="8" max="8" width="17.5" style="6" customWidth="1"/>
    <col min="9" max="9" width="22.33203125" style="6" bestFit="1" customWidth="1"/>
    <col min="10" max="10" width="20.5" style="6" bestFit="1" customWidth="1"/>
    <col min="11"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29" t="s">
        <v>83</v>
      </c>
      <c r="E9" s="7" t="s">
        <v>290</v>
      </c>
    </row>
    <row r="10" spans="1:30" ht="12.75" x14ac:dyDescent="0.2">
      <c r="B10" s="16"/>
      <c r="C10" s="30" t="s">
        <v>289</v>
      </c>
      <c r="D10" s="83" t="str">
        <f>INDEX(Tbl_MeasureList[Baseline ID],MATCH($D$9,Tbl_MeasureList[Measure ID],0))</f>
        <v>BASE02</v>
      </c>
      <c r="E10" s="7"/>
    </row>
    <row r="11" spans="1:30" x14ac:dyDescent="0.2">
      <c r="B11" s="16"/>
      <c r="C11" s="7"/>
      <c r="D11" s="7"/>
      <c r="E11" s="7"/>
    </row>
    <row r="12" spans="1:30" ht="12" thickBot="1" x14ac:dyDescent="0.25">
      <c r="B12" s="16"/>
      <c r="C12" s="7"/>
      <c r="D12" s="160" t="s">
        <v>5</v>
      </c>
      <c r="E12" s="160" t="s">
        <v>284</v>
      </c>
    </row>
    <row r="13" spans="1:30" x14ac:dyDescent="0.2">
      <c r="B13" s="16"/>
      <c r="C13" s="32" t="s">
        <v>2</v>
      </c>
      <c r="D13" s="84" t="str">
        <f>INDEX(Tbl_MeasureList[Baseline Equipment ID],MATCH($D$9,Tbl_MeasureList[Measure ID],0))</f>
        <v>EQUI002</v>
      </c>
      <c r="E13" s="84" t="str">
        <f>INDEX(Tbl_MeasureList[Replacement ID],MATCH($D$9,Tbl_MeasureList[Measure ID],0))</f>
        <v>EQUI006</v>
      </c>
      <c r="F13" s="7"/>
    </row>
    <row r="14" spans="1:30" ht="22.5" x14ac:dyDescent="0.2">
      <c r="B14" s="16"/>
      <c r="C14" s="32" t="s">
        <v>4</v>
      </c>
      <c r="D14" s="223" t="str">
        <f>INDEX(Tbl_EquipmentDefinitions[[Equipment Name]:[Equipment Name]],MATCH(D$13,Tbl_EquipmentDefinitions[[Equipment ID]:[Equipment ID]],0))</f>
        <v>Baseline A/C Blend+Propane Furnace</v>
      </c>
      <c r="E14" s="223" t="str">
        <f>INDEX(Tbl_EquipmentDefinitions[[Equipment Name]:[Equipment Name]],MATCH(E$13,Tbl_EquipmentDefinitions[[Equipment ID]:[Equipment ID]],0))</f>
        <v>Central HP+Propane Furnace</v>
      </c>
      <c r="F14" s="7"/>
    </row>
    <row r="15" spans="1:30" x14ac:dyDescent="0.2">
      <c r="B15" s="16"/>
      <c r="C15" s="32" t="s">
        <v>24</v>
      </c>
      <c r="D15" s="84" t="str">
        <f>INDEX(Tbl_EquipmentDefinitions[[Function]:[Function]],MATCH(D$13,Tbl_EquipmentDefinitions[[Equipment ID]:[Equipment ID]],0))</f>
        <v>Cool+Heat</v>
      </c>
      <c r="E15" s="84" t="str">
        <f>INDEX(Tbl_EquipmentDefinitions[[Function]:[Function]],MATCH(E$13,Tbl_EquipmentDefinitions[[Equipment ID]:[Equipment ID]],0))</f>
        <v>Cool+Heat</v>
      </c>
      <c r="F15" s="7"/>
    </row>
    <row r="16" spans="1:30" x14ac:dyDescent="0.2">
      <c r="B16" s="16"/>
      <c r="C16" s="32" t="s">
        <v>7</v>
      </c>
      <c r="D16" s="85" t="str">
        <f>INDEX(Tbl_EquipmentDefinitions[[Fuel Type]:[Fuel Type]],MATCH(D$13,Tbl_EquipmentDefinitions[[Equipment ID]:[Equipment ID]],0))</f>
        <v>Electric+Propane</v>
      </c>
      <c r="E16" s="85" t="str">
        <f>INDEX(Tbl_EquipmentDefinitions[[Fuel Type]:[Fuel Type]],MATCH(E$13,Tbl_EquipmentDefinitions[[Equipment ID]:[Equipment ID]],0))</f>
        <v>Electric+Propane</v>
      </c>
      <c r="F16" s="7"/>
    </row>
    <row r="17" spans="2:14" x14ac:dyDescent="0.2">
      <c r="B17" s="16"/>
      <c r="C17" s="32" t="s">
        <v>126</v>
      </c>
      <c r="D17" s="84">
        <f>IF(ISERR(SEARCH("+",D16,1)),1,2)</f>
        <v>2</v>
      </c>
      <c r="E17" s="84">
        <f>IF(ISERR(SEARCH("+",E16,1)),1,2)</f>
        <v>2</v>
      </c>
      <c r="F17" s="7"/>
    </row>
    <row r="18" spans="2:14" x14ac:dyDescent="0.2">
      <c r="B18" s="16"/>
      <c r="C18" s="32" t="s">
        <v>155</v>
      </c>
      <c r="D18" s="86">
        <f>INDEX(Tbl_BaselineSummary[Space Heating Load (MMBtu/yr)],MATCH($D$10,Tbl_BaselineSummary[Baseline ID],0))</f>
        <v>68.400000000000006</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11.3</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160" t="s">
        <v>127</v>
      </c>
      <c r="D25" s="281" t="s">
        <v>345</v>
      </c>
      <c r="E25" s="385" t="s">
        <v>956</v>
      </c>
      <c r="F25" s="281" t="s">
        <v>326</v>
      </c>
      <c r="G25" s="421" t="s">
        <v>1532</v>
      </c>
      <c r="H25" s="385" t="s">
        <v>958</v>
      </c>
      <c r="I25" s="569" t="s">
        <v>1447</v>
      </c>
      <c r="J25" s="569" t="s">
        <v>1448</v>
      </c>
      <c r="L25" s="160" t="s">
        <v>1533</v>
      </c>
      <c r="M25" s="421" t="s">
        <v>1531</v>
      </c>
    </row>
    <row r="26" spans="2:14" ht="11.25" customHeight="1" x14ac:dyDescent="0.2">
      <c r="B26" s="16"/>
      <c r="C26" s="32" t="s">
        <v>6</v>
      </c>
      <c r="D26" s="122">
        <f>D102</f>
        <v>8040.8243010459673</v>
      </c>
      <c r="E26" s="126">
        <f>D126</f>
        <v>1.1341463414634148</v>
      </c>
      <c r="F26" s="111">
        <f>D106</f>
        <v>1590.4750467468923</v>
      </c>
      <c r="G26" s="111">
        <f>D152</f>
        <v>11242.5</v>
      </c>
      <c r="H26" s="126">
        <f>D137</f>
        <v>1.2820512820512822</v>
      </c>
      <c r="I26" s="122">
        <f>D98</f>
        <v>933.7714285714286</v>
      </c>
      <c r="J26" s="122">
        <f>D78</f>
        <v>7107.0528724745391</v>
      </c>
      <c r="L26" s="84">
        <f t="shared" ref="L26:M28" si="0">F26+E32+E38+E44</f>
        <v>2232.7080470011774</v>
      </c>
      <c r="M26" s="86">
        <f t="shared" si="0"/>
        <v>11242.5</v>
      </c>
    </row>
    <row r="27" spans="2:14" x14ac:dyDescent="0.2">
      <c r="B27" s="16"/>
      <c r="C27" s="32" t="s">
        <v>19</v>
      </c>
      <c r="D27" s="122">
        <f>D103</f>
        <v>7675.360475720574</v>
      </c>
      <c r="E27" s="126">
        <f>D127</f>
        <v>1.0941176470588236</v>
      </c>
      <c r="F27" s="111">
        <f>D107</f>
        <v>1518.1863020975295</v>
      </c>
      <c r="G27" s="111">
        <f t="shared" ref="G27:G28" si="1">D153</f>
        <v>12112.5</v>
      </c>
      <c r="H27" s="126">
        <f t="shared" ref="H27:H28" si="2">D138</f>
        <v>1.2820512820512822</v>
      </c>
      <c r="I27" s="122">
        <f t="shared" ref="I27:I28" si="3">D99</f>
        <v>817.05000000000007</v>
      </c>
      <c r="J27" s="122">
        <f t="shared" ref="J27:J28" si="4">D79</f>
        <v>6858.3104757205738</v>
      </c>
      <c r="L27" s="84">
        <f t="shared" si="0"/>
        <v>2160.4193023518146</v>
      </c>
      <c r="M27" s="86">
        <f t="shared" si="0"/>
        <v>12112.5</v>
      </c>
    </row>
    <row r="28" spans="2:14" x14ac:dyDescent="0.2">
      <c r="B28" s="16"/>
      <c r="C28" s="32" t="s">
        <v>20</v>
      </c>
      <c r="D28" s="122">
        <f>D104</f>
        <v>6805.5297747758614</v>
      </c>
      <c r="E28" s="126">
        <f>D128</f>
        <v>1.6875000000000004</v>
      </c>
      <c r="F28" s="111">
        <f>D108</f>
        <v>1346.1337894506653</v>
      </c>
      <c r="G28" s="111">
        <f t="shared" si="1"/>
        <v>12982.5</v>
      </c>
      <c r="H28" s="126">
        <f t="shared" si="2"/>
        <v>1.2820512820512822</v>
      </c>
      <c r="I28" s="122">
        <f t="shared" si="3"/>
        <v>726.26666666666677</v>
      </c>
      <c r="J28" s="122">
        <f t="shared" si="4"/>
        <v>6079.2631081091949</v>
      </c>
      <c r="L28" s="84">
        <f t="shared" si="0"/>
        <v>1988.3667897049504</v>
      </c>
      <c r="M28" s="86">
        <f t="shared" si="0"/>
        <v>12982.5</v>
      </c>
    </row>
    <row r="29" spans="2:14" x14ac:dyDescent="0.2">
      <c r="B29" s="16"/>
    </row>
    <row r="30" spans="2:14" ht="12.75" thickBot="1" x14ac:dyDescent="0.25">
      <c r="B30" s="16"/>
      <c r="C30" s="34" t="s">
        <v>55</v>
      </c>
      <c r="D30" s="34"/>
      <c r="E30" s="33"/>
      <c r="F30" s="33"/>
    </row>
    <row r="31" spans="2:14" ht="23.25" thickBot="1" x14ac:dyDescent="0.25">
      <c r="B31" s="16"/>
      <c r="C31" s="160" t="s">
        <v>127</v>
      </c>
      <c r="D31" s="281" t="s">
        <v>325</v>
      </c>
      <c r="E31" s="281" t="s">
        <v>326</v>
      </c>
      <c r="F31" s="421" t="s">
        <v>1532</v>
      </c>
    </row>
    <row r="32" spans="2:14" x14ac:dyDescent="0.2">
      <c r="B32" s="16"/>
      <c r="C32" s="32" t="s">
        <v>6</v>
      </c>
      <c r="D32" s="40">
        <v>0</v>
      </c>
      <c r="E32" s="39">
        <v>0</v>
      </c>
      <c r="F32" s="39">
        <v>0</v>
      </c>
      <c r="G32" s="7" t="s">
        <v>128</v>
      </c>
    </row>
    <row r="33" spans="2:14" x14ac:dyDescent="0.2">
      <c r="B33" s="16"/>
      <c r="C33" s="32" t="s">
        <v>19</v>
      </c>
      <c r="D33" s="40">
        <v>0</v>
      </c>
      <c r="E33" s="39">
        <v>0</v>
      </c>
      <c r="F33" s="39">
        <v>0</v>
      </c>
    </row>
    <row r="34" spans="2:14" x14ac:dyDescent="0.2">
      <c r="B34" s="16"/>
      <c r="C34" s="32" t="s">
        <v>20</v>
      </c>
      <c r="D34" s="40">
        <v>0</v>
      </c>
      <c r="E34" s="39">
        <v>0</v>
      </c>
      <c r="F34" s="39">
        <v>0</v>
      </c>
    </row>
    <row r="35" spans="2:14" x14ac:dyDescent="0.2">
      <c r="B35" s="16"/>
    </row>
    <row r="36" spans="2:14" ht="12.75" thickBot="1" x14ac:dyDescent="0.25">
      <c r="B36" s="16"/>
      <c r="C36" s="34" t="s">
        <v>28</v>
      </c>
      <c r="D36" s="34"/>
      <c r="E36" s="33"/>
      <c r="F36" s="33"/>
    </row>
    <row r="37" spans="2:14" ht="23.25" thickBot="1" x14ac:dyDescent="0.25">
      <c r="B37" s="16"/>
      <c r="C37" s="160" t="s">
        <v>127</v>
      </c>
      <c r="D37" s="281" t="s">
        <v>756</v>
      </c>
      <c r="E37" s="281" t="s">
        <v>326</v>
      </c>
      <c r="F37" s="421" t="s">
        <v>1532</v>
      </c>
    </row>
    <row r="38" spans="2:14" x14ac:dyDescent="0.2">
      <c r="B38" s="16"/>
      <c r="C38" s="32" t="s">
        <v>6</v>
      </c>
      <c r="D38" s="122">
        <f>$D$86</f>
        <v>17.866910329645027</v>
      </c>
      <c r="E38" s="111">
        <f>$D$87</f>
        <v>642.23300025428512</v>
      </c>
      <c r="F38" s="139">
        <v>0</v>
      </c>
      <c r="G38" s="7" t="s">
        <v>128</v>
      </c>
    </row>
    <row r="39" spans="2:14" x14ac:dyDescent="0.2">
      <c r="B39" s="16"/>
      <c r="C39" s="32" t="s">
        <v>19</v>
      </c>
      <c r="D39" s="122">
        <f>$D$86</f>
        <v>17.866910329645027</v>
      </c>
      <c r="E39" s="111">
        <f>$D$87</f>
        <v>642.23300025428512</v>
      </c>
      <c r="F39" s="139">
        <v>0</v>
      </c>
    </row>
    <row r="40" spans="2:14" x14ac:dyDescent="0.2">
      <c r="B40" s="16"/>
      <c r="C40" s="32" t="s">
        <v>20</v>
      </c>
      <c r="D40" s="122">
        <f>$D$86</f>
        <v>17.866910329645027</v>
      </c>
      <c r="E40" s="111">
        <f>$D$87</f>
        <v>642.23300025428512</v>
      </c>
      <c r="F40" s="139">
        <v>0</v>
      </c>
    </row>
    <row r="41" spans="2:14" x14ac:dyDescent="0.2">
      <c r="B41" s="16"/>
    </row>
    <row r="42" spans="2:14" ht="12.75" thickBot="1" x14ac:dyDescent="0.25">
      <c r="B42" s="16"/>
      <c r="C42" s="34" t="s">
        <v>27</v>
      </c>
      <c r="D42" s="34"/>
      <c r="E42" s="33"/>
      <c r="F42" s="33"/>
    </row>
    <row r="43" spans="2:14" ht="23.25" thickBot="1" x14ac:dyDescent="0.25">
      <c r="B43" s="16"/>
      <c r="C43" s="160" t="s">
        <v>127</v>
      </c>
      <c r="D43" s="281" t="s">
        <v>756</v>
      </c>
      <c r="E43" s="281" t="s">
        <v>326</v>
      </c>
      <c r="F43" s="421" t="s">
        <v>1532</v>
      </c>
    </row>
    <row r="44" spans="2:14" x14ac:dyDescent="0.2">
      <c r="B44" s="16"/>
      <c r="C44" s="32" t="s">
        <v>6</v>
      </c>
      <c r="D44" s="39">
        <v>0</v>
      </c>
      <c r="E44" s="39">
        <v>0</v>
      </c>
      <c r="F44" s="39">
        <v>0</v>
      </c>
      <c r="G44" s="7" t="s">
        <v>128</v>
      </c>
    </row>
    <row r="45" spans="2:14" x14ac:dyDescent="0.2">
      <c r="B45" s="16"/>
      <c r="C45" s="32" t="s">
        <v>19</v>
      </c>
      <c r="D45" s="39">
        <v>0</v>
      </c>
      <c r="E45" s="39">
        <v>0</v>
      </c>
      <c r="F45" s="39">
        <v>0</v>
      </c>
    </row>
    <row r="46" spans="2:14" x14ac:dyDescent="0.2">
      <c r="B46" s="16"/>
      <c r="C46" s="32" t="s">
        <v>20</v>
      </c>
      <c r="D46" s="39">
        <v>0</v>
      </c>
      <c r="E46" s="39">
        <v>0</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14 SEER/11.7 EER/8.2 HSPF</v>
      </c>
      <c r="E51" s="690"/>
      <c r="F51" s="693" t="str">
        <f>INDEX(Tbl_EquipmentDefinitions[Natural Gas Code Efficiency],MATCH($E$13,Tbl_EquipmentDefinitions[Equipment ID],0))</f>
        <v>-</v>
      </c>
      <c r="G51" s="690"/>
      <c r="H51" s="693" t="str">
        <f>INDEX(Tbl_EquipmentDefinitions[Propane Code Efficiency],MATCH($E$13,Tbl_EquipmentDefinitions[Equipment ID],0))</f>
        <v>85% AFUE</v>
      </c>
      <c r="I51" s="690"/>
      <c r="J51" s="693" t="str">
        <f>INDEX(Tbl_EquipmentDefinitions[Oil Code Efficiency],MATCH($E$13,Tbl_EquipmentDefinitions[Equipment ID],0))</f>
        <v>-</v>
      </c>
      <c r="K51" s="690"/>
    </row>
    <row r="52" spans="2:14" ht="12.75" x14ac:dyDescent="0.2">
      <c r="B52" s="16"/>
      <c r="C52" s="30" t="s">
        <v>153</v>
      </c>
      <c r="D52" s="689" t="str">
        <f>INDEX(Tbl_EquipmentDefinitions[Electricity Low Measure Efficiency],MATCH($E$13,Tbl_EquipmentDefinitions[Equipment ID],0))</f>
        <v>16 SEER/8.5 HSPF</v>
      </c>
      <c r="E52" s="690"/>
      <c r="F52" s="689" t="str">
        <f>INDEX(Tbl_EquipmentDefinitions[Natural Gas Low Measure Efficiency],MATCH($E$13,Tbl_EquipmentDefinitions[Equipment ID],0))</f>
        <v>-</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18 SEER/9.6 HSPF</v>
      </c>
      <c r="E53" s="690"/>
      <c r="F53" s="689" t="str">
        <f>INDEX(Tbl_EquipmentDefinitions[Natural Gas High Measure Efficiency],MATCH($E$13,Tbl_EquipmentDefinitions[Equipment ID],0))</f>
        <v>-</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160" t="s">
        <v>131</v>
      </c>
      <c r="D58" s="691" t="s">
        <v>132</v>
      </c>
      <c r="E58" s="692"/>
      <c r="F58" s="692"/>
      <c r="G58" s="692"/>
    </row>
    <row r="59" spans="2:14" x14ac:dyDescent="0.2">
      <c r="B59" s="16"/>
      <c r="C59" s="32" t="s">
        <v>207</v>
      </c>
      <c r="D59" s="696" t="s">
        <v>206</v>
      </c>
      <c r="E59" s="697"/>
      <c r="F59" s="697"/>
      <c r="G59" s="697"/>
    </row>
    <row r="60" spans="2:14" x14ac:dyDescent="0.2">
      <c r="B60" s="16"/>
      <c r="C60" s="32" t="s">
        <v>174</v>
      </c>
      <c r="D60" s="698" t="s">
        <v>206</v>
      </c>
      <c r="E60" s="699"/>
      <c r="F60" s="699"/>
      <c r="G60" s="699"/>
    </row>
    <row r="61" spans="2:14" x14ac:dyDescent="0.2">
      <c r="B61" s="16"/>
      <c r="C61" s="32" t="s">
        <v>309</v>
      </c>
      <c r="D61" s="698" t="s">
        <v>282</v>
      </c>
      <c r="E61" s="699"/>
      <c r="F61" s="699"/>
      <c r="G61" s="699"/>
    </row>
    <row r="62" spans="2:14" x14ac:dyDescent="0.2">
      <c r="B62" s="16"/>
    </row>
    <row r="64" spans="2:14" ht="13.5" thickBot="1" x14ac:dyDescent="0.25">
      <c r="B64" s="9" t="s">
        <v>129</v>
      </c>
      <c r="C64" s="9"/>
      <c r="D64" s="9"/>
      <c r="E64" s="9"/>
      <c r="F64" s="9"/>
      <c r="G64" s="9"/>
      <c r="H64" s="9"/>
      <c r="I64" s="9"/>
      <c r="J64" s="9"/>
      <c r="K64" s="9"/>
      <c r="L64" s="9"/>
      <c r="M64" s="9"/>
      <c r="N64" s="9"/>
    </row>
    <row r="65" spans="2:6" x14ac:dyDescent="0.2">
      <c r="B65" s="15"/>
    </row>
    <row r="66" spans="2:6" ht="12.75" x14ac:dyDescent="0.2">
      <c r="B66" s="16"/>
      <c r="C66" s="10" t="s">
        <v>531</v>
      </c>
      <c r="D66" s="10"/>
    </row>
    <row r="67" spans="2:6" x14ac:dyDescent="0.2">
      <c r="B67" s="16"/>
    </row>
    <row r="68" spans="2:6" ht="12.75" x14ac:dyDescent="0.2">
      <c r="B68" s="16"/>
      <c r="C68" s="30" t="s">
        <v>155</v>
      </c>
      <c r="D68" s="88">
        <f>$D$18</f>
        <v>68.400000000000006</v>
      </c>
      <c r="E68" s="6" t="s">
        <v>156</v>
      </c>
    </row>
    <row r="69" spans="2:6" x14ac:dyDescent="0.2">
      <c r="B69" s="16"/>
    </row>
    <row r="70" spans="2:6" ht="12.75" x14ac:dyDescent="0.2">
      <c r="B70" s="16"/>
      <c r="C70" s="30" t="s">
        <v>159</v>
      </c>
      <c r="D70" s="44">
        <v>8.1999999999999993</v>
      </c>
      <c r="E70" s="6" t="s">
        <v>182</v>
      </c>
      <c r="F70" s="45" t="s">
        <v>301</v>
      </c>
    </row>
    <row r="71" spans="2:6" ht="12.75" x14ac:dyDescent="0.2">
      <c r="B71" s="16"/>
      <c r="C71" s="36" t="s">
        <v>180</v>
      </c>
      <c r="D71" s="44">
        <v>8.5</v>
      </c>
      <c r="E71" s="6" t="s">
        <v>182</v>
      </c>
      <c r="F71" s="8"/>
    </row>
    <row r="72" spans="2:6" ht="12.75" x14ac:dyDescent="0.2">
      <c r="B72" s="16"/>
      <c r="C72" s="36" t="s">
        <v>181</v>
      </c>
      <c r="D72" s="44">
        <v>9.6</v>
      </c>
      <c r="E72" s="6" t="s">
        <v>182</v>
      </c>
      <c r="F72" s="8"/>
    </row>
    <row r="73" spans="2:6" x14ac:dyDescent="0.2">
      <c r="B73" s="16"/>
    </row>
    <row r="74" spans="2:6" x14ac:dyDescent="0.2">
      <c r="B74" s="16"/>
      <c r="C74" s="5" t="s">
        <v>250</v>
      </c>
      <c r="D74" s="5"/>
    </row>
    <row r="75" spans="2:6" ht="12.75" x14ac:dyDescent="0.2">
      <c r="B75" s="16"/>
      <c r="C75" s="53" t="s">
        <v>526</v>
      </c>
      <c r="D75" s="54">
        <f>374.55/1043</f>
        <v>0.35910834132310643</v>
      </c>
      <c r="E75" s="188" t="s">
        <v>176</v>
      </c>
      <c r="F75" s="45" t="s">
        <v>951</v>
      </c>
    </row>
    <row r="76" spans="2:6" ht="12.75" x14ac:dyDescent="0.2">
      <c r="B76" s="16"/>
      <c r="C76" s="36" t="s">
        <v>528</v>
      </c>
      <c r="D76" s="189">
        <v>0.25</v>
      </c>
      <c r="E76" s="45" t="s">
        <v>961</v>
      </c>
    </row>
    <row r="77" spans="2:6" x14ac:dyDescent="0.2">
      <c r="B77" s="16"/>
    </row>
    <row r="78" spans="2:6" ht="12.75" x14ac:dyDescent="0.2">
      <c r="B78" s="16"/>
      <c r="C78" s="36" t="s">
        <v>292</v>
      </c>
      <c r="D78" s="41">
        <f>($D$68/HPFUELCALC_REF_HEATINGLOAD)/($D70/HPFUELCALC_REF_CHP_HSPF)*HPPROPANECALC_CHP_HPCONSUMPTION
+($D$68/HPFUELCALC_REF_HEATINGLOAD)*HPPROPANECALC_CHP_CHPRESISTANCECONSUMPTION
+HPPROPANECALC_CHP_FURNACEFANCONSUMPTION*$D$75/HPFUELCALC_REF_FUELPOWER_KW*($D$76/HPFUELCALC_REF_FUELPOWER_CF)</f>
        <v>7107.0528724745391</v>
      </c>
      <c r="E78" s="6" t="s">
        <v>170</v>
      </c>
      <c r="F78" s="45" t="s">
        <v>305</v>
      </c>
    </row>
    <row r="79" spans="2:6" ht="12.75" x14ac:dyDescent="0.2">
      <c r="B79" s="16"/>
      <c r="C79" s="36" t="s">
        <v>293</v>
      </c>
      <c r="D79" s="41">
        <f>($D$68/HPFUELCALC_REF_HEATINGLOAD)/($D71/HPFUELCALC_REF_CHP_HSPF)*HPPROPANECALC_CHP_HPCONSUMPTION
+($D$68/HPFUELCALC_REF_HEATINGLOAD)*HPPROPANECALC_CHP_CHPRESISTANCECONSUMPTION
+HPPROPANECALC_CHP_FURNACEFANCONSUMPTION*$D$75/HPFUELCALC_REF_FUELPOWER_KW*($D$76/HPFUELCALC_REF_FUELPOWER_CF)</f>
        <v>6858.3104757205738</v>
      </c>
      <c r="E79" s="6" t="s">
        <v>170</v>
      </c>
      <c r="F79" s="45" t="s">
        <v>527</v>
      </c>
    </row>
    <row r="80" spans="2:6" ht="12.75" x14ac:dyDescent="0.2">
      <c r="B80" s="16"/>
      <c r="C80" s="36" t="s">
        <v>294</v>
      </c>
      <c r="D80" s="41">
        <f>($D$68/HPFUELCALC_REF_HEATINGLOAD)/($D72/HPFUELCALC_REF_CHP_HSPF)*HPPROPANECALC_CHP_HPCONSUMPTION
+($D$68/HPFUELCALC_REF_HEATINGLOAD)*HPPROPANECALC_CHP_CHPRESISTANCECONSUMPTION
+HPPROPANECALC_CHP_FURNACEFANCONSUMPTION*$D$75/HPFUELCALC_REF_FUELPOWER_KW*($D$76/HPFUELCALC_REF_FUELPOWER_CF)</f>
        <v>6079.2631081091949</v>
      </c>
      <c r="E80" s="6" t="s">
        <v>170</v>
      </c>
      <c r="F80" s="45"/>
    </row>
    <row r="81" spans="2:6" x14ac:dyDescent="0.2">
      <c r="B81" s="16"/>
      <c r="F81" s="45"/>
    </row>
    <row r="82" spans="2:6" ht="12.75" x14ac:dyDescent="0.2">
      <c r="B82" s="16"/>
      <c r="C82" s="10" t="s">
        <v>533</v>
      </c>
      <c r="D82" s="10"/>
      <c r="F82" s="45"/>
    </row>
    <row r="83" spans="2:6" x14ac:dyDescent="0.2">
      <c r="B83" s="16"/>
      <c r="F83" s="45"/>
    </row>
    <row r="84" spans="2:6" ht="12.75" x14ac:dyDescent="0.2">
      <c r="B84" s="16"/>
      <c r="C84" s="30" t="s">
        <v>529</v>
      </c>
      <c r="D84" s="150">
        <v>0.78900000000000003</v>
      </c>
      <c r="E84" s="6" t="s">
        <v>158</v>
      </c>
    </row>
    <row r="85" spans="2:6" x14ac:dyDescent="0.2">
      <c r="B85" s="16"/>
      <c r="F85" s="45"/>
    </row>
    <row r="86" spans="2:6" ht="12.75" x14ac:dyDescent="0.2">
      <c r="B86" s="16"/>
      <c r="C86" s="36" t="s">
        <v>530</v>
      </c>
      <c r="D86" s="190">
        <f>D68*HPPROPANECALC_CHP_FURNACEPROPANECONSUMPTION/(D84/HPFUELCALC_REF_AFUE)/10</f>
        <v>17.866910329645027</v>
      </c>
      <c r="E86" s="6" t="s">
        <v>481</v>
      </c>
      <c r="F86" s="45"/>
    </row>
    <row r="87" spans="2:6" ht="12.75" x14ac:dyDescent="0.2">
      <c r="B87" s="16"/>
      <c r="C87" s="36" t="s">
        <v>729</v>
      </c>
      <c r="D87" s="282">
        <f>D86*PRICE_PER_MMBTU_2018_PROPANE</f>
        <v>642.23300025428512</v>
      </c>
      <c r="E87" s="6" t="s">
        <v>164</v>
      </c>
      <c r="F87" s="45"/>
    </row>
    <row r="88" spans="2:6" x14ac:dyDescent="0.2">
      <c r="B88" s="16"/>
      <c r="F88" s="45"/>
    </row>
    <row r="89" spans="2:6" x14ac:dyDescent="0.2">
      <c r="B89" s="16"/>
      <c r="F89" s="45"/>
    </row>
    <row r="90" spans="2:6" ht="12.75" x14ac:dyDescent="0.2">
      <c r="B90" s="16"/>
      <c r="C90" s="10" t="s">
        <v>532</v>
      </c>
      <c r="D90" s="10"/>
      <c r="F90" s="45"/>
    </row>
    <row r="91" spans="2:6" x14ac:dyDescent="0.2">
      <c r="B91" s="16"/>
      <c r="F91" s="45"/>
    </row>
    <row r="92" spans="2:6" ht="12.75" x14ac:dyDescent="0.2">
      <c r="B92" s="16"/>
      <c r="C92" s="30" t="s">
        <v>167</v>
      </c>
      <c r="D92" s="87">
        <f>$D$19</f>
        <v>13.072800000000001</v>
      </c>
      <c r="E92" s="6" t="s">
        <v>156</v>
      </c>
    </row>
    <row r="93" spans="2:6" x14ac:dyDescent="0.2">
      <c r="B93" s="16"/>
    </row>
    <row r="94" spans="2:6" ht="12.75" x14ac:dyDescent="0.2">
      <c r="B94" s="16"/>
      <c r="C94" s="36" t="s">
        <v>168</v>
      </c>
      <c r="D94" s="44">
        <v>14</v>
      </c>
      <c r="E94" s="6" t="s">
        <v>169</v>
      </c>
      <c r="F94" s="45" t="s">
        <v>302</v>
      </c>
    </row>
    <row r="95" spans="2:6" ht="12.75" x14ac:dyDescent="0.2">
      <c r="B95" s="16"/>
      <c r="C95" s="36" t="s">
        <v>201</v>
      </c>
      <c r="D95" s="44">
        <v>16</v>
      </c>
      <c r="E95" s="6" t="s">
        <v>169</v>
      </c>
    </row>
    <row r="96" spans="2:6" ht="12.75" x14ac:dyDescent="0.2">
      <c r="B96" s="16"/>
      <c r="C96" s="36" t="s">
        <v>202</v>
      </c>
      <c r="D96" s="44">
        <v>18</v>
      </c>
      <c r="E96" s="6" t="s">
        <v>169</v>
      </c>
    </row>
    <row r="97" spans="2:6" x14ac:dyDescent="0.2">
      <c r="B97" s="16"/>
    </row>
    <row r="98" spans="2:6" ht="12.75" x14ac:dyDescent="0.2">
      <c r="B98" s="16"/>
      <c r="C98" s="36" t="s">
        <v>295</v>
      </c>
      <c r="D98" s="41">
        <f>1000*$D$92/D94</f>
        <v>933.7714285714286</v>
      </c>
      <c r="E98" s="6" t="s">
        <v>170</v>
      </c>
      <c r="F98" s="45" t="s">
        <v>306</v>
      </c>
    </row>
    <row r="99" spans="2:6" ht="12.75" x14ac:dyDescent="0.2">
      <c r="B99" s="16"/>
      <c r="C99" s="36" t="s">
        <v>296</v>
      </c>
      <c r="D99" s="41">
        <f>1000*$D$92/D95</f>
        <v>817.05000000000007</v>
      </c>
      <c r="E99" s="6" t="s">
        <v>170</v>
      </c>
    </row>
    <row r="100" spans="2:6" ht="12.75" x14ac:dyDescent="0.2">
      <c r="B100" s="16"/>
      <c r="C100" s="36" t="s">
        <v>297</v>
      </c>
      <c r="D100" s="41">
        <f>1000*$D$92/D96</f>
        <v>726.26666666666677</v>
      </c>
      <c r="E100" s="6" t="s">
        <v>170</v>
      </c>
    </row>
    <row r="101" spans="2:6" x14ac:dyDescent="0.2">
      <c r="B101" s="16"/>
    </row>
    <row r="102" spans="2:6" ht="12.75" x14ac:dyDescent="0.2">
      <c r="B102" s="16"/>
      <c r="C102" s="36" t="s">
        <v>298</v>
      </c>
      <c r="D102" s="41">
        <f>D78+D98</f>
        <v>8040.8243010459673</v>
      </c>
      <c r="E102" s="6" t="s">
        <v>170</v>
      </c>
      <c r="F102" s="45" t="s">
        <v>307</v>
      </c>
    </row>
    <row r="103" spans="2:6" ht="12.75" x14ac:dyDescent="0.2">
      <c r="B103" s="16"/>
      <c r="C103" s="36" t="s">
        <v>299</v>
      </c>
      <c r="D103" s="41">
        <f>D79+D99</f>
        <v>7675.360475720574</v>
      </c>
      <c r="E103" s="6" t="s">
        <v>170</v>
      </c>
    </row>
    <row r="104" spans="2:6" ht="12.75" x14ac:dyDescent="0.2">
      <c r="B104" s="16"/>
      <c r="C104" s="36" t="s">
        <v>300</v>
      </c>
      <c r="D104" s="41">
        <f>D80+D100</f>
        <v>6805.5297747758614</v>
      </c>
      <c r="E104" s="6" t="s">
        <v>170</v>
      </c>
    </row>
    <row r="105" spans="2:6" x14ac:dyDescent="0.2">
      <c r="B105" s="16"/>
    </row>
    <row r="106" spans="2:6" ht="12.75" x14ac:dyDescent="0.2">
      <c r="B106" s="16"/>
      <c r="C106" s="30" t="s">
        <v>163</v>
      </c>
      <c r="D106" s="42">
        <f>D102*PRICE_PER_KWH_2018_ELECTRICITY</f>
        <v>1590.4750467468923</v>
      </c>
      <c r="E106" s="6" t="s">
        <v>164</v>
      </c>
      <c r="F106" s="45" t="s">
        <v>308</v>
      </c>
    </row>
    <row r="107" spans="2:6" ht="12.75" x14ac:dyDescent="0.2">
      <c r="B107" s="16"/>
      <c r="C107" s="36" t="s">
        <v>203</v>
      </c>
      <c r="D107" s="42">
        <f>D103*PRICE_PER_KWH_2018_ELECTRICITY</f>
        <v>1518.1863020975295</v>
      </c>
      <c r="E107" s="6" t="s">
        <v>164</v>
      </c>
    </row>
    <row r="108" spans="2:6" ht="12.75" x14ac:dyDescent="0.2">
      <c r="B108" s="16"/>
      <c r="C108" s="36" t="s">
        <v>204</v>
      </c>
      <c r="D108" s="42">
        <f>D104*PRICE_PER_KWH_2018_ELECTRICITY</f>
        <v>1346.1337894506653</v>
      </c>
      <c r="E108" s="6" t="s">
        <v>164</v>
      </c>
    </row>
    <row r="109" spans="2:6" x14ac:dyDescent="0.2">
      <c r="B109" s="16"/>
    </row>
    <row r="110" spans="2:6" x14ac:dyDescent="0.2">
      <c r="B110" s="16"/>
    </row>
    <row r="111" spans="2:6" ht="12.75" x14ac:dyDescent="0.2">
      <c r="B111" s="16"/>
      <c r="C111" s="10" t="s">
        <v>366</v>
      </c>
      <c r="D111" s="10"/>
    </row>
    <row r="112" spans="2:6" x14ac:dyDescent="0.2">
      <c r="B112" s="16"/>
    </row>
    <row r="113" spans="2:6" ht="12.75" x14ac:dyDescent="0.2">
      <c r="B113" s="16"/>
      <c r="C113" s="423" t="s">
        <v>1595</v>
      </c>
      <c r="D113" s="694" t="str">
        <f>INPUT_CHP_COOLCAP_SUPPLEMENTED</f>
        <v>2.5 ton (default HP partial displacement)</v>
      </c>
      <c r="E113" s="695"/>
    </row>
    <row r="114" spans="2:6" ht="12.75" x14ac:dyDescent="0.2">
      <c r="B114" s="16"/>
      <c r="C114" s="423" t="s">
        <v>1594</v>
      </c>
      <c r="D114" s="694" t="str">
        <f>INPUT_CHP_HEATCAP_SUPPLEMENTED</f>
        <v>2.5 ton (default HP partial displacement)</v>
      </c>
      <c r="E114" s="695"/>
    </row>
    <row r="115" spans="2:6" ht="12.75" x14ac:dyDescent="0.2">
      <c r="B115" s="16"/>
      <c r="C115" s="30" t="s">
        <v>1612</v>
      </c>
      <c r="D115" s="41" t="str">
        <f>LEFT(D113,SEARCH("ton",D113,1)-2)</f>
        <v>2.5</v>
      </c>
    </row>
    <row r="116" spans="2:6" ht="12.75" x14ac:dyDescent="0.2">
      <c r="B116" s="16"/>
      <c r="C116" s="30" t="s">
        <v>1614</v>
      </c>
      <c r="D116" s="41" t="str">
        <f>LEFT(D114,SEARCH("ton",D114,1)-2)</f>
        <v>2.5</v>
      </c>
    </row>
    <row r="117" spans="2:6" ht="12.75" x14ac:dyDescent="0.2">
      <c r="B117" s="16"/>
      <c r="C117" s="30" t="s">
        <v>1615</v>
      </c>
      <c r="D117" s="190">
        <f>MAX(VALUE(D115),VALUE(D116))</f>
        <v>2.5</v>
      </c>
      <c r="E117" s="6" t="s">
        <v>173</v>
      </c>
    </row>
    <row r="118" spans="2:6" x14ac:dyDescent="0.2">
      <c r="B118" s="16"/>
    </row>
    <row r="119" spans="2:6" ht="12.75" x14ac:dyDescent="0.2">
      <c r="B119" s="16"/>
      <c r="C119" s="36" t="s">
        <v>217</v>
      </c>
      <c r="D119" s="44">
        <v>8.1999999999999993</v>
      </c>
      <c r="E119" s="6" t="s">
        <v>182</v>
      </c>
      <c r="F119" s="45" t="s">
        <v>303</v>
      </c>
    </row>
    <row r="120" spans="2:6" ht="12.75" x14ac:dyDescent="0.2">
      <c r="B120" s="16"/>
      <c r="C120" s="36" t="s">
        <v>218</v>
      </c>
      <c r="D120" s="44">
        <v>8.5</v>
      </c>
      <c r="E120" s="6" t="s">
        <v>182</v>
      </c>
      <c r="F120" s="45"/>
    </row>
    <row r="121" spans="2:6" ht="12.75" x14ac:dyDescent="0.2">
      <c r="B121" s="16"/>
      <c r="C121" s="36" t="s">
        <v>219</v>
      </c>
      <c r="D121" s="44">
        <v>9.6</v>
      </c>
      <c r="E121" s="6" t="s">
        <v>182</v>
      </c>
      <c r="F121" s="45"/>
    </row>
    <row r="122" spans="2:6" x14ac:dyDescent="0.2">
      <c r="B122" s="16"/>
    </row>
    <row r="123" spans="2:6" ht="12.75" x14ac:dyDescent="0.2">
      <c r="B123" s="16"/>
      <c r="C123" s="36" t="s">
        <v>209</v>
      </c>
      <c r="D123" s="44">
        <v>0.31</v>
      </c>
      <c r="E123" s="45" t="s">
        <v>206</v>
      </c>
    </row>
    <row r="124" spans="2:6" ht="12.75" x14ac:dyDescent="0.2">
      <c r="B124" s="16"/>
      <c r="C124" s="36" t="s">
        <v>210</v>
      </c>
      <c r="D124" s="44">
        <v>0.54</v>
      </c>
      <c r="E124" s="45" t="s">
        <v>206</v>
      </c>
    </row>
    <row r="125" spans="2:6" x14ac:dyDescent="0.2">
      <c r="B125" s="16"/>
    </row>
    <row r="126" spans="2:6" ht="12.75" x14ac:dyDescent="0.2">
      <c r="B126" s="16"/>
      <c r="C126" s="36" t="s">
        <v>220</v>
      </c>
      <c r="D126" s="37">
        <f>$D$123*$D$116*12/D119</f>
        <v>1.1341463414634148</v>
      </c>
      <c r="E126" s="6" t="s">
        <v>176</v>
      </c>
      <c r="F126" s="45" t="s">
        <v>216</v>
      </c>
    </row>
    <row r="127" spans="2:6" ht="12.75" x14ac:dyDescent="0.2">
      <c r="B127" s="16"/>
      <c r="C127" s="36" t="s">
        <v>221</v>
      </c>
      <c r="D127" s="37">
        <f>$D$123*$D$116*12/D120</f>
        <v>1.0941176470588236</v>
      </c>
      <c r="E127" s="6" t="s">
        <v>176</v>
      </c>
    </row>
    <row r="128" spans="2:6" ht="12.75" x14ac:dyDescent="0.2">
      <c r="B128" s="16"/>
      <c r="C128" s="36" t="s">
        <v>222</v>
      </c>
      <c r="D128" s="46">
        <f>$D$124*$D$116*12/D121</f>
        <v>1.6875000000000004</v>
      </c>
      <c r="E128" s="6" t="s">
        <v>176</v>
      </c>
    </row>
    <row r="129" spans="2:6" x14ac:dyDescent="0.2">
      <c r="B129" s="16"/>
    </row>
    <row r="130" spans="2:6" x14ac:dyDescent="0.2">
      <c r="B130" s="16"/>
    </row>
    <row r="131" spans="2:6" ht="12.75" x14ac:dyDescent="0.2">
      <c r="B131" s="16"/>
      <c r="C131" s="36" t="s">
        <v>208</v>
      </c>
      <c r="D131" s="44">
        <v>11.7</v>
      </c>
      <c r="E131" s="6" t="s">
        <v>175</v>
      </c>
      <c r="F131" s="45" t="s">
        <v>304</v>
      </c>
    </row>
    <row r="132" spans="2:6" ht="12.75" x14ac:dyDescent="0.2">
      <c r="B132" s="16"/>
      <c r="C132" s="36" t="s">
        <v>213</v>
      </c>
      <c r="D132" s="31">
        <f>$D$131</f>
        <v>11.7</v>
      </c>
      <c r="E132" s="6" t="s">
        <v>175</v>
      </c>
      <c r="F132" s="45" t="s">
        <v>223</v>
      </c>
    </row>
    <row r="133" spans="2:6" ht="12.75" x14ac:dyDescent="0.2">
      <c r="B133" s="16"/>
      <c r="C133" s="36" t="s">
        <v>214</v>
      </c>
      <c r="D133" s="31">
        <f>$D$131</f>
        <v>11.7</v>
      </c>
      <c r="E133" s="6" t="s">
        <v>175</v>
      </c>
      <c r="F133" s="45" t="s">
        <v>223</v>
      </c>
    </row>
    <row r="134" spans="2:6" x14ac:dyDescent="0.2">
      <c r="B134" s="16"/>
    </row>
    <row r="135" spans="2:6" ht="12.75" x14ac:dyDescent="0.2">
      <c r="B135" s="16"/>
      <c r="C135" s="36" t="s">
        <v>174</v>
      </c>
      <c r="D135" s="44">
        <v>0.5</v>
      </c>
      <c r="E135" s="45" t="s">
        <v>953</v>
      </c>
    </row>
    <row r="136" spans="2:6" x14ac:dyDescent="0.2">
      <c r="B136" s="16"/>
    </row>
    <row r="137" spans="2:6" ht="12.75" x14ac:dyDescent="0.2">
      <c r="B137" s="16"/>
      <c r="C137" s="36" t="s">
        <v>211</v>
      </c>
      <c r="D137" s="37">
        <f>$D$135*$D$115*12/D131</f>
        <v>1.2820512820512822</v>
      </c>
      <c r="E137" s="6" t="s">
        <v>176</v>
      </c>
      <c r="F137" s="45"/>
    </row>
    <row r="138" spans="2:6" ht="12.75" x14ac:dyDescent="0.2">
      <c r="B138" s="16"/>
      <c r="C138" s="36" t="s">
        <v>212</v>
      </c>
      <c r="D138" s="37">
        <f>$D$135*$D$115*12/D132</f>
        <v>1.2820512820512822</v>
      </c>
      <c r="E138" s="6" t="s">
        <v>176</v>
      </c>
    </row>
    <row r="139" spans="2:6" ht="12.75" x14ac:dyDescent="0.2">
      <c r="B139" s="16"/>
      <c r="C139" s="36" t="s">
        <v>215</v>
      </c>
      <c r="D139" s="37">
        <f>$D$135*$D$115*12/D133</f>
        <v>1.2820512820512822</v>
      </c>
      <c r="E139" s="6" t="s">
        <v>176</v>
      </c>
    </row>
    <row r="140" spans="2:6" x14ac:dyDescent="0.2">
      <c r="B140" s="16"/>
    </row>
    <row r="141" spans="2:6" ht="12.75" x14ac:dyDescent="0.2">
      <c r="B141" s="16"/>
      <c r="C141" s="10" t="s">
        <v>1143</v>
      </c>
      <c r="D141" s="10"/>
    </row>
    <row r="142" spans="2:6" ht="12.75" x14ac:dyDescent="0.2">
      <c r="B142" s="16"/>
      <c r="C142" s="420" t="s">
        <v>1207</v>
      </c>
      <c r="D142" s="422">
        <f>INPUT_SYSTEMINTEGRATIONCOST</f>
        <v>400</v>
      </c>
      <c r="E142" s="6" t="s">
        <v>1180</v>
      </c>
    </row>
    <row r="143" spans="2:6" x14ac:dyDescent="0.2">
      <c r="B143" s="16"/>
    </row>
    <row r="144" spans="2:6" x14ac:dyDescent="0.2">
      <c r="B144" s="16"/>
      <c r="C144" s="6" t="s">
        <v>1144</v>
      </c>
    </row>
    <row r="145" spans="2:5" x14ac:dyDescent="0.2">
      <c r="B145" s="16"/>
      <c r="C145" s="6" t="s">
        <v>1150</v>
      </c>
    </row>
    <row r="146" spans="2:5" x14ac:dyDescent="0.2">
      <c r="B146" s="16"/>
      <c r="C146" s="6" t="s">
        <v>1152</v>
      </c>
    </row>
    <row r="147" spans="2:5" x14ac:dyDescent="0.2">
      <c r="B147" s="16"/>
      <c r="C147" s="6" t="s">
        <v>1146</v>
      </c>
      <c r="D147" s="406">
        <f>D148-(D149-D148)</f>
        <v>4337</v>
      </c>
      <c r="E147" s="6" t="s">
        <v>1145</v>
      </c>
    </row>
    <row r="148" spans="2:5" x14ac:dyDescent="0.2">
      <c r="B148" s="16"/>
      <c r="C148" s="6" t="s">
        <v>1147</v>
      </c>
      <c r="D148" s="406">
        <f>COST_HP_16SEER_REPLACE</f>
        <v>4685</v>
      </c>
      <c r="E148" s="6" t="s">
        <v>1145</v>
      </c>
    </row>
    <row r="149" spans="2:5" x14ac:dyDescent="0.2">
      <c r="B149" s="16"/>
      <c r="C149" s="6" t="s">
        <v>1148</v>
      </c>
      <c r="D149" s="406">
        <f>COST_HP_18SEER_REPLACE</f>
        <v>5033</v>
      </c>
      <c r="E149" s="6" t="s">
        <v>1145</v>
      </c>
    </row>
    <row r="150" spans="2:5" x14ac:dyDescent="0.2">
      <c r="B150" s="16"/>
    </row>
    <row r="151" spans="2:5" x14ac:dyDescent="0.2">
      <c r="B151" s="16"/>
      <c r="C151" s="6" t="s">
        <v>1151</v>
      </c>
    </row>
    <row r="152" spans="2:5" x14ac:dyDescent="0.2">
      <c r="B152" s="16"/>
      <c r="C152" s="6" t="s">
        <v>1146</v>
      </c>
      <c r="D152" s="406">
        <f>D147*$D$117+$D$142</f>
        <v>11242.5</v>
      </c>
      <c r="E152" s="6" t="s">
        <v>1149</v>
      </c>
    </row>
    <row r="153" spans="2:5" x14ac:dyDescent="0.2">
      <c r="B153" s="16"/>
      <c r="C153" s="6" t="s">
        <v>1147</v>
      </c>
      <c r="D153" s="406">
        <f>D148*$D$117+$D$142</f>
        <v>12112.5</v>
      </c>
      <c r="E153" s="6" t="s">
        <v>1149</v>
      </c>
    </row>
    <row r="154" spans="2:5" x14ac:dyDescent="0.2">
      <c r="B154" s="16"/>
      <c r="C154" s="6" t="s">
        <v>1148</v>
      </c>
      <c r="D154" s="406">
        <f>D149*$D$117+$D$142</f>
        <v>12982.5</v>
      </c>
      <c r="E154" s="6" t="s">
        <v>1149</v>
      </c>
    </row>
    <row r="155" spans="2:5" x14ac:dyDescent="0.2">
      <c r="B155" s="16"/>
    </row>
    <row r="156" spans="2:5" x14ac:dyDescent="0.2">
      <c r="B156" s="16"/>
    </row>
  </sheetData>
  <mergeCells count="22">
    <mergeCell ref="D113:E113"/>
    <mergeCell ref="D114:E114"/>
    <mergeCell ref="D50:E50"/>
    <mergeCell ref="F50:G50"/>
    <mergeCell ref="H50:I50"/>
    <mergeCell ref="H52:I52"/>
    <mergeCell ref="D58:G58"/>
    <mergeCell ref="D59:G59"/>
    <mergeCell ref="D60:G60"/>
    <mergeCell ref="D61:G61"/>
    <mergeCell ref="J50:K50"/>
    <mergeCell ref="D51:E51"/>
    <mergeCell ref="F51:G51"/>
    <mergeCell ref="H51:I51"/>
    <mergeCell ref="J51:K51"/>
    <mergeCell ref="J52:K52"/>
    <mergeCell ref="D53:E53"/>
    <mergeCell ref="F53:G53"/>
    <mergeCell ref="H53:I53"/>
    <mergeCell ref="J53:K53"/>
    <mergeCell ref="D52:E52"/>
    <mergeCell ref="F52:G52"/>
  </mergeCells>
  <dataValidations count="2">
    <dataValidation type="list" allowBlank="1" showInputMessage="1" showErrorMessage="1" sqref="D9">
      <formula1>DEFINED_MEASURES</formula1>
    </dataValidation>
    <dataValidation type="list" allowBlank="1" showInputMessage="1" showErrorMessage="1" sqref="D5">
      <formula1>"1. Not Started,2. Analyzing,3. Ready"</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sheetPr>
  <dimension ref="A1:AD164"/>
  <sheetViews>
    <sheetView workbookViewId="0"/>
  </sheetViews>
  <sheetFormatPr defaultColWidth="9.33203125" defaultRowHeight="11.25" x14ac:dyDescent="0.2"/>
  <cols>
    <col min="1" max="2" width="3.33203125" style="6" customWidth="1"/>
    <col min="3" max="3" width="22.6640625" style="6" bestFit="1" customWidth="1"/>
    <col min="4" max="4" width="20.83203125" style="6" customWidth="1"/>
    <col min="5" max="5" width="21" style="6" customWidth="1"/>
    <col min="6" max="6" width="15" style="6" customWidth="1"/>
    <col min="7" max="7" width="13.5" style="6" customWidth="1"/>
    <col min="8" max="8" width="15.83203125" style="6" customWidth="1"/>
    <col min="9" max="9" width="22.33203125" style="6" bestFit="1" customWidth="1"/>
    <col min="10" max="10" width="20.5" style="6" bestFit="1" customWidth="1"/>
    <col min="11" max="11" width="9.33203125" style="6"/>
    <col min="12" max="12" width="16.5" style="6" customWidth="1"/>
    <col min="13" max="13" width="17.1640625" style="6" customWidth="1"/>
    <col min="14"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29" t="s">
        <v>84</v>
      </c>
      <c r="E9" s="7" t="s">
        <v>290</v>
      </c>
    </row>
    <row r="10" spans="1:30" ht="12.75" x14ac:dyDescent="0.2">
      <c r="B10" s="16"/>
      <c r="C10" s="30" t="s">
        <v>289</v>
      </c>
      <c r="D10" s="83" t="e">
        <f>INDEX(Tbl_MeasureList[Baseline ID],MATCH($D$9,Tbl_MeasureList[Measure ID],0))</f>
        <v>#N/A</v>
      </c>
      <c r="E10" s="7"/>
    </row>
    <row r="11" spans="1:30" x14ac:dyDescent="0.2">
      <c r="B11" s="16"/>
      <c r="C11" s="7"/>
      <c r="D11" s="7"/>
      <c r="E11" s="7"/>
    </row>
    <row r="12" spans="1:30" ht="12" thickBot="1" x14ac:dyDescent="0.25">
      <c r="B12" s="16"/>
      <c r="C12" s="7"/>
      <c r="D12" s="160" t="s">
        <v>5</v>
      </c>
      <c r="E12" s="160" t="s">
        <v>284</v>
      </c>
    </row>
    <row r="13" spans="1:30" x14ac:dyDescent="0.2">
      <c r="B13" s="16"/>
      <c r="C13" s="32" t="s">
        <v>2</v>
      </c>
      <c r="D13" s="84" t="e">
        <f>INDEX(Tbl_MeasureList[Baseline Equipment ID],MATCH($D$9,Tbl_MeasureList[Measure ID],0))</f>
        <v>#N/A</v>
      </c>
      <c r="E13" s="84" t="e">
        <f>INDEX(Tbl_MeasureList[Replacement ID],MATCH($D$9,Tbl_MeasureList[Measure ID],0))</f>
        <v>#N/A</v>
      </c>
      <c r="F13" s="7"/>
    </row>
    <row r="14" spans="1:30" x14ac:dyDescent="0.2">
      <c r="B14" s="16"/>
      <c r="C14" s="32" t="s">
        <v>4</v>
      </c>
      <c r="D14" s="85" t="e">
        <f>INDEX(Tbl_EquipmentDefinitions[[Equipment Name]:[Equipment Name]],MATCH(D$13,Tbl_EquipmentDefinitions[[Equipment ID]:[Equipment ID]],0))</f>
        <v>#N/A</v>
      </c>
      <c r="E14" s="85" t="e">
        <f>INDEX(Tbl_EquipmentDefinitions[[Equipment Name]:[Equipment Name]],MATCH(E$13,Tbl_EquipmentDefinitions[[Equipment ID]:[Equipment ID]],0))</f>
        <v>#N/A</v>
      </c>
      <c r="F14" s="7"/>
    </row>
    <row r="15" spans="1:30" x14ac:dyDescent="0.2">
      <c r="B15" s="16"/>
      <c r="C15" s="32" t="s">
        <v>24</v>
      </c>
      <c r="D15" s="84" t="e">
        <f>INDEX(Tbl_EquipmentDefinitions[[Function]:[Function]],MATCH(D$13,Tbl_EquipmentDefinitions[[Equipment ID]:[Equipment ID]],0))</f>
        <v>#N/A</v>
      </c>
      <c r="E15" s="84" t="e">
        <f>INDEX(Tbl_EquipmentDefinitions[[Function]:[Function]],MATCH(E$13,Tbl_EquipmentDefinitions[[Equipment ID]:[Equipment ID]],0))</f>
        <v>#N/A</v>
      </c>
      <c r="F15" s="7"/>
    </row>
    <row r="16" spans="1:30" x14ac:dyDescent="0.2">
      <c r="B16" s="16"/>
      <c r="C16" s="32" t="s">
        <v>7</v>
      </c>
      <c r="D16" s="85" t="e">
        <f>INDEX(Tbl_EquipmentDefinitions[[Fuel Type]:[Fuel Type]],MATCH(D$13,Tbl_EquipmentDefinitions[[Equipment ID]:[Equipment ID]],0))</f>
        <v>#N/A</v>
      </c>
      <c r="E16" s="85" t="e">
        <f>INDEX(Tbl_EquipmentDefinitions[[Fuel Type]:[Fuel Type]],MATCH(E$13,Tbl_EquipmentDefinitions[[Equipment ID]:[Equipment ID]],0))</f>
        <v>#N/A</v>
      </c>
      <c r="F16" s="7"/>
    </row>
    <row r="17" spans="2:14" x14ac:dyDescent="0.2">
      <c r="B17" s="16"/>
      <c r="C17" s="32" t="s">
        <v>126</v>
      </c>
      <c r="D17" s="84">
        <f>IF(ISERR(SEARCH("+",D16,1)),1,2)</f>
        <v>2</v>
      </c>
      <c r="E17" s="84">
        <f>IF(ISERR(SEARCH("+",E16,1)),1,2)</f>
        <v>2</v>
      </c>
      <c r="F17" s="7"/>
    </row>
    <row r="18" spans="2:14" x14ac:dyDescent="0.2">
      <c r="B18" s="16"/>
      <c r="C18" s="32" t="s">
        <v>155</v>
      </c>
      <c r="D18" s="86" t="e">
        <f>INDEX(Tbl_BaselineSummary[Space Heating Load (MMBtu/yr)],MATCH($D$10,Tbl_BaselineSummary[Baseline ID],0))</f>
        <v>#N/A</v>
      </c>
      <c r="F18" s="7"/>
    </row>
    <row r="19" spans="2:14" x14ac:dyDescent="0.2">
      <c r="B19" s="16"/>
      <c r="C19" s="32" t="s">
        <v>167</v>
      </c>
      <c r="D19" s="84" t="e">
        <f>INDEX(Tbl_BaselineSummary[Space Cooling Load (MMBtu/yr)],MATCH($D$10,Tbl_BaselineSummary[Baseline ID],0))</f>
        <v>#N/A</v>
      </c>
      <c r="F19" s="7"/>
    </row>
    <row r="20" spans="2:14" x14ac:dyDescent="0.2">
      <c r="B20" s="16"/>
      <c r="C20" s="32" t="s">
        <v>244</v>
      </c>
      <c r="D20" s="86" t="e">
        <f>INDEX(Tbl_BaselineSummary[Water Heating Load (MMBtu/yr)],MATCH($D$10,Tbl_BaselineSummary[Baseline ID],0))</f>
        <v>#N/A</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160" t="s">
        <v>127</v>
      </c>
      <c r="D25" s="281" t="s">
        <v>345</v>
      </c>
      <c r="E25" s="385" t="s">
        <v>956</v>
      </c>
      <c r="F25" s="281" t="s">
        <v>326</v>
      </c>
      <c r="G25" s="421" t="s">
        <v>1532</v>
      </c>
      <c r="H25" s="385" t="s">
        <v>958</v>
      </c>
      <c r="I25" s="569" t="s">
        <v>1447</v>
      </c>
      <c r="J25" s="569" t="s">
        <v>1448</v>
      </c>
      <c r="L25" s="160" t="s">
        <v>1533</v>
      </c>
      <c r="M25" s="421" t="s">
        <v>1531</v>
      </c>
    </row>
    <row r="26" spans="2:14" ht="11.25" customHeight="1" x14ac:dyDescent="0.2">
      <c r="B26" s="16"/>
      <c r="C26" s="32" t="s">
        <v>6</v>
      </c>
      <c r="D26" s="122" t="e">
        <f>D102</f>
        <v>#N/A</v>
      </c>
      <c r="E26" s="126" t="e">
        <f>D123</f>
        <v>#REF!</v>
      </c>
      <c r="F26" s="296" t="e">
        <f>D106</f>
        <v>#N/A</v>
      </c>
      <c r="G26" s="296" t="e">
        <f>D149</f>
        <v>#REF!</v>
      </c>
      <c r="H26" s="126" t="e">
        <f>D134</f>
        <v>#REF!</v>
      </c>
      <c r="I26" s="122" t="e">
        <f>D98</f>
        <v>#N/A</v>
      </c>
      <c r="J26" s="122" t="e">
        <f>D78</f>
        <v>#N/A</v>
      </c>
      <c r="L26" s="201" t="e">
        <f>F26+E32+E38+E44</f>
        <v>#N/A</v>
      </c>
      <c r="M26" s="203" t="e">
        <f>G26+F32+F38+F44</f>
        <v>#REF!</v>
      </c>
    </row>
    <row r="27" spans="2:14" x14ac:dyDescent="0.2">
      <c r="B27" s="16"/>
      <c r="C27" s="32" t="s">
        <v>19</v>
      </c>
      <c r="D27" s="122" t="e">
        <f>D103</f>
        <v>#N/A</v>
      </c>
      <c r="E27" s="126" t="e">
        <f>D124</f>
        <v>#REF!</v>
      </c>
      <c r="F27" s="296" t="e">
        <f>D107</f>
        <v>#N/A</v>
      </c>
      <c r="G27" s="296" t="e">
        <f t="shared" ref="G27:G28" si="0">D150</f>
        <v>#REF!</v>
      </c>
      <c r="H27" s="126" t="e">
        <f t="shared" ref="H27:H28" si="1">D135</f>
        <v>#REF!</v>
      </c>
      <c r="I27" s="122" t="e">
        <f t="shared" ref="I27:I28" si="2">D99</f>
        <v>#N/A</v>
      </c>
      <c r="J27" s="122" t="e">
        <f t="shared" ref="J27:J28" si="3">D79</f>
        <v>#N/A</v>
      </c>
      <c r="L27" s="201" t="e">
        <f t="shared" ref="L27:M28" si="4">F27+E33+E39+E45</f>
        <v>#N/A</v>
      </c>
      <c r="M27" s="203" t="e">
        <f t="shared" si="4"/>
        <v>#REF!</v>
      </c>
    </row>
    <row r="28" spans="2:14" x14ac:dyDescent="0.2">
      <c r="B28" s="16"/>
      <c r="C28" s="32" t="s">
        <v>20</v>
      </c>
      <c r="D28" s="122" t="e">
        <f>D104</f>
        <v>#N/A</v>
      </c>
      <c r="E28" s="126" t="e">
        <f>D125</f>
        <v>#REF!</v>
      </c>
      <c r="F28" s="296" t="e">
        <f>D108</f>
        <v>#N/A</v>
      </c>
      <c r="G28" s="296" t="e">
        <f t="shared" si="0"/>
        <v>#REF!</v>
      </c>
      <c r="H28" s="126" t="e">
        <f t="shared" si="1"/>
        <v>#REF!</v>
      </c>
      <c r="I28" s="122" t="e">
        <f t="shared" si="2"/>
        <v>#N/A</v>
      </c>
      <c r="J28" s="122" t="e">
        <f t="shared" si="3"/>
        <v>#N/A</v>
      </c>
      <c r="L28" s="201" t="e">
        <f t="shared" si="4"/>
        <v>#N/A</v>
      </c>
      <c r="M28" s="203" t="e">
        <f t="shared" si="4"/>
        <v>#REF!</v>
      </c>
    </row>
    <row r="29" spans="2:14" x14ac:dyDescent="0.2">
      <c r="B29" s="16"/>
    </row>
    <row r="30" spans="2:14" ht="12.75" thickBot="1" x14ac:dyDescent="0.25">
      <c r="B30" s="16"/>
      <c r="C30" s="34" t="s">
        <v>55</v>
      </c>
      <c r="D30" s="34"/>
      <c r="E30" s="33"/>
      <c r="F30" s="33"/>
    </row>
    <row r="31" spans="2:14" ht="23.25" thickBot="1" x14ac:dyDescent="0.25">
      <c r="B31" s="16"/>
      <c r="C31" s="160" t="s">
        <v>127</v>
      </c>
      <c r="D31" s="281" t="s">
        <v>325</v>
      </c>
      <c r="E31" s="281" t="s">
        <v>326</v>
      </c>
      <c r="F31" s="421" t="s">
        <v>1532</v>
      </c>
    </row>
    <row r="32" spans="2:14" x14ac:dyDescent="0.2">
      <c r="B32" s="16"/>
      <c r="C32" s="32" t="s">
        <v>6</v>
      </c>
      <c r="D32" s="40">
        <v>0</v>
      </c>
      <c r="E32" s="39">
        <v>0</v>
      </c>
      <c r="F32" s="39">
        <v>0</v>
      </c>
      <c r="G32" s="7" t="s">
        <v>128</v>
      </c>
    </row>
    <row r="33" spans="2:14" x14ac:dyDescent="0.2">
      <c r="B33" s="16"/>
      <c r="C33" s="32" t="s">
        <v>19</v>
      </c>
      <c r="D33" s="40">
        <v>0</v>
      </c>
      <c r="E33" s="39">
        <v>0</v>
      </c>
      <c r="F33" s="39">
        <v>0</v>
      </c>
    </row>
    <row r="34" spans="2:14" x14ac:dyDescent="0.2">
      <c r="B34" s="16"/>
      <c r="C34" s="32" t="s">
        <v>20</v>
      </c>
      <c r="D34" s="40">
        <v>0</v>
      </c>
      <c r="E34" s="39">
        <v>0</v>
      </c>
      <c r="F34" s="39">
        <v>0</v>
      </c>
    </row>
    <row r="35" spans="2:14" x14ac:dyDescent="0.2">
      <c r="B35" s="16"/>
    </row>
    <row r="36" spans="2:14" ht="12.75" thickBot="1" x14ac:dyDescent="0.25">
      <c r="B36" s="16"/>
      <c r="C36" s="34" t="s">
        <v>28</v>
      </c>
      <c r="D36" s="34"/>
      <c r="E36" s="33"/>
      <c r="F36" s="33"/>
    </row>
    <row r="37" spans="2:14" ht="23.25" thickBot="1" x14ac:dyDescent="0.25">
      <c r="B37" s="16"/>
      <c r="C37" s="160" t="s">
        <v>127</v>
      </c>
      <c r="D37" s="281" t="s">
        <v>756</v>
      </c>
      <c r="E37" s="281" t="s">
        <v>326</v>
      </c>
      <c r="F37" s="421"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23.25" thickBot="1" x14ac:dyDescent="0.25">
      <c r="B43" s="16"/>
      <c r="C43" s="160" t="s">
        <v>127</v>
      </c>
      <c r="D43" s="281" t="s">
        <v>756</v>
      </c>
      <c r="E43" s="281" t="s">
        <v>326</v>
      </c>
      <c r="F43" s="421" t="s">
        <v>1532</v>
      </c>
    </row>
    <row r="44" spans="2:14" x14ac:dyDescent="0.2">
      <c r="B44" s="16"/>
      <c r="C44" s="32" t="s">
        <v>6</v>
      </c>
      <c r="D44" s="122" t="e">
        <f>$D$86</f>
        <v>#N/A</v>
      </c>
      <c r="E44" s="111" t="e">
        <f>$D$87</f>
        <v>#N/A</v>
      </c>
      <c r="F44" s="139">
        <v>0</v>
      </c>
      <c r="G44" s="7" t="s">
        <v>128</v>
      </c>
    </row>
    <row r="45" spans="2:14" x14ac:dyDescent="0.2">
      <c r="B45" s="16"/>
      <c r="C45" s="32" t="s">
        <v>19</v>
      </c>
      <c r="D45" s="122" t="e">
        <f>$D$86</f>
        <v>#N/A</v>
      </c>
      <c r="E45" s="111" t="e">
        <f>$D$87</f>
        <v>#N/A</v>
      </c>
      <c r="F45" s="139">
        <v>0</v>
      </c>
    </row>
    <row r="46" spans="2:14" x14ac:dyDescent="0.2">
      <c r="B46" s="16"/>
      <c r="C46" s="32" t="s">
        <v>20</v>
      </c>
      <c r="D46" s="122" t="e">
        <f>$D$86</f>
        <v>#N/A</v>
      </c>
      <c r="E46" s="111" t="e">
        <f>$D$87</f>
        <v>#N/A</v>
      </c>
      <c r="F46" s="1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e">
        <f>INDEX(Tbl_EquipmentDefinitions[Electricity Code Efficiency],MATCH($E$13,Tbl_EquipmentDefinitions[Equipment ID],0))</f>
        <v>#N/A</v>
      </c>
      <c r="E51" s="690"/>
      <c r="F51" s="693" t="e">
        <f>INDEX(Tbl_EquipmentDefinitions[Natural Gas Code Efficiency],MATCH($E$13,Tbl_EquipmentDefinitions[Equipment ID],0))</f>
        <v>#N/A</v>
      </c>
      <c r="G51" s="690"/>
      <c r="H51" s="693" t="e">
        <f>INDEX(Tbl_EquipmentDefinitions[Propane Code Efficiency],MATCH($E$13,Tbl_EquipmentDefinitions[Equipment ID],0))</f>
        <v>#N/A</v>
      </c>
      <c r="I51" s="690"/>
      <c r="J51" s="693" t="e">
        <f>INDEX(Tbl_EquipmentDefinitions[Oil Code Efficiency],MATCH($E$13,Tbl_EquipmentDefinitions[Equipment ID],0))</f>
        <v>#N/A</v>
      </c>
      <c r="K51" s="690"/>
    </row>
    <row r="52" spans="2:14" ht="12.75" x14ac:dyDescent="0.2">
      <c r="B52" s="16"/>
      <c r="C52" s="30" t="s">
        <v>153</v>
      </c>
      <c r="D52" s="689" t="e">
        <f>INDEX(Tbl_EquipmentDefinitions[Electricity Low Measure Efficiency],MATCH($E$13,Tbl_EquipmentDefinitions[Equipment ID],0))</f>
        <v>#N/A</v>
      </c>
      <c r="E52" s="690"/>
      <c r="F52" s="689" t="e">
        <f>INDEX(Tbl_EquipmentDefinitions[Natural Gas Low Measure Efficiency],MATCH($E$13,Tbl_EquipmentDefinitions[Equipment ID],0))</f>
        <v>#N/A</v>
      </c>
      <c r="G52" s="690"/>
      <c r="H52" s="689" t="e">
        <f>INDEX(Tbl_EquipmentDefinitions[Propane Low Measure Efficiency],MATCH($E$13,Tbl_EquipmentDefinitions[Equipment ID],0))</f>
        <v>#N/A</v>
      </c>
      <c r="I52" s="690"/>
      <c r="J52" s="689" t="e">
        <f>INDEX(Tbl_EquipmentDefinitions[Oil Low Measure Efficiency],MATCH($E$13,Tbl_EquipmentDefinitions[Equipment ID],0))</f>
        <v>#N/A</v>
      </c>
      <c r="K52" s="690"/>
    </row>
    <row r="53" spans="2:14" ht="12.75" x14ac:dyDescent="0.2">
      <c r="B53" s="16"/>
      <c r="C53" s="30" t="s">
        <v>154</v>
      </c>
      <c r="D53" s="689" t="e">
        <f>INDEX(Tbl_EquipmentDefinitions[Electricity High Measure Efficiency],MATCH($E$13,Tbl_EquipmentDefinitions[Equipment ID],0))</f>
        <v>#N/A</v>
      </c>
      <c r="E53" s="690"/>
      <c r="F53" s="689" t="e">
        <f>INDEX(Tbl_EquipmentDefinitions[Natural Gas High Measure Efficiency],MATCH($E$13,Tbl_EquipmentDefinitions[Equipment ID],0))</f>
        <v>#N/A</v>
      </c>
      <c r="G53" s="690"/>
      <c r="H53" s="689" t="e">
        <f>INDEX(Tbl_EquipmentDefinitions[Propane High Measure Efficiency],MATCH($E$13,Tbl_EquipmentDefinitions[Equipment ID],0))</f>
        <v>#N/A</v>
      </c>
      <c r="I53" s="690"/>
      <c r="J53" s="689" t="e">
        <f>INDEX(Tbl_EquipmentDefinitions[Oil High Measure Efficiency],MATCH($E$13,Tbl_EquipmentDefinitions[Equipment ID],0))</f>
        <v>#N/A</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160" t="s">
        <v>131</v>
      </c>
      <c r="D58" s="691" t="s">
        <v>132</v>
      </c>
      <c r="E58" s="692"/>
      <c r="F58" s="692"/>
      <c r="G58" s="692"/>
    </row>
    <row r="59" spans="2:14" x14ac:dyDescent="0.2">
      <c r="B59" s="16"/>
      <c r="C59" s="32" t="s">
        <v>207</v>
      </c>
      <c r="D59" s="696" t="s">
        <v>206</v>
      </c>
      <c r="E59" s="697"/>
      <c r="F59" s="697"/>
      <c r="G59" s="697"/>
    </row>
    <row r="60" spans="2:14" x14ac:dyDescent="0.2">
      <c r="B60" s="16"/>
      <c r="C60" s="32" t="s">
        <v>174</v>
      </c>
      <c r="D60" s="698" t="s">
        <v>206</v>
      </c>
      <c r="E60" s="699"/>
      <c r="F60" s="699"/>
      <c r="G60" s="699"/>
    </row>
    <row r="61" spans="2:14" x14ac:dyDescent="0.2">
      <c r="B61" s="16"/>
      <c r="C61" s="32" t="s">
        <v>309</v>
      </c>
      <c r="D61" s="698" t="s">
        <v>282</v>
      </c>
      <c r="E61" s="699"/>
      <c r="F61" s="699"/>
      <c r="G61" s="699"/>
    </row>
    <row r="62" spans="2:14" x14ac:dyDescent="0.2">
      <c r="B62" s="16"/>
    </row>
    <row r="64" spans="2:14" ht="13.5" thickBot="1" x14ac:dyDescent="0.25">
      <c r="B64" s="9" t="s">
        <v>129</v>
      </c>
      <c r="C64" s="9"/>
      <c r="D64" s="9"/>
      <c r="E64" s="9"/>
      <c r="F64" s="9"/>
      <c r="G64" s="9"/>
      <c r="H64" s="9"/>
      <c r="I64" s="9"/>
      <c r="J64" s="9"/>
      <c r="K64" s="9"/>
      <c r="L64" s="9"/>
      <c r="M64" s="9"/>
      <c r="N64" s="9"/>
    </row>
    <row r="65" spans="2:6" x14ac:dyDescent="0.2">
      <c r="B65" s="15"/>
    </row>
    <row r="66" spans="2:6" ht="12.75" x14ac:dyDescent="0.2">
      <c r="B66" s="16"/>
      <c r="C66" s="10" t="s">
        <v>531</v>
      </c>
      <c r="D66" s="10"/>
    </row>
    <row r="67" spans="2:6" x14ac:dyDescent="0.2">
      <c r="B67" s="16"/>
    </row>
    <row r="68" spans="2:6" ht="12.75" x14ac:dyDescent="0.2">
      <c r="B68" s="16"/>
      <c r="C68" s="30" t="s">
        <v>155</v>
      </c>
      <c r="D68" s="88" t="e">
        <f>$D$18</f>
        <v>#N/A</v>
      </c>
      <c r="E68" s="6" t="s">
        <v>156</v>
      </c>
    </row>
    <row r="69" spans="2:6" x14ac:dyDescent="0.2">
      <c r="B69" s="16"/>
    </row>
    <row r="70" spans="2:6" ht="12.75" x14ac:dyDescent="0.2">
      <c r="B70" s="16"/>
      <c r="C70" s="30" t="s">
        <v>159</v>
      </c>
      <c r="D70" s="44">
        <v>8.1999999999999993</v>
      </c>
      <c r="E70" s="6" t="s">
        <v>182</v>
      </c>
      <c r="F70" s="45" t="s">
        <v>301</v>
      </c>
    </row>
    <row r="71" spans="2:6" ht="12.75" x14ac:dyDescent="0.2">
      <c r="B71" s="16"/>
      <c r="C71" s="36" t="s">
        <v>180</v>
      </c>
      <c r="D71" s="44">
        <v>8.5</v>
      </c>
      <c r="E71" s="6" t="s">
        <v>182</v>
      </c>
      <c r="F71" s="8"/>
    </row>
    <row r="72" spans="2:6" ht="12.75" x14ac:dyDescent="0.2">
      <c r="B72" s="16"/>
      <c r="C72" s="36" t="s">
        <v>181</v>
      </c>
      <c r="D72" s="44">
        <v>9.6</v>
      </c>
      <c r="E72" s="6" t="s">
        <v>182</v>
      </c>
      <c r="F72" s="8"/>
    </row>
    <row r="73" spans="2:6" x14ac:dyDescent="0.2">
      <c r="B73" s="16"/>
    </row>
    <row r="74" spans="2:6" x14ac:dyDescent="0.2">
      <c r="B74" s="16"/>
      <c r="C74" s="5" t="s">
        <v>250</v>
      </c>
      <c r="D74" s="5"/>
    </row>
    <row r="75" spans="2:6" ht="12.75" x14ac:dyDescent="0.2">
      <c r="B75" s="16"/>
      <c r="C75" s="53" t="s">
        <v>526</v>
      </c>
      <c r="D75" s="54">
        <f>374.55/1043</f>
        <v>0.35910834132310643</v>
      </c>
      <c r="E75" s="188" t="s">
        <v>176</v>
      </c>
      <c r="F75" s="45" t="s">
        <v>951</v>
      </c>
    </row>
    <row r="76" spans="2:6" ht="12.75" x14ac:dyDescent="0.2">
      <c r="B76" s="16"/>
      <c r="C76" s="36" t="s">
        <v>528</v>
      </c>
      <c r="D76" s="189">
        <v>0.25</v>
      </c>
      <c r="E76" s="45" t="s">
        <v>961</v>
      </c>
    </row>
    <row r="77" spans="2:6" x14ac:dyDescent="0.2">
      <c r="B77" s="16"/>
    </row>
    <row r="78" spans="2:6" ht="12.75" x14ac:dyDescent="0.2">
      <c r="B78" s="16"/>
      <c r="C78" s="36" t="s">
        <v>292</v>
      </c>
      <c r="D78" s="41" t="e">
        <f>($D$68/HPFUELCALC_REF_HEATINGLOAD)/($D70/HPFUELCALC_REF_CHP_HSPF)*HPOILCALC_CHP_HPCONSUMPTION
+($D$68/HPFUELCALC_REF_HEATINGLOAD)*HPOILCALC_CHP_CHPRESISTANCECONSUMPTION
+HPOILCALC_CHP_FURNACEFANCONSUMPTION*$D$75/HPFUELCALC_REF_FUELPOWER_KW*($D$76/HPFUELCALC_REF_FUELPOWER_CF)</f>
        <v>#N/A</v>
      </c>
      <c r="E78" s="6" t="s">
        <v>170</v>
      </c>
      <c r="F78" s="45" t="s">
        <v>305</v>
      </c>
    </row>
    <row r="79" spans="2:6" ht="12.75" x14ac:dyDescent="0.2">
      <c r="B79" s="16"/>
      <c r="C79" s="36" t="s">
        <v>293</v>
      </c>
      <c r="D79" s="41" t="e">
        <f>($D$68/HPFUELCALC_REF_HEATINGLOAD)/($D71/HPFUELCALC_REF_CHP_HSPF)*HPOILCALC_CHP_HPCONSUMPTION
+($D$68/HPFUELCALC_REF_HEATINGLOAD)*HPOILCALC_CHP_CHPRESISTANCECONSUMPTION
+HPOILCALC_CHP_FURNACEFANCONSUMPTION*$D$75/HPFUELCALC_REF_FUELPOWER_KW*($D$76/HPFUELCALC_REF_FUELPOWER_CF)</f>
        <v>#N/A</v>
      </c>
      <c r="E79" s="6" t="s">
        <v>170</v>
      </c>
      <c r="F79" s="45" t="s">
        <v>527</v>
      </c>
    </row>
    <row r="80" spans="2:6" ht="12.75" x14ac:dyDescent="0.2">
      <c r="B80" s="16"/>
      <c r="C80" s="36" t="s">
        <v>294</v>
      </c>
      <c r="D80" s="41" t="e">
        <f>($D$68/HPFUELCALC_REF_HEATINGLOAD)/($D72/HPFUELCALC_REF_CHP_HSPF)*HPOILCALC_CHP_HPCONSUMPTION
+($D$68/HPFUELCALC_REF_HEATINGLOAD)*HPOILCALC_CHP_CHPRESISTANCECONSUMPTION
+HPOILCALC_CHP_FURNACEFANCONSUMPTION*$D$75/HPFUELCALC_REF_FUELPOWER_KW*($D$76/HPFUELCALC_REF_FUELPOWER_CF)</f>
        <v>#N/A</v>
      </c>
      <c r="E80" s="6" t="s">
        <v>170</v>
      </c>
      <c r="F80" s="45"/>
    </row>
    <row r="81" spans="2:6" x14ac:dyDescent="0.2">
      <c r="B81" s="16"/>
      <c r="F81" s="45"/>
    </row>
    <row r="82" spans="2:6" ht="12.75" x14ac:dyDescent="0.2">
      <c r="B82" s="16"/>
      <c r="C82" s="10" t="s">
        <v>539</v>
      </c>
      <c r="D82" s="10"/>
      <c r="F82" s="45"/>
    </row>
    <row r="83" spans="2:6" x14ac:dyDescent="0.2">
      <c r="B83" s="16"/>
      <c r="F83" s="45"/>
    </row>
    <row r="84" spans="2:6" ht="12.75" x14ac:dyDescent="0.2">
      <c r="B84" s="16"/>
      <c r="C84" s="30" t="s">
        <v>529</v>
      </c>
      <c r="D84" s="150">
        <v>0.78900000000000003</v>
      </c>
      <c r="E84" s="6" t="s">
        <v>158</v>
      </c>
    </row>
    <row r="85" spans="2:6" x14ac:dyDescent="0.2">
      <c r="B85" s="16"/>
      <c r="F85" s="45"/>
    </row>
    <row r="86" spans="2:6" ht="12.75" x14ac:dyDescent="0.2">
      <c r="B86" s="16"/>
      <c r="C86" s="36" t="s">
        <v>530</v>
      </c>
      <c r="D86" s="190" t="e">
        <f>D68*HPOILCALC_CHP_FURNACEOILCONSUMPTION/(D84/HPFUELCALC_REF_AFUE)/10</f>
        <v>#N/A</v>
      </c>
      <c r="E86" s="6" t="s">
        <v>481</v>
      </c>
      <c r="F86" s="45"/>
    </row>
    <row r="87" spans="2:6" ht="12.75" x14ac:dyDescent="0.2">
      <c r="B87" s="16"/>
      <c r="C87" s="36" t="s">
        <v>729</v>
      </c>
      <c r="D87" s="282" t="e">
        <f>D86*PRICE_PER_MMBTU_2018_OIL</f>
        <v>#N/A</v>
      </c>
      <c r="E87" s="6" t="s">
        <v>164</v>
      </c>
      <c r="F87" s="45"/>
    </row>
    <row r="88" spans="2:6" x14ac:dyDescent="0.2">
      <c r="B88" s="16"/>
      <c r="F88" s="45"/>
    </row>
    <row r="89" spans="2:6" x14ac:dyDescent="0.2">
      <c r="B89" s="16"/>
      <c r="F89" s="45"/>
    </row>
    <row r="90" spans="2:6" ht="12.75" x14ac:dyDescent="0.2">
      <c r="B90" s="16"/>
      <c r="C90" s="10" t="s">
        <v>532</v>
      </c>
      <c r="D90" s="10"/>
      <c r="F90" s="45"/>
    </row>
    <row r="91" spans="2:6" x14ac:dyDescent="0.2">
      <c r="B91" s="16"/>
      <c r="F91" s="45"/>
    </row>
    <row r="92" spans="2:6" ht="12.75" x14ac:dyDescent="0.2">
      <c r="B92" s="16"/>
      <c r="C92" s="30" t="s">
        <v>167</v>
      </c>
      <c r="D92" s="87" t="e">
        <f>$D$19</f>
        <v>#N/A</v>
      </c>
      <c r="E92" s="6" t="s">
        <v>156</v>
      </c>
    </row>
    <row r="93" spans="2:6" x14ac:dyDescent="0.2">
      <c r="B93" s="16"/>
    </row>
    <row r="94" spans="2:6" ht="12.75" x14ac:dyDescent="0.2">
      <c r="B94" s="16"/>
      <c r="C94" s="36" t="s">
        <v>168</v>
      </c>
      <c r="D94" s="44">
        <v>14</v>
      </c>
      <c r="E94" s="6" t="s">
        <v>169</v>
      </c>
      <c r="F94" s="45" t="s">
        <v>302</v>
      </c>
    </row>
    <row r="95" spans="2:6" ht="12.75" x14ac:dyDescent="0.2">
      <c r="B95" s="16"/>
      <c r="C95" s="36" t="s">
        <v>201</v>
      </c>
      <c r="D95" s="44">
        <v>16</v>
      </c>
      <c r="E95" s="6" t="s">
        <v>169</v>
      </c>
    </row>
    <row r="96" spans="2:6" ht="12.75" x14ac:dyDescent="0.2">
      <c r="B96" s="16"/>
      <c r="C96" s="36" t="s">
        <v>202</v>
      </c>
      <c r="D96" s="44">
        <v>18</v>
      </c>
      <c r="E96" s="6" t="s">
        <v>169</v>
      </c>
    </row>
    <row r="97" spans="2:6" x14ac:dyDescent="0.2">
      <c r="B97" s="16"/>
    </row>
    <row r="98" spans="2:6" ht="12.75" x14ac:dyDescent="0.2">
      <c r="B98" s="16"/>
      <c r="C98" s="36" t="s">
        <v>295</v>
      </c>
      <c r="D98" s="41" t="e">
        <f>1000*$D$92/D94</f>
        <v>#N/A</v>
      </c>
      <c r="E98" s="6" t="s">
        <v>170</v>
      </c>
      <c r="F98" s="45" t="s">
        <v>306</v>
      </c>
    </row>
    <row r="99" spans="2:6" ht="12.75" x14ac:dyDescent="0.2">
      <c r="B99" s="16"/>
      <c r="C99" s="36" t="s">
        <v>296</v>
      </c>
      <c r="D99" s="41" t="e">
        <f>1000*$D$92/D95</f>
        <v>#N/A</v>
      </c>
      <c r="E99" s="6" t="s">
        <v>170</v>
      </c>
    </row>
    <row r="100" spans="2:6" ht="12.75" x14ac:dyDescent="0.2">
      <c r="B100" s="16"/>
      <c r="C100" s="36" t="s">
        <v>297</v>
      </c>
      <c r="D100" s="41" t="e">
        <f>1000*$D$92/D96</f>
        <v>#N/A</v>
      </c>
      <c r="E100" s="6" t="s">
        <v>170</v>
      </c>
    </row>
    <row r="101" spans="2:6" x14ac:dyDescent="0.2">
      <c r="B101" s="16"/>
    </row>
    <row r="102" spans="2:6" ht="12.75" x14ac:dyDescent="0.2">
      <c r="B102" s="16"/>
      <c r="C102" s="36" t="s">
        <v>298</v>
      </c>
      <c r="D102" s="41" t="e">
        <f>D78+D98</f>
        <v>#N/A</v>
      </c>
      <c r="E102" s="6" t="s">
        <v>170</v>
      </c>
      <c r="F102" s="45" t="s">
        <v>307</v>
      </c>
    </row>
    <row r="103" spans="2:6" ht="12.75" x14ac:dyDescent="0.2">
      <c r="B103" s="16"/>
      <c r="C103" s="36" t="s">
        <v>299</v>
      </c>
      <c r="D103" s="41" t="e">
        <f>D79+D99</f>
        <v>#N/A</v>
      </c>
      <c r="E103" s="6" t="s">
        <v>170</v>
      </c>
    </row>
    <row r="104" spans="2:6" ht="12.75" x14ac:dyDescent="0.2">
      <c r="B104" s="16"/>
      <c r="C104" s="36" t="s">
        <v>300</v>
      </c>
      <c r="D104" s="41" t="e">
        <f>D80+D100</f>
        <v>#N/A</v>
      </c>
      <c r="E104" s="6" t="s">
        <v>170</v>
      </c>
    </row>
    <row r="105" spans="2:6" x14ac:dyDescent="0.2">
      <c r="B105" s="16"/>
    </row>
    <row r="106" spans="2:6" ht="12.75" x14ac:dyDescent="0.2">
      <c r="B106" s="16"/>
      <c r="C106" s="30" t="s">
        <v>163</v>
      </c>
      <c r="D106" s="42" t="e">
        <f>D102*PRICE_PER_KWH_2018_ELECTRICITY</f>
        <v>#N/A</v>
      </c>
      <c r="E106" s="6" t="s">
        <v>164</v>
      </c>
      <c r="F106" s="45" t="s">
        <v>308</v>
      </c>
    </row>
    <row r="107" spans="2:6" ht="12.75" x14ac:dyDescent="0.2">
      <c r="B107" s="16"/>
      <c r="C107" s="36" t="s">
        <v>203</v>
      </c>
      <c r="D107" s="42" t="e">
        <f>D103*PRICE_PER_KWH_2018_ELECTRICITY</f>
        <v>#N/A</v>
      </c>
      <c r="E107" s="6" t="s">
        <v>164</v>
      </c>
    </row>
    <row r="108" spans="2:6" ht="12.75" x14ac:dyDescent="0.2">
      <c r="B108" s="16"/>
      <c r="C108" s="36" t="s">
        <v>204</v>
      </c>
      <c r="D108" s="42" t="e">
        <f>D104*PRICE_PER_KWH_2018_ELECTRICITY</f>
        <v>#N/A</v>
      </c>
      <c r="E108" s="6" t="s">
        <v>164</v>
      </c>
    </row>
    <row r="109" spans="2:6" x14ac:dyDescent="0.2">
      <c r="B109" s="16"/>
    </row>
    <row r="110" spans="2:6" x14ac:dyDescent="0.2">
      <c r="B110" s="16"/>
    </row>
    <row r="111" spans="2:6" ht="12.75" x14ac:dyDescent="0.2">
      <c r="B111" s="16"/>
      <c r="C111" s="10" t="s">
        <v>366</v>
      </c>
      <c r="D111" s="10"/>
    </row>
    <row r="112" spans="2:6" x14ac:dyDescent="0.2">
      <c r="B112" s="16"/>
    </row>
    <row r="113" spans="2:6" ht="12.75" x14ac:dyDescent="0.2">
      <c r="B113" s="16"/>
      <c r="C113" s="36" t="s">
        <v>205</v>
      </c>
      <c r="D113" s="43" t="e">
        <f>Inputs!#REF!</f>
        <v>#REF!</v>
      </c>
    </row>
    <row r="114" spans="2:6" ht="12.75" x14ac:dyDescent="0.2">
      <c r="B114" s="16"/>
      <c r="C114" s="30" t="s">
        <v>172</v>
      </c>
      <c r="D114" s="41" t="e">
        <f>LEFT(D113,SEARCH("ton",D113,1)-2)</f>
        <v>#REF!</v>
      </c>
      <c r="E114" s="6" t="s">
        <v>173</v>
      </c>
    </row>
    <row r="115" spans="2:6" x14ac:dyDescent="0.2">
      <c r="B115" s="16"/>
    </row>
    <row r="116" spans="2:6" ht="12.75" x14ac:dyDescent="0.2">
      <c r="B116" s="16"/>
      <c r="C116" s="36" t="s">
        <v>217</v>
      </c>
      <c r="D116" s="44">
        <v>8.1999999999999993</v>
      </c>
      <c r="E116" s="6" t="s">
        <v>182</v>
      </c>
      <c r="F116" s="45" t="s">
        <v>303</v>
      </c>
    </row>
    <row r="117" spans="2:6" ht="12.75" x14ac:dyDescent="0.2">
      <c r="B117" s="16"/>
      <c r="C117" s="36" t="s">
        <v>218</v>
      </c>
      <c r="D117" s="44">
        <v>8.5</v>
      </c>
      <c r="E117" s="6" t="s">
        <v>182</v>
      </c>
      <c r="F117" s="45"/>
    </row>
    <row r="118" spans="2:6" ht="12.75" x14ac:dyDescent="0.2">
      <c r="B118" s="16"/>
      <c r="C118" s="36" t="s">
        <v>219</v>
      </c>
      <c r="D118" s="44">
        <v>9.6</v>
      </c>
      <c r="E118" s="6" t="s">
        <v>182</v>
      </c>
      <c r="F118" s="45"/>
    </row>
    <row r="119" spans="2:6" x14ac:dyDescent="0.2">
      <c r="B119" s="16"/>
    </row>
    <row r="120" spans="2:6" ht="12.75" x14ac:dyDescent="0.2">
      <c r="B120" s="16"/>
      <c r="C120" s="36" t="s">
        <v>209</v>
      </c>
      <c r="D120" s="44">
        <v>0.31</v>
      </c>
      <c r="E120" s="45" t="s">
        <v>206</v>
      </c>
    </row>
    <row r="121" spans="2:6" ht="12.75" x14ac:dyDescent="0.2">
      <c r="B121" s="16"/>
      <c r="C121" s="36" t="s">
        <v>210</v>
      </c>
      <c r="D121" s="44">
        <v>0.54</v>
      </c>
      <c r="E121" s="45" t="s">
        <v>206</v>
      </c>
    </row>
    <row r="122" spans="2:6" x14ac:dyDescent="0.2">
      <c r="B122" s="16"/>
    </row>
    <row r="123" spans="2:6" ht="12.75" x14ac:dyDescent="0.2">
      <c r="B123" s="16"/>
      <c r="C123" s="36" t="s">
        <v>220</v>
      </c>
      <c r="D123" s="37" t="e">
        <f>$D$120*$D$114*12/D116</f>
        <v>#REF!</v>
      </c>
      <c r="E123" s="6" t="s">
        <v>176</v>
      </c>
      <c r="F123" s="45" t="s">
        <v>216</v>
      </c>
    </row>
    <row r="124" spans="2:6" ht="12.75" x14ac:dyDescent="0.2">
      <c r="B124" s="16"/>
      <c r="C124" s="36" t="s">
        <v>221</v>
      </c>
      <c r="D124" s="37" t="e">
        <f>$D$120*$D$114*12/D117</f>
        <v>#REF!</v>
      </c>
      <c r="E124" s="6" t="s">
        <v>176</v>
      </c>
    </row>
    <row r="125" spans="2:6" ht="12.75" x14ac:dyDescent="0.2">
      <c r="B125" s="16"/>
      <c r="C125" s="36" t="s">
        <v>222</v>
      </c>
      <c r="D125" s="46" t="e">
        <f>$D$121*$D$114*12/D118</f>
        <v>#REF!</v>
      </c>
      <c r="E125" s="6" t="s">
        <v>176</v>
      </c>
    </row>
    <row r="126" spans="2:6" x14ac:dyDescent="0.2">
      <c r="B126" s="16"/>
    </row>
    <row r="127" spans="2:6" x14ac:dyDescent="0.2">
      <c r="B127" s="16"/>
    </row>
    <row r="128" spans="2:6" ht="12.75" x14ac:dyDescent="0.2">
      <c r="B128" s="16"/>
      <c r="C128" s="36" t="s">
        <v>208</v>
      </c>
      <c r="D128" s="44">
        <v>11.7</v>
      </c>
      <c r="E128" s="6" t="s">
        <v>175</v>
      </c>
      <c r="F128" s="45" t="s">
        <v>304</v>
      </c>
    </row>
    <row r="129" spans="2:6" ht="12.75" x14ac:dyDescent="0.2">
      <c r="B129" s="16"/>
      <c r="C129" s="36" t="s">
        <v>213</v>
      </c>
      <c r="D129" s="31">
        <f>$D$128</f>
        <v>11.7</v>
      </c>
      <c r="E129" s="6" t="s">
        <v>175</v>
      </c>
      <c r="F129" s="45" t="s">
        <v>223</v>
      </c>
    </row>
    <row r="130" spans="2:6" ht="12.75" x14ac:dyDescent="0.2">
      <c r="B130" s="16"/>
      <c r="C130" s="36" t="s">
        <v>214</v>
      </c>
      <c r="D130" s="31">
        <f>$D$128</f>
        <v>11.7</v>
      </c>
      <c r="E130" s="6" t="s">
        <v>175</v>
      </c>
      <c r="F130" s="45" t="s">
        <v>223</v>
      </c>
    </row>
    <row r="131" spans="2:6" x14ac:dyDescent="0.2">
      <c r="B131" s="16"/>
    </row>
    <row r="132" spans="2:6" ht="12.75" x14ac:dyDescent="0.2">
      <c r="B132" s="16"/>
      <c r="C132" s="36" t="s">
        <v>174</v>
      </c>
      <c r="D132" s="44">
        <v>0.5</v>
      </c>
      <c r="E132" s="45" t="s">
        <v>953</v>
      </c>
    </row>
    <row r="133" spans="2:6" x14ac:dyDescent="0.2">
      <c r="B133" s="16"/>
    </row>
    <row r="134" spans="2:6" ht="12.75" x14ac:dyDescent="0.2">
      <c r="B134" s="16"/>
      <c r="C134" s="36" t="s">
        <v>211</v>
      </c>
      <c r="D134" s="37" t="e">
        <f>$D$132*$D$114*12/D128</f>
        <v>#REF!</v>
      </c>
      <c r="E134" s="6" t="s">
        <v>176</v>
      </c>
      <c r="F134" s="45"/>
    </row>
    <row r="135" spans="2:6" ht="12.75" x14ac:dyDescent="0.2">
      <c r="B135" s="16"/>
      <c r="C135" s="36" t="s">
        <v>212</v>
      </c>
      <c r="D135" s="37" t="e">
        <f>$D$132*$D$114*12/D129</f>
        <v>#REF!</v>
      </c>
      <c r="E135" s="6" t="s">
        <v>176</v>
      </c>
    </row>
    <row r="136" spans="2:6" ht="12.75" x14ac:dyDescent="0.2">
      <c r="B136" s="16"/>
      <c r="C136" s="36" t="s">
        <v>215</v>
      </c>
      <c r="D136" s="37" t="e">
        <f>$D$132*$D$114*12/D130</f>
        <v>#REF!</v>
      </c>
      <c r="E136" s="6" t="s">
        <v>176</v>
      </c>
    </row>
    <row r="137" spans="2:6" x14ac:dyDescent="0.2">
      <c r="B137" s="16"/>
    </row>
    <row r="138" spans="2:6" ht="12.75" x14ac:dyDescent="0.2">
      <c r="B138" s="16"/>
      <c r="C138" s="10" t="s">
        <v>1143</v>
      </c>
      <c r="D138" s="10"/>
    </row>
    <row r="139" spans="2:6" ht="12.75" x14ac:dyDescent="0.2">
      <c r="B139" s="16"/>
      <c r="C139" s="420" t="s">
        <v>1207</v>
      </c>
      <c r="D139" s="422">
        <f>INPUT_SYSTEMINTEGRATIONCOST</f>
        <v>400</v>
      </c>
      <c r="E139" s="6" t="s">
        <v>1180</v>
      </c>
    </row>
    <row r="140" spans="2:6" x14ac:dyDescent="0.2">
      <c r="B140" s="16"/>
    </row>
    <row r="141" spans="2:6" x14ac:dyDescent="0.2">
      <c r="B141" s="16"/>
      <c r="C141" s="6" t="s">
        <v>1154</v>
      </c>
    </row>
    <row r="142" spans="2:6" x14ac:dyDescent="0.2">
      <c r="B142" s="16"/>
      <c r="C142" s="6" t="s">
        <v>1153</v>
      </c>
    </row>
    <row r="143" spans="2:6" x14ac:dyDescent="0.2">
      <c r="B143" s="16"/>
      <c r="C143" s="6" t="s">
        <v>1152</v>
      </c>
    </row>
    <row r="144" spans="2:6" x14ac:dyDescent="0.2">
      <c r="B144" s="16"/>
      <c r="C144" s="6" t="s">
        <v>1146</v>
      </c>
      <c r="D144" s="406">
        <f>D145-(D146-D145)</f>
        <v>4983</v>
      </c>
      <c r="E144" s="6" t="s">
        <v>1145</v>
      </c>
    </row>
    <row r="145" spans="2:5" x14ac:dyDescent="0.2">
      <c r="B145" s="16"/>
      <c r="C145" s="6" t="s">
        <v>1147</v>
      </c>
      <c r="D145" s="406">
        <f>COST_HP_16SEER_NEW</f>
        <v>5121</v>
      </c>
      <c r="E145" s="6" t="s">
        <v>1145</v>
      </c>
    </row>
    <row r="146" spans="2:5" x14ac:dyDescent="0.2">
      <c r="B146" s="16"/>
      <c r="C146" s="6" t="s">
        <v>1148</v>
      </c>
      <c r="D146" s="406">
        <f>COST_HP_18SEER_NEW</f>
        <v>5259</v>
      </c>
      <c r="E146" s="6" t="s">
        <v>1145</v>
      </c>
    </row>
    <row r="147" spans="2:5" x14ac:dyDescent="0.2">
      <c r="B147" s="16"/>
    </row>
    <row r="148" spans="2:5" x14ac:dyDescent="0.2">
      <c r="B148" s="16"/>
      <c r="C148" s="6" t="s">
        <v>1151</v>
      </c>
    </row>
    <row r="149" spans="2:5" x14ac:dyDescent="0.2">
      <c r="B149" s="16"/>
      <c r="C149" s="6" t="s">
        <v>1146</v>
      </c>
      <c r="D149" s="406" t="e">
        <f>D144*$D$114+$D$139</f>
        <v>#REF!</v>
      </c>
      <c r="E149" s="6" t="s">
        <v>1149</v>
      </c>
    </row>
    <row r="150" spans="2:5" x14ac:dyDescent="0.2">
      <c r="B150" s="16"/>
      <c r="C150" s="6" t="s">
        <v>1147</v>
      </c>
      <c r="D150" s="406" t="e">
        <f t="shared" ref="D150:D151" si="5">D145*$D$114+$D$139</f>
        <v>#REF!</v>
      </c>
      <c r="E150" s="6" t="s">
        <v>1149</v>
      </c>
    </row>
    <row r="151" spans="2:5" x14ac:dyDescent="0.2">
      <c r="B151" s="16"/>
      <c r="C151" s="6" t="s">
        <v>1148</v>
      </c>
      <c r="D151" s="406" t="e">
        <f t="shared" si="5"/>
        <v>#REF!</v>
      </c>
      <c r="E151" s="6" t="s">
        <v>1149</v>
      </c>
    </row>
    <row r="152" spans="2:5" x14ac:dyDescent="0.2">
      <c r="B152" s="16"/>
    </row>
    <row r="153" spans="2:5" x14ac:dyDescent="0.2">
      <c r="B153" s="16"/>
    </row>
    <row r="154" spans="2:5" x14ac:dyDescent="0.2">
      <c r="B154" s="16"/>
    </row>
    <row r="155" spans="2:5" x14ac:dyDescent="0.2">
      <c r="B155" s="16"/>
    </row>
    <row r="156" spans="2:5" x14ac:dyDescent="0.2">
      <c r="B156" s="16"/>
    </row>
    <row r="157" spans="2:5" x14ac:dyDescent="0.2">
      <c r="B157" s="16"/>
    </row>
    <row r="158" spans="2:5" x14ac:dyDescent="0.2">
      <c r="B158" s="16"/>
    </row>
    <row r="159" spans="2:5" x14ac:dyDescent="0.2">
      <c r="B159" s="16"/>
    </row>
    <row r="160" spans="2:5" x14ac:dyDescent="0.2">
      <c r="B160" s="16"/>
    </row>
    <row r="161" spans="2:2" x14ac:dyDescent="0.2">
      <c r="B161" s="16"/>
    </row>
    <row r="162" spans="2:2" x14ac:dyDescent="0.2">
      <c r="B162" s="16"/>
    </row>
    <row r="163" spans="2:2" x14ac:dyDescent="0.2">
      <c r="B163" s="16"/>
    </row>
    <row r="164" spans="2:2" x14ac:dyDescent="0.2">
      <c r="B164" s="16"/>
    </row>
  </sheetData>
  <mergeCells count="20">
    <mergeCell ref="D50:E50"/>
    <mergeCell ref="F50:G50"/>
    <mergeCell ref="H50:I50"/>
    <mergeCell ref="J50:K50"/>
    <mergeCell ref="D51:E51"/>
    <mergeCell ref="F51:G51"/>
    <mergeCell ref="H51:I51"/>
    <mergeCell ref="J51:K51"/>
    <mergeCell ref="H52:I52"/>
    <mergeCell ref="J52:K52"/>
    <mergeCell ref="D53:E53"/>
    <mergeCell ref="F53:G53"/>
    <mergeCell ref="H53:I53"/>
    <mergeCell ref="J53:K53"/>
    <mergeCell ref="D58:G58"/>
    <mergeCell ref="D59:G59"/>
    <mergeCell ref="D60:G60"/>
    <mergeCell ref="D61:G61"/>
    <mergeCell ref="D52:E52"/>
    <mergeCell ref="F52:G52"/>
  </mergeCells>
  <dataValidations count="2">
    <dataValidation type="list" allowBlank="1" showInputMessage="1" showErrorMessage="1" sqref="D9">
      <formula1>DEFINED_MEASURES</formula1>
    </dataValidation>
    <dataValidation type="list" allowBlank="1" showInputMessage="1" showErrorMessage="1" sqref="D5">
      <formula1>"1. Not Started,2. Analyzing,3. Ready"</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sheetPr>
  <dimension ref="A1:AD153"/>
  <sheetViews>
    <sheetView workbookViewId="0"/>
  </sheetViews>
  <sheetFormatPr defaultColWidth="9.33203125" defaultRowHeight="11.25" x14ac:dyDescent="0.2"/>
  <cols>
    <col min="1" max="2" width="3.33203125" style="6" customWidth="1"/>
    <col min="3" max="3" width="22.6640625" style="6" bestFit="1" customWidth="1"/>
    <col min="4" max="4" width="24.1640625" style="6" customWidth="1"/>
    <col min="5" max="5" width="26.6640625" style="6" customWidth="1"/>
    <col min="6" max="6" width="15" style="6" customWidth="1"/>
    <col min="7" max="7" width="13.5" style="6" customWidth="1"/>
    <col min="8" max="8" width="16.1640625" style="6" customWidth="1"/>
    <col min="9" max="9" width="22.33203125" style="6" bestFit="1" customWidth="1"/>
    <col min="10" max="10" width="20.5" style="6" bestFit="1" customWidth="1"/>
    <col min="11"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29" t="s">
        <v>85</v>
      </c>
      <c r="E9" s="7" t="s">
        <v>290</v>
      </c>
    </row>
    <row r="10" spans="1:30" ht="12.75" x14ac:dyDescent="0.2">
      <c r="B10" s="16"/>
      <c r="C10" s="30" t="s">
        <v>289</v>
      </c>
      <c r="D10" s="83" t="e">
        <f>INDEX(Tbl_MeasureList[Baseline ID],MATCH($D$9,Tbl_MeasureList[Measure ID],0))</f>
        <v>#N/A</v>
      </c>
      <c r="E10" s="7"/>
    </row>
    <row r="11" spans="1:30" x14ac:dyDescent="0.2">
      <c r="B11" s="16"/>
      <c r="C11" s="7"/>
      <c r="D11" s="7"/>
      <c r="E11" s="7"/>
    </row>
    <row r="12" spans="1:30" ht="12" thickBot="1" x14ac:dyDescent="0.25">
      <c r="B12" s="16"/>
      <c r="C12" s="7"/>
      <c r="D12" s="160" t="s">
        <v>5</v>
      </c>
      <c r="E12" s="160" t="s">
        <v>284</v>
      </c>
    </row>
    <row r="13" spans="1:30" x14ac:dyDescent="0.2">
      <c r="B13" s="16"/>
      <c r="C13" s="32" t="s">
        <v>2</v>
      </c>
      <c r="D13" s="84" t="e">
        <f>INDEX(Tbl_MeasureList[Baseline Equipment ID],MATCH($D$9,Tbl_MeasureList[Measure ID],0))</f>
        <v>#N/A</v>
      </c>
      <c r="E13" s="84" t="e">
        <f>INDEX(Tbl_MeasureList[Replacement ID],MATCH($D$9,Tbl_MeasureList[Measure ID],0))</f>
        <v>#N/A</v>
      </c>
      <c r="F13" s="7"/>
    </row>
    <row r="14" spans="1:30" x14ac:dyDescent="0.2">
      <c r="B14" s="16"/>
      <c r="C14" s="32" t="s">
        <v>4</v>
      </c>
      <c r="D14" s="85" t="e">
        <f>INDEX(Tbl_EquipmentDefinitions[[Equipment Name]:[Equipment Name]],MATCH(D$13,Tbl_EquipmentDefinitions[[Equipment ID]:[Equipment ID]],0))</f>
        <v>#N/A</v>
      </c>
      <c r="E14" s="85" t="e">
        <f>INDEX(Tbl_EquipmentDefinitions[[Equipment Name]:[Equipment Name]],MATCH(E$13,Tbl_EquipmentDefinitions[[Equipment ID]:[Equipment ID]],0))</f>
        <v>#N/A</v>
      </c>
      <c r="F14" s="7"/>
    </row>
    <row r="15" spans="1:30" x14ac:dyDescent="0.2">
      <c r="B15" s="16"/>
      <c r="C15" s="32" t="s">
        <v>24</v>
      </c>
      <c r="D15" s="84" t="e">
        <f>INDEX(Tbl_EquipmentDefinitions[[Function]:[Function]],MATCH(D$13,Tbl_EquipmentDefinitions[[Equipment ID]:[Equipment ID]],0))</f>
        <v>#N/A</v>
      </c>
      <c r="E15" s="84" t="e">
        <f>INDEX(Tbl_EquipmentDefinitions[[Function]:[Function]],MATCH(E$13,Tbl_EquipmentDefinitions[[Equipment ID]:[Equipment ID]],0))</f>
        <v>#N/A</v>
      </c>
      <c r="F15" s="7"/>
    </row>
    <row r="16" spans="1:30" x14ac:dyDescent="0.2">
      <c r="B16" s="16"/>
      <c r="C16" s="32" t="s">
        <v>7</v>
      </c>
      <c r="D16" s="85" t="e">
        <f>INDEX(Tbl_EquipmentDefinitions[[Fuel Type]:[Fuel Type]],MATCH(D$13,Tbl_EquipmentDefinitions[[Equipment ID]:[Equipment ID]],0))</f>
        <v>#N/A</v>
      </c>
      <c r="E16" s="85" t="e">
        <f>INDEX(Tbl_EquipmentDefinitions[[Fuel Type]:[Fuel Type]],MATCH(E$13,Tbl_EquipmentDefinitions[[Equipment ID]:[Equipment ID]],0))</f>
        <v>#N/A</v>
      </c>
      <c r="F16" s="7"/>
    </row>
    <row r="17" spans="2:14" x14ac:dyDescent="0.2">
      <c r="B17" s="16"/>
      <c r="C17" s="32" t="s">
        <v>126</v>
      </c>
      <c r="D17" s="84">
        <f>IF(ISERR(SEARCH("+",D16,1)),1,2)</f>
        <v>2</v>
      </c>
      <c r="E17" s="84">
        <f>IF(ISERR(SEARCH("+",E16,1)),1,2)</f>
        <v>2</v>
      </c>
      <c r="F17" s="7"/>
    </row>
    <row r="18" spans="2:14" x14ac:dyDescent="0.2">
      <c r="B18" s="16"/>
      <c r="C18" s="32" t="s">
        <v>155</v>
      </c>
      <c r="D18" s="86" t="e">
        <f>INDEX(Tbl_BaselineSummary[Space Heating Load (MMBtu/yr)],MATCH($D$10,Tbl_BaselineSummary[Baseline ID],0))</f>
        <v>#N/A</v>
      </c>
      <c r="F18" s="7"/>
    </row>
    <row r="19" spans="2:14" x14ac:dyDescent="0.2">
      <c r="B19" s="16"/>
      <c r="C19" s="32" t="s">
        <v>167</v>
      </c>
      <c r="D19" s="84" t="e">
        <f>INDEX(Tbl_BaselineSummary[Space Cooling Load (MMBtu/yr)],MATCH($D$10,Tbl_BaselineSummary[Baseline ID],0))</f>
        <v>#N/A</v>
      </c>
      <c r="F19" s="7"/>
    </row>
    <row r="20" spans="2:14" x14ac:dyDescent="0.2">
      <c r="B20" s="16"/>
      <c r="C20" s="32" t="s">
        <v>244</v>
      </c>
      <c r="D20" s="86" t="e">
        <f>INDEX(Tbl_BaselineSummary[Water Heating Load (MMBtu/yr)],MATCH($D$10,Tbl_BaselineSummary[Baseline ID],0))</f>
        <v>#N/A</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160" t="s">
        <v>127</v>
      </c>
      <c r="D25" s="281" t="s">
        <v>345</v>
      </c>
      <c r="E25" s="385" t="s">
        <v>956</v>
      </c>
      <c r="F25" s="281" t="s">
        <v>326</v>
      </c>
      <c r="G25" s="421" t="s">
        <v>1532</v>
      </c>
      <c r="H25" s="385" t="s">
        <v>958</v>
      </c>
      <c r="I25" s="569" t="s">
        <v>1447</v>
      </c>
      <c r="J25" s="569" t="s">
        <v>1448</v>
      </c>
      <c r="L25" s="160" t="s">
        <v>1533</v>
      </c>
      <c r="M25" s="421" t="s">
        <v>1531</v>
      </c>
    </row>
    <row r="26" spans="2:14" ht="11.25" customHeight="1" x14ac:dyDescent="0.2">
      <c r="B26" s="16"/>
      <c r="C26" s="32" t="s">
        <v>6</v>
      </c>
      <c r="D26" s="122" t="e">
        <f>D102</f>
        <v>#N/A</v>
      </c>
      <c r="E26" s="126" t="e">
        <f>D123</f>
        <v>#REF!</v>
      </c>
      <c r="F26" s="111" t="e">
        <f>D106</f>
        <v>#N/A</v>
      </c>
      <c r="G26" s="296" t="e">
        <f>D149</f>
        <v>#REF!</v>
      </c>
      <c r="H26" s="126" t="e">
        <f>D134</f>
        <v>#REF!</v>
      </c>
      <c r="I26" s="122" t="e">
        <f>D98</f>
        <v>#N/A</v>
      </c>
      <c r="J26" s="122" t="e">
        <f>D78</f>
        <v>#N/A</v>
      </c>
      <c r="L26" s="84" t="e">
        <f t="shared" ref="L26:M28" si="0">F26+E32+E38+E44</f>
        <v>#N/A</v>
      </c>
      <c r="M26" s="86" t="e">
        <f t="shared" si="0"/>
        <v>#REF!</v>
      </c>
    </row>
    <row r="27" spans="2:14" x14ac:dyDescent="0.2">
      <c r="B27" s="16"/>
      <c r="C27" s="32" t="s">
        <v>19</v>
      </c>
      <c r="D27" s="122" t="e">
        <f>D103</f>
        <v>#N/A</v>
      </c>
      <c r="E27" s="126" t="e">
        <f>D124</f>
        <v>#REF!</v>
      </c>
      <c r="F27" s="111" t="e">
        <f>D107</f>
        <v>#N/A</v>
      </c>
      <c r="G27" s="296" t="e">
        <f>D150</f>
        <v>#REF!</v>
      </c>
      <c r="H27" s="126" t="e">
        <f t="shared" ref="H27:H28" si="1">D135</f>
        <v>#REF!</v>
      </c>
      <c r="I27" s="122" t="e">
        <f t="shared" ref="I27:I28" si="2">D99</f>
        <v>#N/A</v>
      </c>
      <c r="J27" s="122" t="e">
        <f t="shared" ref="J27:J28" si="3">D79</f>
        <v>#N/A</v>
      </c>
      <c r="L27" s="84" t="e">
        <f t="shared" si="0"/>
        <v>#N/A</v>
      </c>
      <c r="M27" s="86" t="e">
        <f t="shared" si="0"/>
        <v>#REF!</v>
      </c>
    </row>
    <row r="28" spans="2:14" x14ac:dyDescent="0.2">
      <c r="B28" s="16"/>
      <c r="C28" s="32" t="s">
        <v>20</v>
      </c>
      <c r="D28" s="122" t="e">
        <f>D104</f>
        <v>#N/A</v>
      </c>
      <c r="E28" s="126" t="e">
        <f>D125</f>
        <v>#REF!</v>
      </c>
      <c r="F28" s="111" t="e">
        <f>D108</f>
        <v>#N/A</v>
      </c>
      <c r="G28" s="296" t="e">
        <f>D151</f>
        <v>#REF!</v>
      </c>
      <c r="H28" s="126" t="e">
        <f t="shared" si="1"/>
        <v>#REF!</v>
      </c>
      <c r="I28" s="122" t="e">
        <f t="shared" si="2"/>
        <v>#N/A</v>
      </c>
      <c r="J28" s="122" t="e">
        <f t="shared" si="3"/>
        <v>#N/A</v>
      </c>
      <c r="L28" s="84" t="e">
        <f t="shared" si="0"/>
        <v>#N/A</v>
      </c>
      <c r="M28" s="86" t="e">
        <f t="shared" si="0"/>
        <v>#REF!</v>
      </c>
    </row>
    <row r="29" spans="2:14" x14ac:dyDescent="0.2">
      <c r="B29" s="16"/>
    </row>
    <row r="30" spans="2:14" ht="12.75" thickBot="1" x14ac:dyDescent="0.25">
      <c r="B30" s="16"/>
      <c r="C30" s="34" t="s">
        <v>55</v>
      </c>
      <c r="D30" s="34"/>
      <c r="E30" s="33"/>
      <c r="F30" s="33"/>
    </row>
    <row r="31" spans="2:14" ht="23.25" thickBot="1" x14ac:dyDescent="0.25">
      <c r="B31" s="16"/>
      <c r="C31" s="160" t="s">
        <v>127</v>
      </c>
      <c r="D31" s="281" t="s">
        <v>325</v>
      </c>
      <c r="E31" s="281" t="s">
        <v>326</v>
      </c>
      <c r="F31" s="421" t="s">
        <v>1532</v>
      </c>
    </row>
    <row r="32" spans="2:14" x14ac:dyDescent="0.2">
      <c r="B32" s="16"/>
      <c r="C32" s="32" t="s">
        <v>6</v>
      </c>
      <c r="D32" s="40">
        <v>0</v>
      </c>
      <c r="E32" s="39">
        <v>0</v>
      </c>
      <c r="F32" s="39">
        <v>0</v>
      </c>
      <c r="G32" s="7" t="s">
        <v>128</v>
      </c>
    </row>
    <row r="33" spans="2:14" x14ac:dyDescent="0.2">
      <c r="B33" s="16"/>
      <c r="C33" s="32" t="s">
        <v>19</v>
      </c>
      <c r="D33" s="40">
        <v>0</v>
      </c>
      <c r="E33" s="39">
        <v>0</v>
      </c>
      <c r="F33" s="39">
        <v>0</v>
      </c>
    </row>
    <row r="34" spans="2:14" x14ac:dyDescent="0.2">
      <c r="B34" s="16"/>
      <c r="C34" s="32" t="s">
        <v>20</v>
      </c>
      <c r="D34" s="40">
        <v>0</v>
      </c>
      <c r="E34" s="39">
        <v>0</v>
      </c>
      <c r="F34" s="39">
        <v>0</v>
      </c>
    </row>
    <row r="35" spans="2:14" x14ac:dyDescent="0.2">
      <c r="B35" s="16"/>
    </row>
    <row r="36" spans="2:14" ht="12.75" thickBot="1" x14ac:dyDescent="0.25">
      <c r="B36" s="16"/>
      <c r="C36" s="34" t="s">
        <v>28</v>
      </c>
      <c r="D36" s="34"/>
      <c r="E36" s="33"/>
      <c r="F36" s="33"/>
    </row>
    <row r="37" spans="2:14" ht="23.25" thickBot="1" x14ac:dyDescent="0.25">
      <c r="B37" s="16"/>
      <c r="C37" s="160" t="s">
        <v>127</v>
      </c>
      <c r="D37" s="281" t="s">
        <v>756</v>
      </c>
      <c r="E37" s="281" t="s">
        <v>326</v>
      </c>
      <c r="F37" s="421" t="s">
        <v>1532</v>
      </c>
    </row>
    <row r="38" spans="2:14" x14ac:dyDescent="0.2">
      <c r="B38" s="16"/>
      <c r="C38" s="32" t="s">
        <v>6</v>
      </c>
      <c r="D38" s="122" t="e">
        <f>$D$86</f>
        <v>#N/A</v>
      </c>
      <c r="E38" s="111" t="e">
        <f>$D$87</f>
        <v>#N/A</v>
      </c>
      <c r="F38" s="139">
        <v>0</v>
      </c>
      <c r="G38" s="7" t="s">
        <v>128</v>
      </c>
    </row>
    <row r="39" spans="2:14" x14ac:dyDescent="0.2">
      <c r="B39" s="16"/>
      <c r="C39" s="32" t="s">
        <v>19</v>
      </c>
      <c r="D39" s="122" t="e">
        <f>$D$86</f>
        <v>#N/A</v>
      </c>
      <c r="E39" s="111" t="e">
        <f>$D$87</f>
        <v>#N/A</v>
      </c>
      <c r="F39" s="139">
        <v>0</v>
      </c>
    </row>
    <row r="40" spans="2:14" x14ac:dyDescent="0.2">
      <c r="B40" s="16"/>
      <c r="C40" s="32" t="s">
        <v>20</v>
      </c>
      <c r="D40" s="122" t="e">
        <f>$D$86</f>
        <v>#N/A</v>
      </c>
      <c r="E40" s="111" t="e">
        <f>$D$87</f>
        <v>#N/A</v>
      </c>
      <c r="F40" s="139">
        <v>0</v>
      </c>
    </row>
    <row r="41" spans="2:14" x14ac:dyDescent="0.2">
      <c r="B41" s="16"/>
    </row>
    <row r="42" spans="2:14" ht="12.75" thickBot="1" x14ac:dyDescent="0.25">
      <c r="B42" s="16"/>
      <c r="C42" s="34" t="s">
        <v>27</v>
      </c>
      <c r="D42" s="34"/>
      <c r="E42" s="33"/>
      <c r="F42" s="33"/>
    </row>
    <row r="43" spans="2:14" ht="23.25" thickBot="1" x14ac:dyDescent="0.25">
      <c r="B43" s="16"/>
      <c r="C43" s="160" t="s">
        <v>127</v>
      </c>
      <c r="D43" s="281" t="s">
        <v>756</v>
      </c>
      <c r="E43" s="281" t="s">
        <v>326</v>
      </c>
      <c r="F43" s="421" t="s">
        <v>1532</v>
      </c>
    </row>
    <row r="44" spans="2:14" x14ac:dyDescent="0.2">
      <c r="B44" s="16"/>
      <c r="C44" s="32" t="s">
        <v>6</v>
      </c>
      <c r="D44" s="39">
        <v>0</v>
      </c>
      <c r="E44" s="39">
        <v>0</v>
      </c>
      <c r="F44" s="39">
        <v>0</v>
      </c>
      <c r="G44" s="7" t="s">
        <v>128</v>
      </c>
    </row>
    <row r="45" spans="2:14" x14ac:dyDescent="0.2">
      <c r="B45" s="16"/>
      <c r="C45" s="32" t="s">
        <v>19</v>
      </c>
      <c r="D45" s="39">
        <v>0</v>
      </c>
      <c r="E45" s="39">
        <v>0</v>
      </c>
      <c r="F45" s="39">
        <v>0</v>
      </c>
    </row>
    <row r="46" spans="2:14" x14ac:dyDescent="0.2">
      <c r="B46" s="16"/>
      <c r="C46" s="32" t="s">
        <v>20</v>
      </c>
      <c r="D46" s="39">
        <v>0</v>
      </c>
      <c r="E46" s="39">
        <v>0</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e">
        <f>INDEX(Tbl_EquipmentDefinitions[Electricity Code Efficiency],MATCH($E$13,Tbl_EquipmentDefinitions[Equipment ID],0))</f>
        <v>#N/A</v>
      </c>
      <c r="E51" s="690"/>
      <c r="F51" s="693" t="e">
        <f>INDEX(Tbl_EquipmentDefinitions[Natural Gas Code Efficiency],MATCH($E$13,Tbl_EquipmentDefinitions[Equipment ID],0))</f>
        <v>#N/A</v>
      </c>
      <c r="G51" s="690"/>
      <c r="H51" s="693" t="e">
        <f>INDEX(Tbl_EquipmentDefinitions[Propane Code Efficiency],MATCH($E$13,Tbl_EquipmentDefinitions[Equipment ID],0))</f>
        <v>#N/A</v>
      </c>
      <c r="I51" s="690"/>
      <c r="J51" s="693" t="e">
        <f>INDEX(Tbl_EquipmentDefinitions[Oil Code Efficiency],MATCH($E$13,Tbl_EquipmentDefinitions[Equipment ID],0))</f>
        <v>#N/A</v>
      </c>
      <c r="K51" s="690"/>
    </row>
    <row r="52" spans="2:14" ht="12.75" x14ac:dyDescent="0.2">
      <c r="B52" s="16"/>
      <c r="C52" s="30" t="s">
        <v>153</v>
      </c>
      <c r="D52" s="689" t="e">
        <f>INDEX(Tbl_EquipmentDefinitions[Electricity Low Measure Efficiency],MATCH($E$13,Tbl_EquipmentDefinitions[Equipment ID],0))</f>
        <v>#N/A</v>
      </c>
      <c r="E52" s="690"/>
      <c r="F52" s="689" t="e">
        <f>INDEX(Tbl_EquipmentDefinitions[Natural Gas Low Measure Efficiency],MATCH($E$13,Tbl_EquipmentDefinitions[Equipment ID],0))</f>
        <v>#N/A</v>
      </c>
      <c r="G52" s="690"/>
      <c r="H52" s="689" t="e">
        <f>INDEX(Tbl_EquipmentDefinitions[Propane Low Measure Efficiency],MATCH($E$13,Tbl_EquipmentDefinitions[Equipment ID],0))</f>
        <v>#N/A</v>
      </c>
      <c r="I52" s="690"/>
      <c r="J52" s="689" t="e">
        <f>INDEX(Tbl_EquipmentDefinitions[Oil Low Measure Efficiency],MATCH($E$13,Tbl_EquipmentDefinitions[Equipment ID],0))</f>
        <v>#N/A</v>
      </c>
      <c r="K52" s="690"/>
    </row>
    <row r="53" spans="2:14" ht="12.75" x14ac:dyDescent="0.2">
      <c r="B53" s="16"/>
      <c r="C53" s="30" t="s">
        <v>154</v>
      </c>
      <c r="D53" s="689" t="e">
        <f>INDEX(Tbl_EquipmentDefinitions[Electricity High Measure Efficiency],MATCH($E$13,Tbl_EquipmentDefinitions[Equipment ID],0))</f>
        <v>#N/A</v>
      </c>
      <c r="E53" s="690"/>
      <c r="F53" s="689" t="e">
        <f>INDEX(Tbl_EquipmentDefinitions[Natural Gas High Measure Efficiency],MATCH($E$13,Tbl_EquipmentDefinitions[Equipment ID],0))</f>
        <v>#N/A</v>
      </c>
      <c r="G53" s="690"/>
      <c r="H53" s="689" t="e">
        <f>INDEX(Tbl_EquipmentDefinitions[Propane High Measure Efficiency],MATCH($E$13,Tbl_EquipmentDefinitions[Equipment ID],0))</f>
        <v>#N/A</v>
      </c>
      <c r="I53" s="690"/>
      <c r="J53" s="689" t="e">
        <f>INDEX(Tbl_EquipmentDefinitions[Oil High Measure Efficiency],MATCH($E$13,Tbl_EquipmentDefinitions[Equipment ID],0))</f>
        <v>#N/A</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160" t="s">
        <v>131</v>
      </c>
      <c r="D58" s="691" t="s">
        <v>132</v>
      </c>
      <c r="E58" s="692"/>
      <c r="F58" s="692"/>
      <c r="G58" s="692"/>
    </row>
    <row r="59" spans="2:14" x14ac:dyDescent="0.2">
      <c r="B59" s="16"/>
      <c r="C59" s="32" t="s">
        <v>207</v>
      </c>
      <c r="D59" s="696" t="s">
        <v>206</v>
      </c>
      <c r="E59" s="697"/>
      <c r="F59" s="697"/>
      <c r="G59" s="697"/>
    </row>
    <row r="60" spans="2:14" x14ac:dyDescent="0.2">
      <c r="B60" s="16"/>
      <c r="C60" s="32" t="s">
        <v>174</v>
      </c>
      <c r="D60" s="698" t="s">
        <v>206</v>
      </c>
      <c r="E60" s="699"/>
      <c r="F60" s="699"/>
      <c r="G60" s="699"/>
    </row>
    <row r="61" spans="2:14" x14ac:dyDescent="0.2">
      <c r="B61" s="16"/>
      <c r="C61" s="32" t="s">
        <v>309</v>
      </c>
      <c r="D61" s="698" t="s">
        <v>282</v>
      </c>
      <c r="E61" s="699"/>
      <c r="F61" s="699"/>
      <c r="G61" s="699"/>
    </row>
    <row r="62" spans="2:14" x14ac:dyDescent="0.2">
      <c r="B62" s="16"/>
    </row>
    <row r="64" spans="2:14" ht="13.5" thickBot="1" x14ac:dyDescent="0.25">
      <c r="B64" s="9" t="s">
        <v>129</v>
      </c>
      <c r="C64" s="9"/>
      <c r="D64" s="9"/>
      <c r="E64" s="9"/>
      <c r="F64" s="9"/>
      <c r="G64" s="9"/>
      <c r="H64" s="9"/>
      <c r="I64" s="9"/>
      <c r="J64" s="9"/>
      <c r="K64" s="9"/>
      <c r="L64" s="9"/>
      <c r="M64" s="9"/>
      <c r="N64" s="9"/>
    </row>
    <row r="65" spans="2:6" x14ac:dyDescent="0.2">
      <c r="B65" s="15"/>
    </row>
    <row r="66" spans="2:6" ht="12.75" x14ac:dyDescent="0.2">
      <c r="B66" s="16"/>
      <c r="C66" s="10" t="s">
        <v>531</v>
      </c>
      <c r="D66" s="10"/>
    </row>
    <row r="67" spans="2:6" x14ac:dyDescent="0.2">
      <c r="B67" s="16"/>
    </row>
    <row r="68" spans="2:6" ht="12.75" x14ac:dyDescent="0.2">
      <c r="B68" s="16"/>
      <c r="C68" s="30" t="s">
        <v>155</v>
      </c>
      <c r="D68" s="88" t="e">
        <f>$D$18</f>
        <v>#N/A</v>
      </c>
      <c r="E68" s="6" t="s">
        <v>156</v>
      </c>
    </row>
    <row r="69" spans="2:6" x14ac:dyDescent="0.2">
      <c r="B69" s="16"/>
    </row>
    <row r="70" spans="2:6" ht="12.75" x14ac:dyDescent="0.2">
      <c r="B70" s="16"/>
      <c r="C70" s="30" t="s">
        <v>159</v>
      </c>
      <c r="D70" s="44">
        <v>8.1999999999999993</v>
      </c>
      <c r="E70" s="6" t="s">
        <v>182</v>
      </c>
      <c r="F70" s="45" t="s">
        <v>301</v>
      </c>
    </row>
    <row r="71" spans="2:6" ht="12.75" x14ac:dyDescent="0.2">
      <c r="B71" s="16"/>
      <c r="C71" s="36" t="s">
        <v>180</v>
      </c>
      <c r="D71" s="44">
        <v>8.5</v>
      </c>
      <c r="E71" s="6" t="s">
        <v>182</v>
      </c>
      <c r="F71" s="8"/>
    </row>
    <row r="72" spans="2:6" ht="12.75" x14ac:dyDescent="0.2">
      <c r="B72" s="16"/>
      <c r="C72" s="36" t="s">
        <v>181</v>
      </c>
      <c r="D72" s="44">
        <v>9.6</v>
      </c>
      <c r="E72" s="6" t="s">
        <v>182</v>
      </c>
      <c r="F72" s="8"/>
    </row>
    <row r="73" spans="2:6" x14ac:dyDescent="0.2">
      <c r="B73" s="16"/>
    </row>
    <row r="74" spans="2:6" x14ac:dyDescent="0.2">
      <c r="B74" s="16"/>
      <c r="C74" s="5" t="s">
        <v>250</v>
      </c>
      <c r="D74" s="5"/>
    </row>
    <row r="75" spans="2:6" ht="12.75" x14ac:dyDescent="0.2">
      <c r="B75" s="16"/>
      <c r="C75" s="53" t="s">
        <v>526</v>
      </c>
      <c r="D75" s="54">
        <f>374.55/1043</f>
        <v>0.35910834132310643</v>
      </c>
      <c r="E75" s="188" t="s">
        <v>176</v>
      </c>
      <c r="F75" s="45" t="s">
        <v>951</v>
      </c>
    </row>
    <row r="76" spans="2:6" ht="12.75" x14ac:dyDescent="0.2">
      <c r="B76" s="16"/>
      <c r="C76" s="36" t="s">
        <v>528</v>
      </c>
      <c r="D76" s="189">
        <v>0.25</v>
      </c>
      <c r="E76" s="45" t="s">
        <v>961</v>
      </c>
    </row>
    <row r="77" spans="2:6" x14ac:dyDescent="0.2">
      <c r="B77" s="16"/>
    </row>
    <row r="78" spans="2:6" ht="12.75" x14ac:dyDescent="0.2">
      <c r="B78" s="16"/>
      <c r="C78" s="36" t="s">
        <v>292</v>
      </c>
      <c r="D78" s="41" t="e">
        <f>($D$68/HPFUELCALC_REF_HEATINGLOAD)/($D70/HPFUELCALC_REF_CHP_HSPF)*HPPROPANECALC_CHP_HPCONSUMPTION
+($D$68/HPFUELCALC_REF_HEATINGLOAD)*HPPROPANECALC_CHP_CHPRESISTANCECONSUMPTION
+HPPROPANECALC_CHP_FURNACEFANCONSUMPTION*$D$75/HPFUELCALC_REF_FUELPOWER_KW*($D$76/HPFUELCALC_REF_FUELPOWER_CF)</f>
        <v>#N/A</v>
      </c>
      <c r="E78" s="6" t="s">
        <v>170</v>
      </c>
      <c r="F78" s="45" t="s">
        <v>305</v>
      </c>
    </row>
    <row r="79" spans="2:6" ht="12.75" x14ac:dyDescent="0.2">
      <c r="B79" s="16"/>
      <c r="C79" s="36" t="s">
        <v>293</v>
      </c>
      <c r="D79" s="41" t="e">
        <f>($D$68/HPFUELCALC_REF_HEATINGLOAD)/($D71/HPFUELCALC_REF_CHP_HSPF)*HPPROPANECALC_CHP_HPCONSUMPTION
+($D$68/HPFUELCALC_REF_HEATINGLOAD)*HPPROPANECALC_CHP_CHPRESISTANCECONSUMPTION
+HPPROPANECALC_CHP_FURNACEFANCONSUMPTION*$D$75/HPFUELCALC_REF_FUELPOWER_KW*($D$76/HPFUELCALC_REF_FUELPOWER_CF)</f>
        <v>#N/A</v>
      </c>
      <c r="E79" s="6" t="s">
        <v>170</v>
      </c>
      <c r="F79" s="45" t="s">
        <v>527</v>
      </c>
    </row>
    <row r="80" spans="2:6" ht="12.75" x14ac:dyDescent="0.2">
      <c r="B80" s="16"/>
      <c r="C80" s="36" t="s">
        <v>294</v>
      </c>
      <c r="D80" s="41" t="e">
        <f>($D$68/HPFUELCALC_REF_HEATINGLOAD)/($D72/HPFUELCALC_REF_CHP_HSPF)*HPPROPANECALC_CHP_HPCONSUMPTION
+($D$68/HPFUELCALC_REF_HEATINGLOAD)*HPPROPANECALC_CHP_CHPRESISTANCECONSUMPTION
+HPPROPANECALC_CHP_FURNACEFANCONSUMPTION*$D$75/HPFUELCALC_REF_FUELPOWER_KW*($D$76/HPFUELCALC_REF_FUELPOWER_CF)</f>
        <v>#N/A</v>
      </c>
      <c r="E80" s="6" t="s">
        <v>170</v>
      </c>
      <c r="F80" s="45"/>
    </row>
    <row r="81" spans="2:6" x14ac:dyDescent="0.2">
      <c r="B81" s="16"/>
      <c r="F81" s="45"/>
    </row>
    <row r="82" spans="2:6" ht="12.75" x14ac:dyDescent="0.2">
      <c r="B82" s="16"/>
      <c r="C82" s="10" t="s">
        <v>533</v>
      </c>
      <c r="D82" s="10"/>
      <c r="F82" s="45"/>
    </row>
    <row r="83" spans="2:6" x14ac:dyDescent="0.2">
      <c r="B83" s="16"/>
      <c r="F83" s="45"/>
    </row>
    <row r="84" spans="2:6" ht="12.75" x14ac:dyDescent="0.2">
      <c r="B84" s="16"/>
      <c r="C84" s="30" t="s">
        <v>529</v>
      </c>
      <c r="D84" s="150">
        <v>0.78900000000000003</v>
      </c>
      <c r="E84" s="6" t="s">
        <v>158</v>
      </c>
    </row>
    <row r="85" spans="2:6" x14ac:dyDescent="0.2">
      <c r="B85" s="16"/>
      <c r="F85" s="45"/>
    </row>
    <row r="86" spans="2:6" ht="12.75" x14ac:dyDescent="0.2">
      <c r="B86" s="16"/>
      <c r="C86" s="36" t="s">
        <v>530</v>
      </c>
      <c r="D86" s="190" t="e">
        <f>D68*HPPROPANECALC_CHP_FURNACEPROPANECONSUMPTION/(D84/HPFUELCALC_REF_AFUE)/10</f>
        <v>#N/A</v>
      </c>
      <c r="E86" s="6" t="s">
        <v>481</v>
      </c>
      <c r="F86" s="45"/>
    </row>
    <row r="87" spans="2:6" ht="12.75" x14ac:dyDescent="0.2">
      <c r="B87" s="16"/>
      <c r="C87" s="36" t="s">
        <v>729</v>
      </c>
      <c r="D87" s="282" t="e">
        <f>D86*PRICE_PER_MMBTU_2018_PROPANE</f>
        <v>#N/A</v>
      </c>
      <c r="E87" s="6" t="s">
        <v>164</v>
      </c>
      <c r="F87" s="45"/>
    </row>
    <row r="88" spans="2:6" x14ac:dyDescent="0.2">
      <c r="B88" s="16"/>
      <c r="F88" s="45"/>
    </row>
    <row r="89" spans="2:6" x14ac:dyDescent="0.2">
      <c r="B89" s="16"/>
      <c r="F89" s="45"/>
    </row>
    <row r="90" spans="2:6" ht="12.75" x14ac:dyDescent="0.2">
      <c r="B90" s="16"/>
      <c r="C90" s="10" t="s">
        <v>532</v>
      </c>
      <c r="D90" s="10"/>
      <c r="F90" s="45"/>
    </row>
    <row r="91" spans="2:6" x14ac:dyDescent="0.2">
      <c r="B91" s="16"/>
      <c r="F91" s="45"/>
    </row>
    <row r="92" spans="2:6" ht="12.75" x14ac:dyDescent="0.2">
      <c r="B92" s="16"/>
      <c r="C92" s="30" t="s">
        <v>167</v>
      </c>
      <c r="D92" s="87" t="e">
        <f>$D$19</f>
        <v>#N/A</v>
      </c>
      <c r="E92" s="6" t="s">
        <v>156</v>
      </c>
    </row>
    <row r="93" spans="2:6" x14ac:dyDescent="0.2">
      <c r="B93" s="16"/>
    </row>
    <row r="94" spans="2:6" ht="12.75" x14ac:dyDescent="0.2">
      <c r="B94" s="16"/>
      <c r="C94" s="36" t="s">
        <v>168</v>
      </c>
      <c r="D94" s="44">
        <v>14</v>
      </c>
      <c r="E94" s="6" t="s">
        <v>169</v>
      </c>
      <c r="F94" s="45" t="s">
        <v>302</v>
      </c>
    </row>
    <row r="95" spans="2:6" ht="12.75" x14ac:dyDescent="0.2">
      <c r="B95" s="16"/>
      <c r="C95" s="36" t="s">
        <v>201</v>
      </c>
      <c r="D95" s="44">
        <v>16</v>
      </c>
      <c r="E95" s="6" t="s">
        <v>169</v>
      </c>
    </row>
    <row r="96" spans="2:6" ht="12.75" x14ac:dyDescent="0.2">
      <c r="B96" s="16"/>
      <c r="C96" s="36" t="s">
        <v>202</v>
      </c>
      <c r="D96" s="44">
        <v>18</v>
      </c>
      <c r="E96" s="6" t="s">
        <v>169</v>
      </c>
    </row>
    <row r="97" spans="2:6" x14ac:dyDescent="0.2">
      <c r="B97" s="16"/>
    </row>
    <row r="98" spans="2:6" ht="12.75" x14ac:dyDescent="0.2">
      <c r="B98" s="16"/>
      <c r="C98" s="36" t="s">
        <v>295</v>
      </c>
      <c r="D98" s="41" t="e">
        <f>1000*$D$92/D94</f>
        <v>#N/A</v>
      </c>
      <c r="E98" s="6" t="s">
        <v>170</v>
      </c>
      <c r="F98" s="45" t="s">
        <v>306</v>
      </c>
    </row>
    <row r="99" spans="2:6" ht="12.75" x14ac:dyDescent="0.2">
      <c r="B99" s="16"/>
      <c r="C99" s="36" t="s">
        <v>296</v>
      </c>
      <c r="D99" s="41" t="e">
        <f>1000*$D$92/D95</f>
        <v>#N/A</v>
      </c>
      <c r="E99" s="6" t="s">
        <v>170</v>
      </c>
    </row>
    <row r="100" spans="2:6" ht="12.75" x14ac:dyDescent="0.2">
      <c r="B100" s="16"/>
      <c r="C100" s="36" t="s">
        <v>297</v>
      </c>
      <c r="D100" s="41" t="e">
        <f>1000*$D$92/D96</f>
        <v>#N/A</v>
      </c>
      <c r="E100" s="6" t="s">
        <v>170</v>
      </c>
    </row>
    <row r="101" spans="2:6" x14ac:dyDescent="0.2">
      <c r="B101" s="16"/>
    </row>
    <row r="102" spans="2:6" ht="12.75" x14ac:dyDescent="0.2">
      <c r="B102" s="16"/>
      <c r="C102" s="36" t="s">
        <v>298</v>
      </c>
      <c r="D102" s="41" t="e">
        <f>D78+D98</f>
        <v>#N/A</v>
      </c>
      <c r="E102" s="6" t="s">
        <v>170</v>
      </c>
      <c r="F102" s="45" t="s">
        <v>307</v>
      </c>
    </row>
    <row r="103" spans="2:6" ht="12.75" x14ac:dyDescent="0.2">
      <c r="B103" s="16"/>
      <c r="C103" s="36" t="s">
        <v>299</v>
      </c>
      <c r="D103" s="41" t="e">
        <f>D79+D99</f>
        <v>#N/A</v>
      </c>
      <c r="E103" s="6" t="s">
        <v>170</v>
      </c>
    </row>
    <row r="104" spans="2:6" ht="12.75" x14ac:dyDescent="0.2">
      <c r="B104" s="16"/>
      <c r="C104" s="36" t="s">
        <v>300</v>
      </c>
      <c r="D104" s="41" t="e">
        <f>D80+D100</f>
        <v>#N/A</v>
      </c>
      <c r="E104" s="6" t="s">
        <v>170</v>
      </c>
    </row>
    <row r="105" spans="2:6" x14ac:dyDescent="0.2">
      <c r="B105" s="16"/>
    </row>
    <row r="106" spans="2:6" ht="12.75" x14ac:dyDescent="0.2">
      <c r="B106" s="16"/>
      <c r="C106" s="30" t="s">
        <v>163</v>
      </c>
      <c r="D106" s="42" t="e">
        <f>D102*PRICE_PER_KWH_2018_ELECTRICITY</f>
        <v>#N/A</v>
      </c>
      <c r="E106" s="6" t="s">
        <v>164</v>
      </c>
      <c r="F106" s="45" t="s">
        <v>308</v>
      </c>
    </row>
    <row r="107" spans="2:6" ht="12.75" x14ac:dyDescent="0.2">
      <c r="B107" s="16"/>
      <c r="C107" s="36" t="s">
        <v>203</v>
      </c>
      <c r="D107" s="42" t="e">
        <f>D103*PRICE_PER_KWH_2018_ELECTRICITY</f>
        <v>#N/A</v>
      </c>
      <c r="E107" s="6" t="s">
        <v>164</v>
      </c>
    </row>
    <row r="108" spans="2:6" ht="12.75" x14ac:dyDescent="0.2">
      <c r="B108" s="16"/>
      <c r="C108" s="36" t="s">
        <v>204</v>
      </c>
      <c r="D108" s="42" t="e">
        <f>D104*PRICE_PER_KWH_2018_ELECTRICITY</f>
        <v>#N/A</v>
      </c>
      <c r="E108" s="6" t="s">
        <v>164</v>
      </c>
    </row>
    <row r="109" spans="2:6" x14ac:dyDescent="0.2">
      <c r="B109" s="16"/>
    </row>
    <row r="110" spans="2:6" x14ac:dyDescent="0.2">
      <c r="B110" s="16"/>
    </row>
    <row r="111" spans="2:6" ht="12.75" x14ac:dyDescent="0.2">
      <c r="B111" s="16"/>
      <c r="C111" s="10" t="s">
        <v>366</v>
      </c>
      <c r="D111" s="10"/>
    </row>
    <row r="112" spans="2:6" x14ac:dyDescent="0.2">
      <c r="B112" s="16"/>
    </row>
    <row r="113" spans="2:6" ht="12.75" x14ac:dyDescent="0.2">
      <c r="B113" s="16"/>
      <c r="C113" s="36" t="s">
        <v>205</v>
      </c>
      <c r="D113" s="43" t="e">
        <f>Inputs!#REF!</f>
        <v>#REF!</v>
      </c>
    </row>
    <row r="114" spans="2:6" ht="12.75" x14ac:dyDescent="0.2">
      <c r="B114" s="16"/>
      <c r="C114" s="30" t="s">
        <v>172</v>
      </c>
      <c r="D114" s="41" t="e">
        <f>LEFT(D113,SEARCH("ton",D113,1)-2)</f>
        <v>#REF!</v>
      </c>
      <c r="E114" s="6" t="s">
        <v>173</v>
      </c>
    </row>
    <row r="115" spans="2:6" x14ac:dyDescent="0.2">
      <c r="B115" s="16"/>
    </row>
    <row r="116" spans="2:6" ht="12.75" x14ac:dyDescent="0.2">
      <c r="B116" s="16"/>
      <c r="C116" s="36" t="s">
        <v>217</v>
      </c>
      <c r="D116" s="44">
        <v>8.1999999999999993</v>
      </c>
      <c r="E116" s="6" t="s">
        <v>182</v>
      </c>
      <c r="F116" s="45" t="s">
        <v>303</v>
      </c>
    </row>
    <row r="117" spans="2:6" ht="12.75" x14ac:dyDescent="0.2">
      <c r="B117" s="16"/>
      <c r="C117" s="36" t="s">
        <v>218</v>
      </c>
      <c r="D117" s="44">
        <v>8.5</v>
      </c>
      <c r="E117" s="6" t="s">
        <v>182</v>
      </c>
      <c r="F117" s="45"/>
    </row>
    <row r="118" spans="2:6" ht="12.75" x14ac:dyDescent="0.2">
      <c r="B118" s="16"/>
      <c r="C118" s="36" t="s">
        <v>219</v>
      </c>
      <c r="D118" s="44">
        <v>9.6</v>
      </c>
      <c r="E118" s="6" t="s">
        <v>182</v>
      </c>
      <c r="F118" s="45"/>
    </row>
    <row r="119" spans="2:6" x14ac:dyDescent="0.2">
      <c r="B119" s="16"/>
    </row>
    <row r="120" spans="2:6" ht="12.75" x14ac:dyDescent="0.2">
      <c r="B120" s="16"/>
      <c r="C120" s="36" t="s">
        <v>209</v>
      </c>
      <c r="D120" s="44">
        <v>0.31</v>
      </c>
      <c r="E120" s="45" t="s">
        <v>206</v>
      </c>
    </row>
    <row r="121" spans="2:6" ht="12.75" x14ac:dyDescent="0.2">
      <c r="B121" s="16"/>
      <c r="C121" s="36" t="s">
        <v>210</v>
      </c>
      <c r="D121" s="44">
        <v>0.54</v>
      </c>
      <c r="E121" s="45" t="s">
        <v>206</v>
      </c>
    </row>
    <row r="122" spans="2:6" x14ac:dyDescent="0.2">
      <c r="B122" s="16"/>
    </row>
    <row r="123" spans="2:6" ht="12.75" x14ac:dyDescent="0.2">
      <c r="B123" s="16"/>
      <c r="C123" s="36" t="s">
        <v>220</v>
      </c>
      <c r="D123" s="37" t="e">
        <f>$D$120*$D$114*12/D116</f>
        <v>#REF!</v>
      </c>
      <c r="E123" s="6" t="s">
        <v>176</v>
      </c>
      <c r="F123" s="45" t="s">
        <v>216</v>
      </c>
    </row>
    <row r="124" spans="2:6" ht="12.75" x14ac:dyDescent="0.2">
      <c r="B124" s="16"/>
      <c r="C124" s="36" t="s">
        <v>221</v>
      </c>
      <c r="D124" s="37" t="e">
        <f>$D$120*$D$114*12/D117</f>
        <v>#REF!</v>
      </c>
      <c r="E124" s="6" t="s">
        <v>176</v>
      </c>
    </row>
    <row r="125" spans="2:6" ht="12.75" x14ac:dyDescent="0.2">
      <c r="B125" s="16"/>
      <c r="C125" s="36" t="s">
        <v>222</v>
      </c>
      <c r="D125" s="46" t="e">
        <f>$D$121*$D$114*12/D118</f>
        <v>#REF!</v>
      </c>
      <c r="E125" s="6" t="s">
        <v>176</v>
      </c>
    </row>
    <row r="126" spans="2:6" x14ac:dyDescent="0.2">
      <c r="B126" s="16"/>
    </row>
    <row r="127" spans="2:6" x14ac:dyDescent="0.2">
      <c r="B127" s="16"/>
    </row>
    <row r="128" spans="2:6" ht="12.75" x14ac:dyDescent="0.2">
      <c r="B128" s="16"/>
      <c r="C128" s="36" t="s">
        <v>208</v>
      </c>
      <c r="D128" s="44">
        <v>11.7</v>
      </c>
      <c r="E128" s="6" t="s">
        <v>175</v>
      </c>
      <c r="F128" s="45" t="s">
        <v>304</v>
      </c>
    </row>
    <row r="129" spans="2:6" ht="12.75" x14ac:dyDescent="0.2">
      <c r="B129" s="16"/>
      <c r="C129" s="36" t="s">
        <v>213</v>
      </c>
      <c r="D129" s="31">
        <f>$D$128</f>
        <v>11.7</v>
      </c>
      <c r="E129" s="6" t="s">
        <v>175</v>
      </c>
      <c r="F129" s="45" t="s">
        <v>223</v>
      </c>
    </row>
    <row r="130" spans="2:6" ht="12.75" x14ac:dyDescent="0.2">
      <c r="B130" s="16"/>
      <c r="C130" s="36" t="s">
        <v>214</v>
      </c>
      <c r="D130" s="31">
        <f>$D$128</f>
        <v>11.7</v>
      </c>
      <c r="E130" s="6" t="s">
        <v>175</v>
      </c>
      <c r="F130" s="45" t="s">
        <v>223</v>
      </c>
    </row>
    <row r="131" spans="2:6" x14ac:dyDescent="0.2">
      <c r="B131" s="16"/>
    </row>
    <row r="132" spans="2:6" ht="12.75" x14ac:dyDescent="0.2">
      <c r="B132" s="16"/>
      <c r="C132" s="36" t="s">
        <v>174</v>
      </c>
      <c r="D132" s="44">
        <v>0.5</v>
      </c>
      <c r="E132" s="45" t="s">
        <v>953</v>
      </c>
    </row>
    <row r="133" spans="2:6" x14ac:dyDescent="0.2">
      <c r="B133" s="16"/>
    </row>
    <row r="134" spans="2:6" ht="12.75" x14ac:dyDescent="0.2">
      <c r="B134" s="16"/>
      <c r="C134" s="36" t="s">
        <v>211</v>
      </c>
      <c r="D134" s="37" t="e">
        <f>$D$132*$D$114*12/D128</f>
        <v>#REF!</v>
      </c>
      <c r="E134" s="6" t="s">
        <v>176</v>
      </c>
      <c r="F134" s="45"/>
    </row>
    <row r="135" spans="2:6" ht="12.75" x14ac:dyDescent="0.2">
      <c r="B135" s="16"/>
      <c r="C135" s="36" t="s">
        <v>212</v>
      </c>
      <c r="D135" s="37" t="e">
        <f>$D$132*$D$114*12/D129</f>
        <v>#REF!</v>
      </c>
      <c r="E135" s="6" t="s">
        <v>176</v>
      </c>
    </row>
    <row r="136" spans="2:6" ht="12.75" x14ac:dyDescent="0.2">
      <c r="B136" s="16"/>
      <c r="C136" s="36" t="s">
        <v>215</v>
      </c>
      <c r="D136" s="37" t="e">
        <f>$D$132*$D$114*12/D130</f>
        <v>#REF!</v>
      </c>
      <c r="E136" s="6" t="s">
        <v>176</v>
      </c>
    </row>
    <row r="137" spans="2:6" x14ac:dyDescent="0.2">
      <c r="B137" s="16"/>
    </row>
    <row r="138" spans="2:6" ht="12.75" x14ac:dyDescent="0.2">
      <c r="B138" s="16"/>
      <c r="C138" s="10" t="s">
        <v>1143</v>
      </c>
      <c r="D138" s="10"/>
    </row>
    <row r="139" spans="2:6" ht="12.75" x14ac:dyDescent="0.2">
      <c r="B139" s="16"/>
      <c r="C139" s="420" t="s">
        <v>1207</v>
      </c>
      <c r="D139" s="422">
        <f>INPUT_SYSTEMINTEGRATIONCOST</f>
        <v>400</v>
      </c>
      <c r="E139" s="6" t="s">
        <v>1180</v>
      </c>
    </row>
    <row r="140" spans="2:6" x14ac:dyDescent="0.2">
      <c r="B140" s="16"/>
    </row>
    <row r="141" spans="2:6" x14ac:dyDescent="0.2">
      <c r="B141" s="16"/>
      <c r="C141" s="6" t="s">
        <v>1154</v>
      </c>
    </row>
    <row r="142" spans="2:6" x14ac:dyDescent="0.2">
      <c r="B142" s="16"/>
      <c r="C142" s="6" t="s">
        <v>1153</v>
      </c>
    </row>
    <row r="143" spans="2:6" x14ac:dyDescent="0.2">
      <c r="B143" s="16"/>
      <c r="C143" s="6" t="s">
        <v>1152</v>
      </c>
    </row>
    <row r="144" spans="2:6" x14ac:dyDescent="0.2">
      <c r="B144" s="16"/>
      <c r="C144" s="6" t="s">
        <v>1146</v>
      </c>
      <c r="D144" s="42">
        <f>D145-(D146-D145)</f>
        <v>4983</v>
      </c>
      <c r="E144" s="6" t="s">
        <v>1145</v>
      </c>
    </row>
    <row r="145" spans="2:5" x14ac:dyDescent="0.2">
      <c r="B145" s="16"/>
      <c r="C145" s="6" t="s">
        <v>1147</v>
      </c>
      <c r="D145" s="42">
        <f>COST_HP_16SEER_NEW</f>
        <v>5121</v>
      </c>
      <c r="E145" s="6" t="s">
        <v>1145</v>
      </c>
    </row>
    <row r="146" spans="2:5" x14ac:dyDescent="0.2">
      <c r="B146" s="16"/>
      <c r="C146" s="6" t="s">
        <v>1148</v>
      </c>
      <c r="D146" s="42">
        <f>COST_HP_18SEER_NEW</f>
        <v>5259</v>
      </c>
      <c r="E146" s="6" t="s">
        <v>1145</v>
      </c>
    </row>
    <row r="147" spans="2:5" x14ac:dyDescent="0.2">
      <c r="B147" s="16"/>
    </row>
    <row r="148" spans="2:5" x14ac:dyDescent="0.2">
      <c r="B148" s="16"/>
      <c r="C148" s="6" t="s">
        <v>1151</v>
      </c>
    </row>
    <row r="149" spans="2:5" x14ac:dyDescent="0.2">
      <c r="B149" s="16"/>
      <c r="C149" s="6" t="s">
        <v>1146</v>
      </c>
      <c r="D149" s="406" t="e">
        <f>D144*$D$114+$D$139</f>
        <v>#REF!</v>
      </c>
      <c r="E149" s="6" t="s">
        <v>1149</v>
      </c>
    </row>
    <row r="150" spans="2:5" x14ac:dyDescent="0.2">
      <c r="B150" s="16"/>
      <c r="C150" s="6" t="s">
        <v>1147</v>
      </c>
      <c r="D150" s="406" t="e">
        <f t="shared" ref="D150:D151" si="4">D145*$D$114+$D$139</f>
        <v>#REF!</v>
      </c>
      <c r="E150" s="6" t="s">
        <v>1149</v>
      </c>
    </row>
    <row r="151" spans="2:5" x14ac:dyDescent="0.2">
      <c r="B151" s="16"/>
      <c r="C151" s="6" t="s">
        <v>1148</v>
      </c>
      <c r="D151" s="406" t="e">
        <f t="shared" si="4"/>
        <v>#REF!</v>
      </c>
      <c r="E151" s="6" t="s">
        <v>1149</v>
      </c>
    </row>
    <row r="152" spans="2:5" x14ac:dyDescent="0.2">
      <c r="B152" s="16"/>
    </row>
    <row r="153" spans="2:5" x14ac:dyDescent="0.2">
      <c r="B153" s="16"/>
    </row>
  </sheetData>
  <mergeCells count="20">
    <mergeCell ref="D50:E50"/>
    <mergeCell ref="F50:G50"/>
    <mergeCell ref="H50:I50"/>
    <mergeCell ref="J50:K50"/>
    <mergeCell ref="D51:E51"/>
    <mergeCell ref="F51:G51"/>
    <mergeCell ref="H51:I51"/>
    <mergeCell ref="J51:K51"/>
    <mergeCell ref="H52:I52"/>
    <mergeCell ref="J52:K52"/>
    <mergeCell ref="D53:E53"/>
    <mergeCell ref="F53:G53"/>
    <mergeCell ref="H53:I53"/>
    <mergeCell ref="J53:K53"/>
    <mergeCell ref="D58:G58"/>
    <mergeCell ref="D59:G59"/>
    <mergeCell ref="D60:G60"/>
    <mergeCell ref="D61:G61"/>
    <mergeCell ref="D52:E52"/>
    <mergeCell ref="F52:G52"/>
  </mergeCells>
  <dataValidations count="2">
    <dataValidation type="list" allowBlank="1" showInputMessage="1" showErrorMessage="1" sqref="D5">
      <formula1>"1. Not Started,2. Analyzing,3. Ready"</formula1>
    </dataValidation>
    <dataValidation type="list" allowBlank="1" showInputMessage="1" showErrorMessage="1" sqref="D9">
      <formula1>DEFINED_MEASURES</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sheetPr>
  <dimension ref="A1:AD148"/>
  <sheetViews>
    <sheetView workbookViewId="0"/>
  </sheetViews>
  <sheetFormatPr defaultColWidth="9.33203125" defaultRowHeight="11.25" x14ac:dyDescent="0.2"/>
  <cols>
    <col min="1" max="2" width="3.33203125" style="6" customWidth="1"/>
    <col min="3" max="3" width="22.6640625" style="6" bestFit="1" customWidth="1"/>
    <col min="4" max="4" width="15.83203125" style="6" customWidth="1"/>
    <col min="5" max="5" width="16.33203125" style="6" customWidth="1"/>
    <col min="6" max="6" width="15" style="6" customWidth="1"/>
    <col min="7" max="7" width="13.5" style="6" customWidth="1"/>
    <col min="8" max="8" width="15.5" style="6" customWidth="1"/>
    <col min="9" max="9" width="22.33203125" style="6" bestFit="1" customWidth="1"/>
    <col min="10" max="10" width="20.5" style="6" bestFit="1" customWidth="1"/>
    <col min="11" max="17" width="9.33203125" style="6"/>
    <col min="18" max="18" width="37.1640625" style="6" bestFit="1" customWidth="1"/>
    <col min="19"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29" t="s">
        <v>86</v>
      </c>
      <c r="E9" s="7" t="s">
        <v>290</v>
      </c>
    </row>
    <row r="10" spans="1:30" ht="12.75" x14ac:dyDescent="0.2">
      <c r="B10" s="16"/>
      <c r="C10" s="30" t="s">
        <v>289</v>
      </c>
      <c r="D10" s="83" t="str">
        <f>INDEX(Tbl_MeasureList[Baseline ID],MATCH($D$9,Tbl_MeasureList[Measure ID],0))</f>
        <v>BASE01</v>
      </c>
      <c r="E10" s="7"/>
    </row>
    <row r="11" spans="1:30" x14ac:dyDescent="0.2">
      <c r="B11" s="16"/>
      <c r="C11" s="7"/>
      <c r="D11" s="7"/>
      <c r="E11" s="7"/>
    </row>
    <row r="12" spans="1:30" ht="12" thickBot="1" x14ac:dyDescent="0.25">
      <c r="B12" s="16"/>
      <c r="C12" s="7"/>
      <c r="D12" s="79" t="s">
        <v>5</v>
      </c>
      <c r="E12" s="79" t="s">
        <v>284</v>
      </c>
    </row>
    <row r="13" spans="1:30" x14ac:dyDescent="0.2">
      <c r="B13" s="16"/>
      <c r="C13" s="32" t="s">
        <v>2</v>
      </c>
      <c r="D13" s="84" t="str">
        <f>INDEX(Tbl_MeasureList[Baseline Equipment ID],MATCH($D$9,Tbl_MeasureList[Measure ID],0))</f>
        <v>EQUI001</v>
      </c>
      <c r="E13" s="84" t="str">
        <f>INDEX(Tbl_MeasureList[Replacement ID],MATCH($D$9,Tbl_MeasureList[Measure ID],0))</f>
        <v>EQUI007</v>
      </c>
      <c r="F13" s="7"/>
    </row>
    <row r="14" spans="1:30" x14ac:dyDescent="0.2">
      <c r="B14" s="16"/>
      <c r="C14" s="32" t="s">
        <v>4</v>
      </c>
      <c r="D14" s="85" t="str">
        <f>INDEX(Tbl_EquipmentDefinitions[[Equipment Name]:[Equipment Name]],MATCH(D$13,Tbl_EquipmentDefinitions[[Equipment ID]:[Equipment ID]],0))</f>
        <v>Baseline A/C Blend+Oil Furnace</v>
      </c>
      <c r="E14" s="85" t="str">
        <f>INDEX(Tbl_EquipmentDefinitions[[Equipment Name]:[Equipment Name]],MATCH(E$13,Tbl_EquipmentDefinitions[[Equipment ID]:[Equipment ID]],0))</f>
        <v>Central HP</v>
      </c>
      <c r="F14" s="7"/>
    </row>
    <row r="15" spans="1:30" x14ac:dyDescent="0.2">
      <c r="B15" s="16"/>
      <c r="C15" s="32" t="s">
        <v>24</v>
      </c>
      <c r="D15" s="84" t="str">
        <f>INDEX(Tbl_EquipmentDefinitions[[Function]:[Function]],MATCH(D$13,Tbl_EquipmentDefinitions[[Equipment ID]:[Equipment ID]],0))</f>
        <v>Cool+Heat</v>
      </c>
      <c r="E15" s="84" t="str">
        <f>INDEX(Tbl_EquipmentDefinitions[[Function]:[Function]],MATCH(E$13,Tbl_EquipmentDefinitions[[Equipment ID]:[Equipment ID]],0))</f>
        <v>Cool+Heat</v>
      </c>
      <c r="F15" s="7"/>
    </row>
    <row r="16" spans="1:30" x14ac:dyDescent="0.2">
      <c r="B16" s="16"/>
      <c r="C16" s="32" t="s">
        <v>7</v>
      </c>
      <c r="D16" s="85" t="str">
        <f>INDEX(Tbl_EquipmentDefinitions[[Fuel Type]:[Fuel Type]],MATCH(D$13,Tbl_EquipmentDefinitions[[Equipment ID]:[Equipment ID]],0))</f>
        <v>Electric+Oil</v>
      </c>
      <c r="E16" s="85" t="str">
        <f>INDEX(Tbl_EquipmentDefinitions[[Fuel Type]:[Fuel Type]],MATCH(E$13,Tbl_EquipmentDefinitions[[Equipment ID]:[Equipment ID]],0))</f>
        <v>Electric</v>
      </c>
      <c r="F16" s="7"/>
    </row>
    <row r="17" spans="2:14" x14ac:dyDescent="0.2">
      <c r="B17" s="16"/>
      <c r="C17" s="32" t="s">
        <v>126</v>
      </c>
      <c r="D17" s="84">
        <f>IF(ISERR(SEARCH("+",D16,1)),1,2)</f>
        <v>2</v>
      </c>
      <c r="E17" s="84">
        <f>IF(ISERR(SEARCH("+",E16,1)),1,2)</f>
        <v>1</v>
      </c>
      <c r="F17" s="7"/>
    </row>
    <row r="18" spans="2:14" x14ac:dyDescent="0.2">
      <c r="B18" s="16"/>
      <c r="C18" s="32" t="s">
        <v>155</v>
      </c>
      <c r="D18" s="86">
        <f>INDEX(Tbl_BaselineSummary[Space Heating Load (MMBtu/yr)],MATCH($D$10,Tbl_BaselineSummary[Baseline ID],0))</f>
        <v>68.400000000000006</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13.9</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79" t="s">
        <v>127</v>
      </c>
      <c r="D25" s="281" t="s">
        <v>345</v>
      </c>
      <c r="E25" s="385" t="s">
        <v>956</v>
      </c>
      <c r="F25" s="281" t="s">
        <v>326</v>
      </c>
      <c r="G25" s="421" t="s">
        <v>1532</v>
      </c>
      <c r="H25" s="385" t="s">
        <v>958</v>
      </c>
      <c r="I25" s="569" t="s">
        <v>1447</v>
      </c>
      <c r="J25" s="569" t="s">
        <v>1448</v>
      </c>
      <c r="L25" s="79" t="s">
        <v>1533</v>
      </c>
      <c r="M25" s="421" t="s">
        <v>1531</v>
      </c>
    </row>
    <row r="26" spans="2:14" ht="11.25" customHeight="1" x14ac:dyDescent="0.2">
      <c r="B26" s="16"/>
      <c r="C26" s="32" t="s">
        <v>6</v>
      </c>
      <c r="D26" s="122">
        <f>D90</f>
        <v>9831.7164955825247</v>
      </c>
      <c r="E26" s="126">
        <f>D111</f>
        <v>1.8146341463414635</v>
      </c>
      <c r="F26" s="111">
        <f>D94</f>
        <v>1944.7135228262234</v>
      </c>
      <c r="G26" s="296">
        <f>D135</f>
        <v>17348</v>
      </c>
      <c r="H26" s="126">
        <f>D122</f>
        <v>2.0512820512820515</v>
      </c>
      <c r="I26" s="122">
        <f>D86</f>
        <v>933.7714285714286</v>
      </c>
      <c r="J26" s="122">
        <f>D76</f>
        <v>8897.9450670110964</v>
      </c>
      <c r="L26" s="84">
        <f t="shared" ref="L26:M28" si="0">F26+E32+E38+E44</f>
        <v>1944.7135228262234</v>
      </c>
      <c r="M26" s="86">
        <f t="shared" si="0"/>
        <v>17348</v>
      </c>
    </row>
    <row r="27" spans="2:14" x14ac:dyDescent="0.2">
      <c r="B27" s="16"/>
      <c r="C27" s="32" t="s">
        <v>19</v>
      </c>
      <c r="D27" s="122">
        <f>D91</f>
        <v>9425.8756733545251</v>
      </c>
      <c r="E27" s="126">
        <f>D112</f>
        <v>1.7505882352941176</v>
      </c>
      <c r="F27" s="111">
        <f>D95</f>
        <v>1864.4382081895251</v>
      </c>
      <c r="G27" s="296">
        <f t="shared" ref="G27:G28" si="1">D136</f>
        <v>18740</v>
      </c>
      <c r="H27" s="126">
        <f t="shared" ref="H27:H28" si="2">D123</f>
        <v>2.0512820512820515</v>
      </c>
      <c r="I27" s="122">
        <f t="shared" ref="I27:I28" si="3">D87</f>
        <v>817.05000000000007</v>
      </c>
      <c r="J27" s="122">
        <f t="shared" ref="J27:J28" si="4">D77</f>
        <v>8608.8256733545259</v>
      </c>
      <c r="L27" s="84">
        <f t="shared" si="0"/>
        <v>1864.4382081895251</v>
      </c>
      <c r="M27" s="86">
        <f t="shared" si="0"/>
        <v>18740</v>
      </c>
    </row>
    <row r="28" spans="2:14" x14ac:dyDescent="0.2">
      <c r="B28" s="16"/>
      <c r="C28" s="32" t="s">
        <v>20</v>
      </c>
      <c r="D28" s="122">
        <f>D92</f>
        <v>8429.5864612773512</v>
      </c>
      <c r="E28" s="126">
        <f>D113</f>
        <v>2.7</v>
      </c>
      <c r="F28" s="111">
        <f>D96</f>
        <v>1667.3722020406601</v>
      </c>
      <c r="G28" s="296">
        <f t="shared" si="1"/>
        <v>20132</v>
      </c>
      <c r="H28" s="126">
        <f t="shared" si="2"/>
        <v>2.0512820512820515</v>
      </c>
      <c r="I28" s="122">
        <f t="shared" si="3"/>
        <v>726.26666666666677</v>
      </c>
      <c r="J28" s="122">
        <f t="shared" si="4"/>
        <v>7703.3197946106839</v>
      </c>
      <c r="L28" s="84">
        <f t="shared" si="0"/>
        <v>1667.3722020406601</v>
      </c>
      <c r="M28" s="86">
        <f t="shared" si="0"/>
        <v>20132</v>
      </c>
    </row>
    <row r="29" spans="2:14" x14ac:dyDescent="0.2">
      <c r="B29" s="16"/>
    </row>
    <row r="30" spans="2:14" ht="12.75" thickBot="1" x14ac:dyDescent="0.25">
      <c r="B30" s="16"/>
      <c r="C30" s="34" t="s">
        <v>55</v>
      </c>
      <c r="D30" s="34"/>
      <c r="E30" s="33"/>
      <c r="F30" s="33"/>
    </row>
    <row r="31" spans="2:14" ht="34.5" thickBot="1" x14ac:dyDescent="0.25">
      <c r="B31" s="16"/>
      <c r="C31" s="79" t="s">
        <v>127</v>
      </c>
      <c r="D31" s="281" t="s">
        <v>325</v>
      </c>
      <c r="E31" s="281" t="s">
        <v>326</v>
      </c>
      <c r="F31" s="421" t="s">
        <v>1532</v>
      </c>
    </row>
    <row r="32" spans="2:14" x14ac:dyDescent="0.2">
      <c r="B32" s="16"/>
      <c r="C32" s="32" t="s">
        <v>6</v>
      </c>
      <c r="D32" s="40">
        <v>0</v>
      </c>
      <c r="E32" s="39">
        <v>0</v>
      </c>
      <c r="F32" s="39">
        <v>0</v>
      </c>
      <c r="G32" s="7" t="s">
        <v>128</v>
      </c>
    </row>
    <row r="33" spans="2:14" x14ac:dyDescent="0.2">
      <c r="B33" s="16"/>
      <c r="C33" s="32" t="s">
        <v>19</v>
      </c>
      <c r="D33" s="40">
        <v>0</v>
      </c>
      <c r="E33" s="39">
        <v>0</v>
      </c>
      <c r="F33" s="39">
        <v>0</v>
      </c>
    </row>
    <row r="34" spans="2:14" x14ac:dyDescent="0.2">
      <c r="B34" s="16"/>
      <c r="C34" s="32" t="s">
        <v>20</v>
      </c>
      <c r="D34" s="40">
        <v>0</v>
      </c>
      <c r="E34" s="39">
        <v>0</v>
      </c>
      <c r="F34" s="39">
        <v>0</v>
      </c>
    </row>
    <row r="35" spans="2:14" x14ac:dyDescent="0.2">
      <c r="B35" s="16"/>
    </row>
    <row r="36" spans="2:14" ht="12.75" thickBot="1" x14ac:dyDescent="0.25">
      <c r="B36" s="16"/>
      <c r="C36" s="34" t="s">
        <v>28</v>
      </c>
      <c r="D36" s="34"/>
      <c r="E36" s="33"/>
      <c r="F36" s="33"/>
    </row>
    <row r="37" spans="2:14" ht="34.5" thickBot="1" x14ac:dyDescent="0.25">
      <c r="B37" s="16"/>
      <c r="C37" s="79" t="s">
        <v>127</v>
      </c>
      <c r="D37" s="281" t="s">
        <v>756</v>
      </c>
      <c r="E37" s="281" t="s">
        <v>326</v>
      </c>
      <c r="F37" s="421"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34.5" thickBot="1" x14ac:dyDescent="0.25">
      <c r="B43" s="16"/>
      <c r="C43" s="79" t="s">
        <v>127</v>
      </c>
      <c r="D43" s="281" t="s">
        <v>756</v>
      </c>
      <c r="E43" s="281" t="s">
        <v>326</v>
      </c>
      <c r="F43" s="421" t="s">
        <v>1532</v>
      </c>
    </row>
    <row r="44" spans="2:14" x14ac:dyDescent="0.2">
      <c r="B44" s="16"/>
      <c r="C44" s="32" t="s">
        <v>6</v>
      </c>
      <c r="D44" s="40">
        <v>0</v>
      </c>
      <c r="E44" s="39">
        <v>0</v>
      </c>
      <c r="F44" s="39">
        <v>0</v>
      </c>
      <c r="G44" s="7" t="s">
        <v>128</v>
      </c>
    </row>
    <row r="45" spans="2:14" x14ac:dyDescent="0.2">
      <c r="B45" s="16"/>
      <c r="C45" s="32" t="s">
        <v>19</v>
      </c>
      <c r="D45" s="40">
        <v>0</v>
      </c>
      <c r="E45" s="39">
        <v>0</v>
      </c>
      <c r="F45" s="39">
        <v>0</v>
      </c>
    </row>
    <row r="46" spans="2:14" x14ac:dyDescent="0.2">
      <c r="B46" s="16"/>
      <c r="C46" s="32" t="s">
        <v>20</v>
      </c>
      <c r="D46" s="40">
        <v>0</v>
      </c>
      <c r="E46" s="39">
        <v>0</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14 SEER/11.7 EER/8.2 HSPF</v>
      </c>
      <c r="E51" s="690"/>
      <c r="F51" s="693" t="str">
        <f>INDEX(Tbl_EquipmentDefinitions[Natural Gas Code Efficiency],MATCH($E$13,Tbl_EquipmentDefinitions[Equipment ID],0))</f>
        <v>-</v>
      </c>
      <c r="G51" s="690"/>
      <c r="H51" s="693" t="str">
        <f>INDEX(Tbl_EquipmentDefinitions[Propane Code Efficiency],MATCH($E$13,Tbl_EquipmentDefinitions[Equipment ID],0))</f>
        <v>-</v>
      </c>
      <c r="I51" s="690"/>
      <c r="J51" s="693" t="str">
        <f>INDEX(Tbl_EquipmentDefinitions[Oil Code Efficiency],MATCH($E$13,Tbl_EquipmentDefinitions[Equipment ID],0))</f>
        <v>-</v>
      </c>
      <c r="K51" s="690"/>
    </row>
    <row r="52" spans="2:14" ht="12.75" x14ac:dyDescent="0.2">
      <c r="B52" s="16"/>
      <c r="C52" s="30" t="s">
        <v>153</v>
      </c>
      <c r="D52" s="689" t="str">
        <f>INDEX(Tbl_EquipmentDefinitions[Electricity Low Measure Efficiency],MATCH($E$13,Tbl_EquipmentDefinitions[Equipment ID],0))</f>
        <v>16 SEER/8.5 HSPF</v>
      </c>
      <c r="E52" s="690"/>
      <c r="F52" s="689" t="str">
        <f>INDEX(Tbl_EquipmentDefinitions[Natural Gas Low Measure Efficiency],MATCH($E$13,Tbl_EquipmentDefinitions[Equipment ID],0))</f>
        <v>-</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18 SEER/9.6 HSPF</v>
      </c>
      <c r="E53" s="690"/>
      <c r="F53" s="689" t="str">
        <f>INDEX(Tbl_EquipmentDefinitions[Natural Gas High Measure Efficiency],MATCH($E$13,Tbl_EquipmentDefinitions[Equipment ID],0))</f>
        <v>-</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79" t="s">
        <v>131</v>
      </c>
      <c r="D58" s="691" t="s">
        <v>132</v>
      </c>
      <c r="E58" s="692"/>
      <c r="F58" s="692"/>
      <c r="G58" s="692"/>
    </row>
    <row r="59" spans="2:14" x14ac:dyDescent="0.2">
      <c r="B59" s="16"/>
      <c r="C59" s="32" t="s">
        <v>207</v>
      </c>
      <c r="D59" s="696" t="s">
        <v>206</v>
      </c>
      <c r="E59" s="697"/>
      <c r="F59" s="697"/>
      <c r="G59" s="697"/>
    </row>
    <row r="60" spans="2:14" x14ac:dyDescent="0.2">
      <c r="B60" s="16"/>
      <c r="C60" s="32" t="s">
        <v>174</v>
      </c>
      <c r="D60" s="698" t="s">
        <v>206</v>
      </c>
      <c r="E60" s="699"/>
      <c r="F60" s="699"/>
      <c r="G60" s="699"/>
    </row>
    <row r="61" spans="2:14" x14ac:dyDescent="0.2">
      <c r="B61" s="16"/>
      <c r="C61" s="32" t="s">
        <v>309</v>
      </c>
      <c r="D61" s="698" t="s">
        <v>282</v>
      </c>
      <c r="E61" s="699"/>
      <c r="F61" s="699"/>
      <c r="G61" s="699"/>
    </row>
    <row r="62" spans="2:14" x14ac:dyDescent="0.2">
      <c r="B62" s="16"/>
    </row>
    <row r="64" spans="2:14" ht="13.5" thickBot="1" x14ac:dyDescent="0.25">
      <c r="B64" s="9" t="s">
        <v>129</v>
      </c>
      <c r="C64" s="9"/>
      <c r="D64" s="9"/>
      <c r="E64" s="9"/>
      <c r="F64" s="9"/>
      <c r="G64" s="9"/>
      <c r="H64" s="9"/>
      <c r="I64" s="9"/>
      <c r="J64" s="9"/>
      <c r="K64" s="9"/>
      <c r="L64" s="9"/>
      <c r="M64" s="9"/>
      <c r="N64" s="9"/>
    </row>
    <row r="65" spans="2:6" x14ac:dyDescent="0.2">
      <c r="B65" s="15"/>
    </row>
    <row r="66" spans="2:6" ht="12.75" x14ac:dyDescent="0.2">
      <c r="B66" s="16"/>
      <c r="C66" s="30" t="s">
        <v>155</v>
      </c>
      <c r="D66" s="88">
        <f>$D$18</f>
        <v>68.400000000000006</v>
      </c>
      <c r="E66" s="6" t="s">
        <v>156</v>
      </c>
    </row>
    <row r="67" spans="2:6" x14ac:dyDescent="0.2">
      <c r="B67" s="16"/>
    </row>
    <row r="68" spans="2:6" ht="12.75" x14ac:dyDescent="0.2">
      <c r="B68" s="16"/>
      <c r="C68" s="30" t="s">
        <v>159</v>
      </c>
      <c r="D68" s="44">
        <v>8.1999999999999993</v>
      </c>
      <c r="E68" s="6" t="s">
        <v>182</v>
      </c>
      <c r="F68" s="45" t="s">
        <v>301</v>
      </c>
    </row>
    <row r="69" spans="2:6" ht="12.75" x14ac:dyDescent="0.2">
      <c r="B69" s="16"/>
      <c r="C69" s="36" t="s">
        <v>180</v>
      </c>
      <c r="D69" s="44">
        <v>8.5</v>
      </c>
      <c r="E69" s="6" t="s">
        <v>182</v>
      </c>
      <c r="F69" s="8"/>
    </row>
    <row r="70" spans="2:6" ht="12.75" x14ac:dyDescent="0.2">
      <c r="B70" s="16"/>
      <c r="C70" s="36" t="s">
        <v>181</v>
      </c>
      <c r="D70" s="44">
        <v>9.6</v>
      </c>
      <c r="E70" s="6" t="s">
        <v>182</v>
      </c>
      <c r="F70" s="8"/>
    </row>
    <row r="71" spans="2:6" x14ac:dyDescent="0.2">
      <c r="B71" s="16"/>
    </row>
    <row r="72" spans="2:6" x14ac:dyDescent="0.2">
      <c r="B72" s="16"/>
      <c r="C72" s="5" t="s">
        <v>250</v>
      </c>
      <c r="D72" s="5"/>
    </row>
    <row r="73" spans="2:6" ht="12.75" x14ac:dyDescent="0.2">
      <c r="B73" s="16"/>
      <c r="C73" s="53" t="s">
        <v>526</v>
      </c>
      <c r="D73" s="407">
        <f>374.55/1043</f>
        <v>0.35910834132310643</v>
      </c>
      <c r="E73" s="188" t="s">
        <v>176</v>
      </c>
      <c r="F73" s="45" t="s">
        <v>951</v>
      </c>
    </row>
    <row r="74" spans="2:6" ht="12.75" x14ac:dyDescent="0.2">
      <c r="B74" s="16"/>
      <c r="C74" s="36" t="s">
        <v>528</v>
      </c>
      <c r="D74" s="189">
        <v>0.25</v>
      </c>
      <c r="E74" s="45" t="s">
        <v>961</v>
      </c>
    </row>
    <row r="75" spans="2:6" x14ac:dyDescent="0.2">
      <c r="B75" s="16"/>
    </row>
    <row r="76" spans="2:6" ht="12.75" x14ac:dyDescent="0.2">
      <c r="B76" s="16"/>
      <c r="C76" s="36" t="s">
        <v>292</v>
      </c>
      <c r="D76" s="41">
        <f>($D$66/HPFUELCALC_REF_HEATINGLOAD)/($D68/HPFUELCALC_REF_CHP_HSPF)*HPONLYCALC_CHP_HPCONSUMPTION
+($D$66/HPFUELCALC_REF_HEATINGLOAD)*HPONLYCALC_CHP_CHPRESISTANCECONSUMPTION</f>
        <v>8897.9450670110964</v>
      </c>
      <c r="E76" s="6" t="s">
        <v>170</v>
      </c>
    </row>
    <row r="77" spans="2:6" ht="12.75" x14ac:dyDescent="0.2">
      <c r="B77" s="16"/>
      <c r="C77" s="36" t="s">
        <v>293</v>
      </c>
      <c r="D77" s="41">
        <f>($D$66/HPFUELCALC_REF_HEATINGLOAD)/($D69/HPFUELCALC_REF_CHP_HSPF)*HPONLYCALC_CHP_HPCONSUMPTION
+($D$66/HPFUELCALC_REF_HEATINGLOAD)*HPONLYCALC_CHP_CHPRESISTANCECONSUMPTION</f>
        <v>8608.8256733545259</v>
      </c>
      <c r="E77" s="6" t="s">
        <v>170</v>
      </c>
    </row>
    <row r="78" spans="2:6" ht="12.75" x14ac:dyDescent="0.2">
      <c r="B78" s="16"/>
      <c r="C78" s="36" t="s">
        <v>294</v>
      </c>
      <c r="D78" s="41">
        <f>($D$66/HPFUELCALC_REF_HEATINGLOAD)/($D70/HPFUELCALC_REF_CHP_HSPF)*HPONLYCALC_CHP_HPCONSUMPTION
+($D$66/HPFUELCALC_REF_HEATINGLOAD)*HPONLYCALC_CHP_CHPRESISTANCECONSUMPTION</f>
        <v>7703.3197946106839</v>
      </c>
      <c r="E78" s="6" t="s">
        <v>170</v>
      </c>
    </row>
    <row r="79" spans="2:6" x14ac:dyDescent="0.2">
      <c r="B79" s="16"/>
    </row>
    <row r="80" spans="2:6" ht="12.75" x14ac:dyDescent="0.2">
      <c r="B80" s="16"/>
      <c r="C80" s="30" t="s">
        <v>167</v>
      </c>
      <c r="D80" s="87">
        <f>$D$19</f>
        <v>13.072800000000001</v>
      </c>
      <c r="E80" s="6" t="s">
        <v>156</v>
      </c>
    </row>
    <row r="81" spans="2:6" x14ac:dyDescent="0.2">
      <c r="B81" s="16"/>
    </row>
    <row r="82" spans="2:6" ht="12.75" x14ac:dyDescent="0.2">
      <c r="B82" s="16"/>
      <c r="C82" s="36" t="s">
        <v>168</v>
      </c>
      <c r="D82" s="44">
        <v>14</v>
      </c>
      <c r="E82" s="6" t="s">
        <v>169</v>
      </c>
      <c r="F82" s="45" t="s">
        <v>302</v>
      </c>
    </row>
    <row r="83" spans="2:6" ht="12.75" x14ac:dyDescent="0.2">
      <c r="B83" s="16"/>
      <c r="C83" s="36" t="s">
        <v>201</v>
      </c>
      <c r="D83" s="44">
        <v>16</v>
      </c>
      <c r="E83" s="6" t="s">
        <v>169</v>
      </c>
    </row>
    <row r="84" spans="2:6" ht="12.75" x14ac:dyDescent="0.2">
      <c r="B84" s="16"/>
      <c r="C84" s="36" t="s">
        <v>202</v>
      </c>
      <c r="D84" s="44">
        <v>18</v>
      </c>
      <c r="E84" s="6" t="s">
        <v>169</v>
      </c>
    </row>
    <row r="85" spans="2:6" x14ac:dyDescent="0.2">
      <c r="B85" s="16"/>
    </row>
    <row r="86" spans="2:6" ht="12.75" x14ac:dyDescent="0.2">
      <c r="B86" s="16"/>
      <c r="C86" s="36" t="s">
        <v>295</v>
      </c>
      <c r="D86" s="41">
        <f>1000*$D$80/D82</f>
        <v>933.7714285714286</v>
      </c>
      <c r="E86" s="6" t="s">
        <v>170</v>
      </c>
      <c r="F86" s="45" t="s">
        <v>306</v>
      </c>
    </row>
    <row r="87" spans="2:6" ht="12.75" x14ac:dyDescent="0.2">
      <c r="B87" s="16"/>
      <c r="C87" s="36" t="s">
        <v>296</v>
      </c>
      <c r="D87" s="41">
        <f>1000*$D$80/D83</f>
        <v>817.05000000000007</v>
      </c>
      <c r="E87" s="6" t="s">
        <v>170</v>
      </c>
    </row>
    <row r="88" spans="2:6" ht="12.75" x14ac:dyDescent="0.2">
      <c r="B88" s="16"/>
      <c r="C88" s="36" t="s">
        <v>297</v>
      </c>
      <c r="D88" s="41">
        <f>1000*$D$80/D84</f>
        <v>726.26666666666677</v>
      </c>
      <c r="E88" s="6" t="s">
        <v>170</v>
      </c>
    </row>
    <row r="89" spans="2:6" x14ac:dyDescent="0.2">
      <c r="B89" s="16"/>
    </row>
    <row r="90" spans="2:6" ht="12.75" x14ac:dyDescent="0.2">
      <c r="B90" s="16"/>
      <c r="C90" s="36" t="s">
        <v>298</v>
      </c>
      <c r="D90" s="41">
        <f>D76+D86</f>
        <v>9831.7164955825247</v>
      </c>
      <c r="E90" s="6" t="s">
        <v>170</v>
      </c>
      <c r="F90" s="45" t="s">
        <v>307</v>
      </c>
    </row>
    <row r="91" spans="2:6" ht="12.75" x14ac:dyDescent="0.2">
      <c r="B91" s="16"/>
      <c r="C91" s="36" t="s">
        <v>299</v>
      </c>
      <c r="D91" s="41">
        <f>D77+D87</f>
        <v>9425.8756733545251</v>
      </c>
      <c r="E91" s="6" t="s">
        <v>170</v>
      </c>
    </row>
    <row r="92" spans="2:6" ht="12.75" x14ac:dyDescent="0.2">
      <c r="B92" s="16"/>
      <c r="C92" s="36" t="s">
        <v>300</v>
      </c>
      <c r="D92" s="41">
        <f>D78+D88</f>
        <v>8429.5864612773512</v>
      </c>
      <c r="E92" s="6" t="s">
        <v>170</v>
      </c>
    </row>
    <row r="93" spans="2:6" x14ac:dyDescent="0.2">
      <c r="B93" s="16"/>
    </row>
    <row r="94" spans="2:6" ht="12.75" x14ac:dyDescent="0.2">
      <c r="B94" s="16"/>
      <c r="C94" s="30" t="s">
        <v>163</v>
      </c>
      <c r="D94" s="42">
        <f>D90*PRICE_PER_KWH_2018_ELECTRICITY</f>
        <v>1944.7135228262234</v>
      </c>
      <c r="E94" s="6" t="s">
        <v>164</v>
      </c>
      <c r="F94" s="45" t="s">
        <v>308</v>
      </c>
    </row>
    <row r="95" spans="2:6" ht="12.75" x14ac:dyDescent="0.2">
      <c r="B95" s="16"/>
      <c r="C95" s="36" t="s">
        <v>203</v>
      </c>
      <c r="D95" s="42">
        <f>D91*PRICE_PER_KWH_2018_ELECTRICITY</f>
        <v>1864.4382081895251</v>
      </c>
      <c r="E95" s="6" t="s">
        <v>164</v>
      </c>
    </row>
    <row r="96" spans="2:6" ht="12.75" x14ac:dyDescent="0.2">
      <c r="B96" s="16"/>
      <c r="C96" s="36" t="s">
        <v>204</v>
      </c>
      <c r="D96" s="42">
        <f>D92*PRICE_PER_KWH_2018_ELECTRICITY</f>
        <v>1667.3722020406601</v>
      </c>
      <c r="E96" s="6" t="s">
        <v>164</v>
      </c>
    </row>
    <row r="97" spans="2:6" x14ac:dyDescent="0.2">
      <c r="B97" s="16"/>
    </row>
    <row r="98" spans="2:6" ht="12.75" x14ac:dyDescent="0.2">
      <c r="B98" s="16"/>
      <c r="C98" s="36" t="s">
        <v>1595</v>
      </c>
      <c r="D98" s="694" t="str">
        <f>INPUT_CHP_COOLCAP_NOOTHERHEAT</f>
        <v>4.0 ton (default HP full replacement)</v>
      </c>
      <c r="E98" s="695"/>
    </row>
    <row r="99" spans="2:6" ht="12.75" x14ac:dyDescent="0.2">
      <c r="B99" s="16"/>
      <c r="C99" s="423" t="s">
        <v>1594</v>
      </c>
      <c r="D99" s="694" t="str">
        <f>INPUT_CHP_HEATCAP_NOOTHERHEAT</f>
        <v>4.0 ton (default HP full replacement)</v>
      </c>
      <c r="E99" s="695"/>
    </row>
    <row r="100" spans="2:6" ht="12.75" x14ac:dyDescent="0.2">
      <c r="B100" s="16"/>
      <c r="C100" s="30" t="s">
        <v>1612</v>
      </c>
      <c r="D100" s="41" t="str">
        <f>LEFT(D98,SEARCH("ton",D98,1)-2)</f>
        <v>4.0</v>
      </c>
      <c r="E100" s="6" t="s">
        <v>173</v>
      </c>
    </row>
    <row r="101" spans="2:6" ht="12.75" x14ac:dyDescent="0.2">
      <c r="B101" s="16"/>
      <c r="C101" s="30" t="s">
        <v>1614</v>
      </c>
      <c r="D101" s="41" t="str">
        <f>LEFT(D99,SEARCH("ton",D99,1)-2)</f>
        <v>4.0</v>
      </c>
      <c r="E101" s="6" t="s">
        <v>173</v>
      </c>
    </row>
    <row r="102" spans="2:6" ht="12.75" x14ac:dyDescent="0.2">
      <c r="B102" s="16"/>
      <c r="C102" s="30" t="s">
        <v>1615</v>
      </c>
      <c r="D102" s="190">
        <f>MAX(VALUE(D100),VALUE(D101))</f>
        <v>4</v>
      </c>
      <c r="E102" s="6" t="s">
        <v>173</v>
      </c>
    </row>
    <row r="103" spans="2:6" x14ac:dyDescent="0.2">
      <c r="B103" s="16"/>
    </row>
    <row r="104" spans="2:6" ht="12.75" x14ac:dyDescent="0.2">
      <c r="B104" s="16"/>
      <c r="C104" s="36" t="s">
        <v>217</v>
      </c>
      <c r="D104" s="44">
        <v>8.1999999999999993</v>
      </c>
      <c r="E104" s="6" t="s">
        <v>182</v>
      </c>
      <c r="F104" s="45" t="s">
        <v>303</v>
      </c>
    </row>
    <row r="105" spans="2:6" ht="12.75" x14ac:dyDescent="0.2">
      <c r="B105" s="16"/>
      <c r="C105" s="36" t="s">
        <v>218</v>
      </c>
      <c r="D105" s="44">
        <v>8.5</v>
      </c>
      <c r="E105" s="6" t="s">
        <v>182</v>
      </c>
      <c r="F105" s="45"/>
    </row>
    <row r="106" spans="2:6" ht="12.75" x14ac:dyDescent="0.2">
      <c r="B106" s="16"/>
      <c r="C106" s="36" t="s">
        <v>219</v>
      </c>
      <c r="D106" s="44">
        <v>9.6</v>
      </c>
      <c r="E106" s="6" t="s">
        <v>182</v>
      </c>
      <c r="F106" s="45"/>
    </row>
    <row r="107" spans="2:6" x14ac:dyDescent="0.2">
      <c r="B107" s="16"/>
    </row>
    <row r="108" spans="2:6" ht="12.75" x14ac:dyDescent="0.2">
      <c r="B108" s="16"/>
      <c r="C108" s="36" t="s">
        <v>209</v>
      </c>
      <c r="D108" s="44">
        <v>0.31</v>
      </c>
      <c r="E108" s="45" t="s">
        <v>206</v>
      </c>
    </row>
    <row r="109" spans="2:6" ht="12.75" x14ac:dyDescent="0.2">
      <c r="B109" s="16"/>
      <c r="C109" s="36" t="s">
        <v>210</v>
      </c>
      <c r="D109" s="44">
        <v>0.54</v>
      </c>
      <c r="E109" s="45" t="s">
        <v>206</v>
      </c>
    </row>
    <row r="110" spans="2:6" x14ac:dyDescent="0.2">
      <c r="B110" s="16"/>
    </row>
    <row r="111" spans="2:6" ht="12.75" x14ac:dyDescent="0.2">
      <c r="B111" s="16"/>
      <c r="C111" s="36" t="s">
        <v>220</v>
      </c>
      <c r="D111" s="37">
        <f>$D$108*$D$101*12/D104</f>
        <v>1.8146341463414635</v>
      </c>
      <c r="E111" s="6" t="s">
        <v>176</v>
      </c>
      <c r="F111" s="45" t="s">
        <v>216</v>
      </c>
    </row>
    <row r="112" spans="2:6" ht="12.75" x14ac:dyDescent="0.2">
      <c r="B112" s="16"/>
      <c r="C112" s="36" t="s">
        <v>221</v>
      </c>
      <c r="D112" s="37">
        <f>$D$108*$D$101*12/D105</f>
        <v>1.7505882352941176</v>
      </c>
      <c r="E112" s="6" t="s">
        <v>176</v>
      </c>
    </row>
    <row r="113" spans="2:6" ht="12.75" x14ac:dyDescent="0.2">
      <c r="B113" s="16"/>
      <c r="C113" s="36" t="s">
        <v>222</v>
      </c>
      <c r="D113" s="46">
        <f>$D$109*$D$101*12/D106</f>
        <v>2.7</v>
      </c>
      <c r="E113" s="6" t="s">
        <v>176</v>
      </c>
    </row>
    <row r="114" spans="2:6" x14ac:dyDescent="0.2">
      <c r="B114" s="16"/>
    </row>
    <row r="115" spans="2:6" x14ac:dyDescent="0.2">
      <c r="B115" s="16"/>
    </row>
    <row r="116" spans="2:6" ht="12.75" x14ac:dyDescent="0.2">
      <c r="B116" s="16"/>
      <c r="C116" s="36" t="s">
        <v>208</v>
      </c>
      <c r="D116" s="44">
        <v>11.7</v>
      </c>
      <c r="E116" s="6" t="s">
        <v>175</v>
      </c>
      <c r="F116" s="45" t="s">
        <v>304</v>
      </c>
    </row>
    <row r="117" spans="2:6" ht="12.75" x14ac:dyDescent="0.2">
      <c r="B117" s="16"/>
      <c r="C117" s="36" t="s">
        <v>213</v>
      </c>
      <c r="D117" s="31">
        <f>$D$116</f>
        <v>11.7</v>
      </c>
      <c r="E117" s="6" t="s">
        <v>175</v>
      </c>
      <c r="F117" s="45" t="s">
        <v>223</v>
      </c>
    </row>
    <row r="118" spans="2:6" ht="12.75" x14ac:dyDescent="0.2">
      <c r="B118" s="16"/>
      <c r="C118" s="36" t="s">
        <v>214</v>
      </c>
      <c r="D118" s="31">
        <f>$D$116</f>
        <v>11.7</v>
      </c>
      <c r="E118" s="6" t="s">
        <v>175</v>
      </c>
      <c r="F118" s="45" t="s">
        <v>223</v>
      </c>
    </row>
    <row r="119" spans="2:6" x14ac:dyDescent="0.2">
      <c r="B119" s="16"/>
    </row>
    <row r="120" spans="2:6" ht="12.75" x14ac:dyDescent="0.2">
      <c r="B120" s="16"/>
      <c r="C120" s="36" t="s">
        <v>174</v>
      </c>
      <c r="D120" s="44">
        <v>0.5</v>
      </c>
      <c r="E120" s="45" t="s">
        <v>953</v>
      </c>
    </row>
    <row r="121" spans="2:6" x14ac:dyDescent="0.2">
      <c r="B121" s="16"/>
    </row>
    <row r="122" spans="2:6" ht="12.75" x14ac:dyDescent="0.2">
      <c r="B122" s="16"/>
      <c r="C122" s="36" t="s">
        <v>211</v>
      </c>
      <c r="D122" s="37">
        <f>$D$120*$D$100*12/D116</f>
        <v>2.0512820512820515</v>
      </c>
      <c r="E122" s="6" t="s">
        <v>176</v>
      </c>
      <c r="F122" s="45"/>
    </row>
    <row r="123" spans="2:6" ht="12.75" x14ac:dyDescent="0.2">
      <c r="B123" s="16"/>
      <c r="C123" s="36" t="s">
        <v>212</v>
      </c>
      <c r="D123" s="37">
        <f>$D$120*$D$100*12/D117</f>
        <v>2.0512820512820515</v>
      </c>
      <c r="E123" s="6" t="s">
        <v>176</v>
      </c>
    </row>
    <row r="124" spans="2:6" ht="12.75" x14ac:dyDescent="0.2">
      <c r="B124" s="16"/>
      <c r="C124" s="36" t="s">
        <v>215</v>
      </c>
      <c r="D124" s="37">
        <f>$D$120*$D$100*12/D118</f>
        <v>2.0512820512820515</v>
      </c>
      <c r="E124" s="6" t="s">
        <v>176</v>
      </c>
    </row>
    <row r="125" spans="2:6" x14ac:dyDescent="0.2">
      <c r="B125" s="16"/>
    </row>
    <row r="126" spans="2:6" ht="12.75" x14ac:dyDescent="0.2">
      <c r="B126" s="16"/>
      <c r="C126" s="10" t="s">
        <v>1143</v>
      </c>
      <c r="D126" s="10"/>
    </row>
    <row r="127" spans="2:6" x14ac:dyDescent="0.2">
      <c r="B127" s="16"/>
      <c r="C127" s="6" t="s">
        <v>1144</v>
      </c>
    </row>
    <row r="128" spans="2:6" x14ac:dyDescent="0.2">
      <c r="B128" s="16"/>
      <c r="C128" s="6" t="s">
        <v>1150</v>
      </c>
    </row>
    <row r="129" spans="2:5" x14ac:dyDescent="0.2">
      <c r="B129" s="16"/>
      <c r="C129" s="6" t="s">
        <v>1152</v>
      </c>
    </row>
    <row r="130" spans="2:5" x14ac:dyDescent="0.2">
      <c r="B130" s="16"/>
      <c r="C130" s="6" t="s">
        <v>1146</v>
      </c>
      <c r="D130" s="42">
        <f>D131-(D132-D131)</f>
        <v>4337</v>
      </c>
      <c r="E130" s="6" t="s">
        <v>1145</v>
      </c>
    </row>
    <row r="131" spans="2:5" x14ac:dyDescent="0.2">
      <c r="B131" s="16"/>
      <c r="C131" s="6" t="s">
        <v>1147</v>
      </c>
      <c r="D131" s="42">
        <f>COST_HP_16SEER_REPLACE</f>
        <v>4685</v>
      </c>
      <c r="E131" s="6" t="s">
        <v>1145</v>
      </c>
    </row>
    <row r="132" spans="2:5" x14ac:dyDescent="0.2">
      <c r="B132" s="16"/>
      <c r="C132" s="6" t="s">
        <v>1148</v>
      </c>
      <c r="D132" s="42">
        <f>COST_HP_18SEER_REPLACE</f>
        <v>5033</v>
      </c>
      <c r="E132" s="6" t="s">
        <v>1145</v>
      </c>
    </row>
    <row r="133" spans="2:5" x14ac:dyDescent="0.2">
      <c r="B133" s="16"/>
      <c r="D133" s="226"/>
    </row>
    <row r="134" spans="2:5" x14ac:dyDescent="0.2">
      <c r="B134" s="16"/>
      <c r="C134" s="6" t="s">
        <v>1151</v>
      </c>
      <c r="D134" s="226"/>
    </row>
    <row r="135" spans="2:5" x14ac:dyDescent="0.2">
      <c r="B135" s="16"/>
      <c r="C135" s="6" t="s">
        <v>1146</v>
      </c>
      <c r="D135" s="42">
        <f>D130*$D$102</f>
        <v>17348</v>
      </c>
      <c r="E135" s="6" t="s">
        <v>1149</v>
      </c>
    </row>
    <row r="136" spans="2:5" x14ac:dyDescent="0.2">
      <c r="B136" s="16"/>
      <c r="C136" s="6" t="s">
        <v>1147</v>
      </c>
      <c r="D136" s="42">
        <f>D131*$D$102</f>
        <v>18740</v>
      </c>
      <c r="E136" s="6" t="s">
        <v>1149</v>
      </c>
    </row>
    <row r="137" spans="2:5" x14ac:dyDescent="0.2">
      <c r="B137" s="16"/>
      <c r="C137" s="6" t="s">
        <v>1148</v>
      </c>
      <c r="D137" s="42">
        <f>D132*$D$102</f>
        <v>20132</v>
      </c>
      <c r="E137" s="6" t="s">
        <v>1149</v>
      </c>
    </row>
    <row r="138" spans="2:5" x14ac:dyDescent="0.2">
      <c r="B138" s="16"/>
    </row>
    <row r="139" spans="2:5" x14ac:dyDescent="0.2">
      <c r="B139" s="16"/>
    </row>
    <row r="140" spans="2:5" x14ac:dyDescent="0.2">
      <c r="B140" s="16"/>
    </row>
    <row r="141" spans="2:5" x14ac:dyDescent="0.2">
      <c r="B141" s="16"/>
    </row>
    <row r="142" spans="2:5" x14ac:dyDescent="0.2">
      <c r="B142" s="16"/>
    </row>
    <row r="143" spans="2:5" x14ac:dyDescent="0.2">
      <c r="B143" s="16"/>
    </row>
    <row r="144" spans="2:5" x14ac:dyDescent="0.2">
      <c r="B144" s="16"/>
    </row>
    <row r="145" spans="2:2" x14ac:dyDescent="0.2">
      <c r="B145" s="16"/>
    </row>
    <row r="146" spans="2:2" x14ac:dyDescent="0.2">
      <c r="B146" s="16"/>
    </row>
    <row r="147" spans="2:2" x14ac:dyDescent="0.2">
      <c r="B147" s="16"/>
    </row>
    <row r="148" spans="2:2" x14ac:dyDescent="0.2">
      <c r="B148" s="16"/>
    </row>
  </sheetData>
  <mergeCells count="22">
    <mergeCell ref="J50:K50"/>
    <mergeCell ref="H53:I53"/>
    <mergeCell ref="J53:K53"/>
    <mergeCell ref="D51:E51"/>
    <mergeCell ref="F51:G51"/>
    <mergeCell ref="H51:I51"/>
    <mergeCell ref="J51:K51"/>
    <mergeCell ref="H52:I52"/>
    <mergeCell ref="J52:K52"/>
    <mergeCell ref="D52:E52"/>
    <mergeCell ref="F52:G52"/>
    <mergeCell ref="D53:E53"/>
    <mergeCell ref="F53:G53"/>
    <mergeCell ref="D98:E98"/>
    <mergeCell ref="D99:E99"/>
    <mergeCell ref="D50:E50"/>
    <mergeCell ref="F50:G50"/>
    <mergeCell ref="H50:I50"/>
    <mergeCell ref="D59:G59"/>
    <mergeCell ref="D60:G60"/>
    <mergeCell ref="D61:G61"/>
    <mergeCell ref="D58:G58"/>
  </mergeCells>
  <dataValidations disablePrompts="1" count="2">
    <dataValidation type="list" allowBlank="1" showInputMessage="1" showErrorMessage="1" sqref="D9">
      <formula1>DEFINED_MEASURES</formula1>
    </dataValidation>
    <dataValidation type="list" allowBlank="1" showInputMessage="1" showErrorMessage="1" sqref="D5">
      <formula1>"1. Not Started,2. Analyzing,3. Ready"</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3"/>
  </sheetPr>
  <dimension ref="A1:AD138"/>
  <sheetViews>
    <sheetView workbookViewId="0"/>
  </sheetViews>
  <sheetFormatPr defaultColWidth="9.33203125" defaultRowHeight="11.25" x14ac:dyDescent="0.2"/>
  <cols>
    <col min="1" max="2" width="3.33203125" style="6" customWidth="1"/>
    <col min="3" max="3" width="22.6640625" style="6" bestFit="1" customWidth="1"/>
    <col min="4" max="4" width="20" style="6" customWidth="1"/>
    <col min="5" max="5" width="16.83203125" style="6" customWidth="1"/>
    <col min="6" max="6" width="15" style="6" customWidth="1"/>
    <col min="7" max="7" width="13.5" style="6" customWidth="1"/>
    <col min="8" max="8" width="15.6640625" style="6" customWidth="1"/>
    <col min="9" max="9" width="22.33203125" style="6" bestFit="1" customWidth="1"/>
    <col min="10" max="10" width="20.5" style="6" bestFit="1" customWidth="1"/>
    <col min="11"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29" t="s">
        <v>87</v>
      </c>
      <c r="E9" s="7" t="s">
        <v>290</v>
      </c>
    </row>
    <row r="10" spans="1:30" ht="12.75" x14ac:dyDescent="0.2">
      <c r="B10" s="16"/>
      <c r="C10" s="30" t="s">
        <v>289</v>
      </c>
      <c r="D10" s="83" t="str">
        <f>INDEX(Tbl_MeasureList[Baseline ID],MATCH($D$9,Tbl_MeasureList[Measure ID],0))</f>
        <v>BASE02</v>
      </c>
      <c r="E10" s="7"/>
    </row>
    <row r="11" spans="1:30" x14ac:dyDescent="0.2">
      <c r="B11" s="16"/>
      <c r="C11" s="7"/>
      <c r="D11" s="7"/>
      <c r="E11" s="7"/>
    </row>
    <row r="12" spans="1:30" ht="12" thickBot="1" x14ac:dyDescent="0.25">
      <c r="B12" s="16"/>
      <c r="C12" s="7"/>
      <c r="D12" s="82" t="s">
        <v>5</v>
      </c>
      <c r="E12" s="82" t="s">
        <v>284</v>
      </c>
    </row>
    <row r="13" spans="1:30" x14ac:dyDescent="0.2">
      <c r="B13" s="16"/>
      <c r="C13" s="32" t="s">
        <v>2</v>
      </c>
      <c r="D13" s="84" t="str">
        <f>INDEX(Tbl_MeasureList[Baseline Equipment ID],MATCH($D$9,Tbl_MeasureList[Measure ID],0))</f>
        <v>EQUI002</v>
      </c>
      <c r="E13" s="84" t="str">
        <f>INDEX(Tbl_MeasureList[Replacement ID],MATCH($D$9,Tbl_MeasureList[Measure ID],0))</f>
        <v>EQUI007</v>
      </c>
      <c r="F13" s="7"/>
    </row>
    <row r="14" spans="1:30" x14ac:dyDescent="0.2">
      <c r="B14" s="16"/>
      <c r="C14" s="32" t="s">
        <v>4</v>
      </c>
      <c r="D14" s="85" t="str">
        <f>INDEX(Tbl_EquipmentDefinitions[[Equipment Name]:[Equipment Name]],MATCH(D$13,Tbl_EquipmentDefinitions[[Equipment ID]:[Equipment ID]],0))</f>
        <v>Baseline A/C Blend+Propane Furnace</v>
      </c>
      <c r="E14" s="85" t="str">
        <f>INDEX(Tbl_EquipmentDefinitions[[Equipment Name]:[Equipment Name]],MATCH(E$13,Tbl_EquipmentDefinitions[[Equipment ID]:[Equipment ID]],0))</f>
        <v>Central HP</v>
      </c>
      <c r="F14" s="7"/>
    </row>
    <row r="15" spans="1:30" x14ac:dyDescent="0.2">
      <c r="B15" s="16"/>
      <c r="C15" s="32" t="s">
        <v>24</v>
      </c>
      <c r="D15" s="84" t="str">
        <f>INDEX(Tbl_EquipmentDefinitions[[Function]:[Function]],MATCH(D$13,Tbl_EquipmentDefinitions[[Equipment ID]:[Equipment ID]],0))</f>
        <v>Cool+Heat</v>
      </c>
      <c r="E15" s="84" t="str">
        <f>INDEX(Tbl_EquipmentDefinitions[[Function]:[Function]],MATCH(E$13,Tbl_EquipmentDefinitions[[Equipment ID]:[Equipment ID]],0))</f>
        <v>Cool+Heat</v>
      </c>
      <c r="F15" s="7"/>
    </row>
    <row r="16" spans="1:30" x14ac:dyDescent="0.2">
      <c r="B16" s="16"/>
      <c r="C16" s="32" t="s">
        <v>7</v>
      </c>
      <c r="D16" s="85" t="str">
        <f>INDEX(Tbl_EquipmentDefinitions[[Fuel Type]:[Fuel Type]],MATCH(D$13,Tbl_EquipmentDefinitions[[Equipment ID]:[Equipment ID]],0))</f>
        <v>Electric+Propane</v>
      </c>
      <c r="E16" s="85" t="str">
        <f>INDEX(Tbl_EquipmentDefinitions[[Fuel Type]:[Fuel Type]],MATCH(E$13,Tbl_EquipmentDefinitions[[Equipment ID]:[Equipment ID]],0))</f>
        <v>Electric</v>
      </c>
      <c r="F16" s="7"/>
    </row>
    <row r="17" spans="2:14" x14ac:dyDescent="0.2">
      <c r="B17" s="16"/>
      <c r="C17" s="32" t="s">
        <v>126</v>
      </c>
      <c r="D17" s="84">
        <f>IF(ISERR(SEARCH("+",D16,1)),1,2)</f>
        <v>2</v>
      </c>
      <c r="E17" s="84">
        <f>IF(ISERR(SEARCH("+",E16,1)),1,2)</f>
        <v>1</v>
      </c>
      <c r="F17" s="7"/>
    </row>
    <row r="18" spans="2:14" x14ac:dyDescent="0.2">
      <c r="B18" s="16"/>
      <c r="C18" s="32" t="s">
        <v>155</v>
      </c>
      <c r="D18" s="86">
        <f>INDEX(Tbl_BaselineSummary[Space Heating Load (MMBtu/yr)],MATCH($D$10,Tbl_BaselineSummary[Baseline ID],0))</f>
        <v>68.400000000000006</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11.3</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82" t="s">
        <v>127</v>
      </c>
      <c r="D25" s="281" t="s">
        <v>345</v>
      </c>
      <c r="E25" s="385" t="s">
        <v>956</v>
      </c>
      <c r="F25" s="281" t="s">
        <v>326</v>
      </c>
      <c r="G25" s="421" t="s">
        <v>1532</v>
      </c>
      <c r="H25" s="385" t="s">
        <v>958</v>
      </c>
      <c r="I25" s="569" t="s">
        <v>1447</v>
      </c>
      <c r="J25" s="569" t="s">
        <v>1448</v>
      </c>
      <c r="L25" s="82" t="s">
        <v>1533</v>
      </c>
      <c r="M25" s="421" t="s">
        <v>1531</v>
      </c>
    </row>
    <row r="26" spans="2:14" ht="11.25" customHeight="1" x14ac:dyDescent="0.2">
      <c r="B26" s="16"/>
      <c r="C26" s="32" t="s">
        <v>6</v>
      </c>
      <c r="D26" s="122">
        <f>D90</f>
        <v>9831.7164955825247</v>
      </c>
      <c r="E26" s="126">
        <f>D111</f>
        <v>1.8146341463414635</v>
      </c>
      <c r="F26" s="111">
        <f>D94</f>
        <v>1944.7135228262234</v>
      </c>
      <c r="G26" s="296">
        <f>D135</f>
        <v>17348</v>
      </c>
      <c r="H26" s="126">
        <f>D122</f>
        <v>2.0512820512820515</v>
      </c>
      <c r="I26" s="202">
        <f>D86</f>
        <v>933.7714285714286</v>
      </c>
      <c r="J26" s="202">
        <f>D76</f>
        <v>8897.9450670110964</v>
      </c>
      <c r="L26" s="84">
        <f t="shared" ref="L26:M28" si="0">F26+E32+E38+E44</f>
        <v>1944.7135228262234</v>
      </c>
      <c r="M26" s="86">
        <f t="shared" si="0"/>
        <v>17348</v>
      </c>
    </row>
    <row r="27" spans="2:14" x14ac:dyDescent="0.2">
      <c r="B27" s="16"/>
      <c r="C27" s="32" t="s">
        <v>19</v>
      </c>
      <c r="D27" s="122">
        <f>D91</f>
        <v>9425.8756733545251</v>
      </c>
      <c r="E27" s="126">
        <f>D112</f>
        <v>1.7505882352941176</v>
      </c>
      <c r="F27" s="111">
        <f>D95</f>
        <v>1864.4382081895251</v>
      </c>
      <c r="G27" s="296">
        <f>D136</f>
        <v>18740</v>
      </c>
      <c r="H27" s="126">
        <f t="shared" ref="H27:H28" si="1">D123</f>
        <v>2.0512820512820515</v>
      </c>
      <c r="I27" s="202">
        <f t="shared" ref="I27:I28" si="2">D87</f>
        <v>817.05000000000007</v>
      </c>
      <c r="J27" s="202">
        <f t="shared" ref="J27:J28" si="3">D77</f>
        <v>8608.8256733545259</v>
      </c>
      <c r="L27" s="84">
        <f t="shared" si="0"/>
        <v>1864.4382081895251</v>
      </c>
      <c r="M27" s="86">
        <f t="shared" si="0"/>
        <v>18740</v>
      </c>
    </row>
    <row r="28" spans="2:14" x14ac:dyDescent="0.2">
      <c r="B28" s="16"/>
      <c r="C28" s="32" t="s">
        <v>20</v>
      </c>
      <c r="D28" s="122">
        <f>D92</f>
        <v>8429.5864612773512</v>
      </c>
      <c r="E28" s="126">
        <f>D113</f>
        <v>2.7</v>
      </c>
      <c r="F28" s="111">
        <f>D96</f>
        <v>1667.3722020406601</v>
      </c>
      <c r="G28" s="296">
        <f>D137</f>
        <v>20132</v>
      </c>
      <c r="H28" s="126">
        <f t="shared" si="1"/>
        <v>2.0512820512820515</v>
      </c>
      <c r="I28" s="202">
        <f t="shared" si="2"/>
        <v>726.26666666666677</v>
      </c>
      <c r="J28" s="202">
        <f t="shared" si="3"/>
        <v>7703.3197946106839</v>
      </c>
      <c r="L28" s="84">
        <f t="shared" si="0"/>
        <v>1667.3722020406601</v>
      </c>
      <c r="M28" s="86">
        <f t="shared" si="0"/>
        <v>20132</v>
      </c>
    </row>
    <row r="29" spans="2:14" x14ac:dyDescent="0.2">
      <c r="B29" s="16"/>
    </row>
    <row r="30" spans="2:14" ht="12.75" thickBot="1" x14ac:dyDescent="0.25">
      <c r="B30" s="16"/>
      <c r="C30" s="34" t="s">
        <v>55</v>
      </c>
      <c r="D30" s="34"/>
      <c r="E30" s="33"/>
      <c r="F30" s="33"/>
    </row>
    <row r="31" spans="2:14" ht="34.5" thickBot="1" x14ac:dyDescent="0.25">
      <c r="B31" s="16"/>
      <c r="C31" s="82" t="s">
        <v>127</v>
      </c>
      <c r="D31" s="281" t="s">
        <v>325</v>
      </c>
      <c r="E31" s="281" t="s">
        <v>326</v>
      </c>
      <c r="F31" s="421" t="s">
        <v>1532</v>
      </c>
    </row>
    <row r="32" spans="2:14" x14ac:dyDescent="0.2">
      <c r="B32" s="16"/>
      <c r="C32" s="32" t="s">
        <v>6</v>
      </c>
      <c r="D32" s="40">
        <v>0</v>
      </c>
      <c r="E32" s="39">
        <v>0</v>
      </c>
      <c r="F32" s="39">
        <v>0</v>
      </c>
      <c r="G32" s="7" t="s">
        <v>128</v>
      </c>
    </row>
    <row r="33" spans="2:14" x14ac:dyDescent="0.2">
      <c r="B33" s="16"/>
      <c r="C33" s="32" t="s">
        <v>19</v>
      </c>
      <c r="D33" s="40">
        <v>0</v>
      </c>
      <c r="E33" s="39">
        <v>0</v>
      </c>
      <c r="F33" s="39">
        <v>0</v>
      </c>
    </row>
    <row r="34" spans="2:14" x14ac:dyDescent="0.2">
      <c r="B34" s="16"/>
      <c r="C34" s="32" t="s">
        <v>20</v>
      </c>
      <c r="D34" s="40">
        <v>0</v>
      </c>
      <c r="E34" s="39">
        <v>0</v>
      </c>
      <c r="F34" s="39">
        <v>0</v>
      </c>
    </row>
    <row r="35" spans="2:14" x14ac:dyDescent="0.2">
      <c r="B35" s="16"/>
    </row>
    <row r="36" spans="2:14" ht="12.75" thickBot="1" x14ac:dyDescent="0.25">
      <c r="B36" s="16"/>
      <c r="C36" s="34" t="s">
        <v>28</v>
      </c>
      <c r="D36" s="34"/>
      <c r="E36" s="33"/>
      <c r="F36" s="33"/>
    </row>
    <row r="37" spans="2:14" ht="34.5" thickBot="1" x14ac:dyDescent="0.25">
      <c r="B37" s="16"/>
      <c r="C37" s="82" t="s">
        <v>127</v>
      </c>
      <c r="D37" s="281" t="s">
        <v>756</v>
      </c>
      <c r="E37" s="281" t="s">
        <v>326</v>
      </c>
      <c r="F37" s="421"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34.5" thickBot="1" x14ac:dyDescent="0.25">
      <c r="B43" s="16"/>
      <c r="C43" s="82" t="s">
        <v>127</v>
      </c>
      <c r="D43" s="281" t="s">
        <v>756</v>
      </c>
      <c r="E43" s="281" t="s">
        <v>326</v>
      </c>
      <c r="F43" s="421" t="s">
        <v>1532</v>
      </c>
    </row>
    <row r="44" spans="2:14" x14ac:dyDescent="0.2">
      <c r="B44" s="16"/>
      <c r="C44" s="32" t="s">
        <v>6</v>
      </c>
      <c r="D44" s="40">
        <v>0</v>
      </c>
      <c r="E44" s="39">
        <v>0</v>
      </c>
      <c r="F44" s="39">
        <v>0</v>
      </c>
      <c r="G44" s="7" t="s">
        <v>128</v>
      </c>
    </row>
    <row r="45" spans="2:14" x14ac:dyDescent="0.2">
      <c r="B45" s="16"/>
      <c r="C45" s="32" t="s">
        <v>19</v>
      </c>
      <c r="D45" s="40">
        <v>0</v>
      </c>
      <c r="E45" s="39">
        <v>0</v>
      </c>
      <c r="F45" s="39">
        <v>0</v>
      </c>
    </row>
    <row r="46" spans="2:14" x14ac:dyDescent="0.2">
      <c r="B46" s="16"/>
      <c r="C46" s="32" t="s">
        <v>20</v>
      </c>
      <c r="D46" s="40">
        <v>0</v>
      </c>
      <c r="E46" s="39">
        <v>0</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14 SEER/11.7 EER/8.2 HSPF</v>
      </c>
      <c r="E51" s="690"/>
      <c r="F51" s="693" t="str">
        <f>INDEX(Tbl_EquipmentDefinitions[Natural Gas Code Efficiency],MATCH($E$13,Tbl_EquipmentDefinitions[Equipment ID],0))</f>
        <v>-</v>
      </c>
      <c r="G51" s="690"/>
      <c r="H51" s="693" t="str">
        <f>INDEX(Tbl_EquipmentDefinitions[Propane Code Efficiency],MATCH($E$13,Tbl_EquipmentDefinitions[Equipment ID],0))</f>
        <v>-</v>
      </c>
      <c r="I51" s="690"/>
      <c r="J51" s="693" t="str">
        <f>INDEX(Tbl_EquipmentDefinitions[Oil Code Efficiency],MATCH($E$13,Tbl_EquipmentDefinitions[Equipment ID],0))</f>
        <v>-</v>
      </c>
      <c r="K51" s="690"/>
    </row>
    <row r="52" spans="2:14" ht="12.75" x14ac:dyDescent="0.2">
      <c r="B52" s="16"/>
      <c r="C52" s="30" t="s">
        <v>153</v>
      </c>
      <c r="D52" s="689" t="str">
        <f>INDEX(Tbl_EquipmentDefinitions[Electricity Low Measure Efficiency],MATCH($E$13,Tbl_EquipmentDefinitions[Equipment ID],0))</f>
        <v>16 SEER/8.5 HSPF</v>
      </c>
      <c r="E52" s="690"/>
      <c r="F52" s="689" t="str">
        <f>INDEX(Tbl_EquipmentDefinitions[Natural Gas Low Measure Efficiency],MATCH($E$13,Tbl_EquipmentDefinitions[Equipment ID],0))</f>
        <v>-</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18 SEER/9.6 HSPF</v>
      </c>
      <c r="E53" s="690"/>
      <c r="F53" s="689" t="str">
        <f>INDEX(Tbl_EquipmentDefinitions[Natural Gas High Measure Efficiency],MATCH($E$13,Tbl_EquipmentDefinitions[Equipment ID],0))</f>
        <v>-</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82" t="s">
        <v>131</v>
      </c>
      <c r="D58" s="691" t="s">
        <v>132</v>
      </c>
      <c r="E58" s="692"/>
      <c r="F58" s="692"/>
      <c r="G58" s="692"/>
    </row>
    <row r="59" spans="2:14" x14ac:dyDescent="0.2">
      <c r="B59" s="16"/>
      <c r="C59" s="32" t="s">
        <v>207</v>
      </c>
      <c r="D59" s="696" t="s">
        <v>206</v>
      </c>
      <c r="E59" s="697"/>
      <c r="F59" s="697"/>
      <c r="G59" s="697"/>
    </row>
    <row r="60" spans="2:14" x14ac:dyDescent="0.2">
      <c r="B60" s="16"/>
      <c r="C60" s="32" t="s">
        <v>174</v>
      </c>
      <c r="D60" s="698" t="s">
        <v>206</v>
      </c>
      <c r="E60" s="699"/>
      <c r="F60" s="699"/>
      <c r="G60" s="699"/>
    </row>
    <row r="61" spans="2:14" x14ac:dyDescent="0.2">
      <c r="B61" s="16"/>
      <c r="C61" s="32" t="s">
        <v>309</v>
      </c>
      <c r="D61" s="698" t="s">
        <v>282</v>
      </c>
      <c r="E61" s="699"/>
      <c r="F61" s="699"/>
      <c r="G61" s="699"/>
    </row>
    <row r="62" spans="2:14" x14ac:dyDescent="0.2">
      <c r="B62" s="16"/>
    </row>
    <row r="64" spans="2:14" ht="13.5" thickBot="1" x14ac:dyDescent="0.25">
      <c r="B64" s="9" t="s">
        <v>129</v>
      </c>
      <c r="C64" s="9"/>
      <c r="D64" s="9"/>
      <c r="E64" s="9"/>
      <c r="F64" s="9"/>
      <c r="G64" s="9"/>
      <c r="H64" s="9"/>
      <c r="I64" s="9"/>
      <c r="J64" s="9"/>
      <c r="K64" s="9"/>
      <c r="L64" s="9"/>
      <c r="M64" s="9"/>
      <c r="N64" s="9"/>
    </row>
    <row r="65" spans="2:6" x14ac:dyDescent="0.2">
      <c r="B65" s="15"/>
    </row>
    <row r="66" spans="2:6" ht="12.75" x14ac:dyDescent="0.2">
      <c r="B66" s="16"/>
      <c r="C66" s="30" t="s">
        <v>155</v>
      </c>
      <c r="D66" s="88">
        <f>$D$18</f>
        <v>68.400000000000006</v>
      </c>
      <c r="E66" s="6" t="s">
        <v>156</v>
      </c>
    </row>
    <row r="67" spans="2:6" x14ac:dyDescent="0.2">
      <c r="B67" s="16"/>
    </row>
    <row r="68" spans="2:6" ht="12.75" x14ac:dyDescent="0.2">
      <c r="B68" s="16"/>
      <c r="C68" s="30" t="s">
        <v>159</v>
      </c>
      <c r="D68" s="44">
        <v>8.1999999999999993</v>
      </c>
      <c r="E68" s="6" t="s">
        <v>182</v>
      </c>
      <c r="F68" s="45" t="s">
        <v>301</v>
      </c>
    </row>
    <row r="69" spans="2:6" ht="12.75" x14ac:dyDescent="0.2">
      <c r="B69" s="16"/>
      <c r="C69" s="36" t="s">
        <v>180</v>
      </c>
      <c r="D69" s="44">
        <v>8.5</v>
      </c>
      <c r="E69" s="6" t="s">
        <v>182</v>
      </c>
      <c r="F69" s="8"/>
    </row>
    <row r="70" spans="2:6" ht="12.75" x14ac:dyDescent="0.2">
      <c r="B70" s="16"/>
      <c r="C70" s="36" t="s">
        <v>181</v>
      </c>
      <c r="D70" s="44">
        <v>9.6</v>
      </c>
      <c r="E70" s="6" t="s">
        <v>182</v>
      </c>
      <c r="F70" s="8"/>
    </row>
    <row r="71" spans="2:6" x14ac:dyDescent="0.2">
      <c r="B71" s="16"/>
    </row>
    <row r="72" spans="2:6" x14ac:dyDescent="0.2">
      <c r="B72" s="16"/>
      <c r="C72" s="5" t="s">
        <v>250</v>
      </c>
      <c r="D72" s="5"/>
    </row>
    <row r="73" spans="2:6" ht="12.75" x14ac:dyDescent="0.2">
      <c r="B73" s="16"/>
      <c r="C73" s="53" t="s">
        <v>526</v>
      </c>
      <c r="D73" s="54">
        <f>374.55/1043</f>
        <v>0.35910834132310643</v>
      </c>
      <c r="E73" s="188" t="s">
        <v>176</v>
      </c>
      <c r="F73" s="45" t="s">
        <v>951</v>
      </c>
    </row>
    <row r="74" spans="2:6" ht="12.75" x14ac:dyDescent="0.2">
      <c r="B74" s="16"/>
      <c r="C74" s="36" t="s">
        <v>528</v>
      </c>
      <c r="D74" s="189">
        <v>0.25</v>
      </c>
      <c r="E74" s="45" t="s">
        <v>961</v>
      </c>
    </row>
    <row r="75" spans="2:6" x14ac:dyDescent="0.2">
      <c r="B75" s="16"/>
    </row>
    <row r="76" spans="2:6" ht="12.75" x14ac:dyDescent="0.2">
      <c r="B76" s="16"/>
      <c r="C76" s="36" t="s">
        <v>292</v>
      </c>
      <c r="D76" s="41">
        <f>($D$66/HPFUELCALC_REF_HEATINGLOAD)/($D68/HPFUELCALC_REF_CHP_HSPF)*HPONLYCALC_CHP_HPCONSUMPTION
+($D$66/HPFUELCALC_REF_HEATINGLOAD)*HPONLYCALC_CHP_CHPRESISTANCECONSUMPTION</f>
        <v>8897.9450670110964</v>
      </c>
      <c r="E76" s="6" t="s">
        <v>170</v>
      </c>
    </row>
    <row r="77" spans="2:6" ht="12.75" x14ac:dyDescent="0.2">
      <c r="B77" s="16"/>
      <c r="C77" s="36" t="s">
        <v>293</v>
      </c>
      <c r="D77" s="41">
        <f>($D$66/HPFUELCALC_REF_HEATINGLOAD)/($D69/HPFUELCALC_REF_CHP_HSPF)*HPONLYCALC_CHP_HPCONSUMPTION
+($D$66/HPFUELCALC_REF_HEATINGLOAD)*HPONLYCALC_CHP_CHPRESISTANCECONSUMPTION</f>
        <v>8608.8256733545259</v>
      </c>
      <c r="E77" s="6" t="s">
        <v>170</v>
      </c>
    </row>
    <row r="78" spans="2:6" ht="12.75" x14ac:dyDescent="0.2">
      <c r="B78" s="16"/>
      <c r="C78" s="36" t="s">
        <v>294</v>
      </c>
      <c r="D78" s="41">
        <f>($D$66/HPFUELCALC_REF_HEATINGLOAD)/($D70/HPFUELCALC_REF_CHP_HSPF)*HPONLYCALC_CHP_HPCONSUMPTION
+($D$66/HPFUELCALC_REF_HEATINGLOAD)*HPONLYCALC_CHP_CHPRESISTANCECONSUMPTION</f>
        <v>7703.3197946106839</v>
      </c>
      <c r="E78" s="6" t="s">
        <v>170</v>
      </c>
    </row>
    <row r="79" spans="2:6" x14ac:dyDescent="0.2">
      <c r="B79" s="16"/>
    </row>
    <row r="80" spans="2:6" ht="12.75" x14ac:dyDescent="0.2">
      <c r="B80" s="16"/>
      <c r="C80" s="30" t="s">
        <v>167</v>
      </c>
      <c r="D80" s="87">
        <f>$D$19</f>
        <v>13.072800000000001</v>
      </c>
      <c r="E80" s="6" t="s">
        <v>156</v>
      </c>
    </row>
    <row r="81" spans="2:6" x14ac:dyDescent="0.2">
      <c r="B81" s="16"/>
    </row>
    <row r="82" spans="2:6" ht="12.75" x14ac:dyDescent="0.2">
      <c r="B82" s="16"/>
      <c r="C82" s="36" t="s">
        <v>168</v>
      </c>
      <c r="D82" s="44">
        <v>14</v>
      </c>
      <c r="E82" s="6" t="s">
        <v>169</v>
      </c>
      <c r="F82" s="45" t="s">
        <v>302</v>
      </c>
    </row>
    <row r="83" spans="2:6" ht="12.75" x14ac:dyDescent="0.2">
      <c r="B83" s="16"/>
      <c r="C83" s="36" t="s">
        <v>201</v>
      </c>
      <c r="D83" s="44">
        <v>16</v>
      </c>
      <c r="E83" s="6" t="s">
        <v>169</v>
      </c>
    </row>
    <row r="84" spans="2:6" ht="12.75" x14ac:dyDescent="0.2">
      <c r="B84" s="16"/>
      <c r="C84" s="36" t="s">
        <v>202</v>
      </c>
      <c r="D84" s="44">
        <v>18</v>
      </c>
      <c r="E84" s="6" t="s">
        <v>169</v>
      </c>
    </row>
    <row r="85" spans="2:6" x14ac:dyDescent="0.2">
      <c r="B85" s="16"/>
    </row>
    <row r="86" spans="2:6" ht="12.75" x14ac:dyDescent="0.2">
      <c r="B86" s="16"/>
      <c r="C86" s="36" t="s">
        <v>295</v>
      </c>
      <c r="D86" s="41">
        <f>1000*$D$80/D82</f>
        <v>933.7714285714286</v>
      </c>
      <c r="E86" s="6" t="s">
        <v>170</v>
      </c>
      <c r="F86" s="45" t="s">
        <v>306</v>
      </c>
    </row>
    <row r="87" spans="2:6" ht="12.75" x14ac:dyDescent="0.2">
      <c r="B87" s="16"/>
      <c r="C87" s="36" t="s">
        <v>296</v>
      </c>
      <c r="D87" s="41">
        <f>1000*$D$80/D83</f>
        <v>817.05000000000007</v>
      </c>
      <c r="E87" s="6" t="s">
        <v>170</v>
      </c>
    </row>
    <row r="88" spans="2:6" ht="12.75" x14ac:dyDescent="0.2">
      <c r="B88" s="16"/>
      <c r="C88" s="36" t="s">
        <v>297</v>
      </c>
      <c r="D88" s="41">
        <f>1000*$D$80/D84</f>
        <v>726.26666666666677</v>
      </c>
      <c r="E88" s="6" t="s">
        <v>170</v>
      </c>
    </row>
    <row r="89" spans="2:6" x14ac:dyDescent="0.2">
      <c r="B89" s="16"/>
    </row>
    <row r="90" spans="2:6" ht="12.75" x14ac:dyDescent="0.2">
      <c r="B90" s="16"/>
      <c r="C90" s="36" t="s">
        <v>298</v>
      </c>
      <c r="D90" s="41">
        <f>D76+D86</f>
        <v>9831.7164955825247</v>
      </c>
      <c r="E90" s="6" t="s">
        <v>170</v>
      </c>
      <c r="F90" s="45" t="s">
        <v>307</v>
      </c>
    </row>
    <row r="91" spans="2:6" ht="12.75" x14ac:dyDescent="0.2">
      <c r="B91" s="16"/>
      <c r="C91" s="36" t="s">
        <v>299</v>
      </c>
      <c r="D91" s="41">
        <f>D77+D87</f>
        <v>9425.8756733545251</v>
      </c>
      <c r="E91" s="6" t="s">
        <v>170</v>
      </c>
    </row>
    <row r="92" spans="2:6" ht="12.75" x14ac:dyDescent="0.2">
      <c r="B92" s="16"/>
      <c r="C92" s="36" t="s">
        <v>300</v>
      </c>
      <c r="D92" s="41">
        <f>D78+D88</f>
        <v>8429.5864612773512</v>
      </c>
      <c r="E92" s="6" t="s">
        <v>170</v>
      </c>
    </row>
    <row r="93" spans="2:6" x14ac:dyDescent="0.2">
      <c r="B93" s="16"/>
    </row>
    <row r="94" spans="2:6" ht="12.75" x14ac:dyDescent="0.2">
      <c r="B94" s="16"/>
      <c r="C94" s="30" t="s">
        <v>163</v>
      </c>
      <c r="D94" s="42">
        <f>D90*PRICE_PER_KWH_2018_ELECTRICITY</f>
        <v>1944.7135228262234</v>
      </c>
      <c r="E94" s="6" t="s">
        <v>164</v>
      </c>
      <c r="F94" s="45" t="s">
        <v>308</v>
      </c>
    </row>
    <row r="95" spans="2:6" ht="12.75" x14ac:dyDescent="0.2">
      <c r="B95" s="16"/>
      <c r="C95" s="36" t="s">
        <v>203</v>
      </c>
      <c r="D95" s="42">
        <f>D91*PRICE_PER_KWH_2018_ELECTRICITY</f>
        <v>1864.4382081895251</v>
      </c>
      <c r="E95" s="6" t="s">
        <v>164</v>
      </c>
    </row>
    <row r="96" spans="2:6" ht="12.75" x14ac:dyDescent="0.2">
      <c r="B96" s="16"/>
      <c r="C96" s="36" t="s">
        <v>204</v>
      </c>
      <c r="D96" s="42">
        <f>D92*PRICE_PER_KWH_2018_ELECTRICITY</f>
        <v>1667.3722020406601</v>
      </c>
      <c r="E96" s="6" t="s">
        <v>164</v>
      </c>
    </row>
    <row r="97" spans="2:6" x14ac:dyDescent="0.2">
      <c r="B97" s="16"/>
    </row>
    <row r="98" spans="2:6" ht="12.75" x14ac:dyDescent="0.2">
      <c r="B98" s="16"/>
      <c r="C98" s="423" t="s">
        <v>1595</v>
      </c>
      <c r="D98" s="694" t="str">
        <f>INPUT_CHP_COOLCAP_NOOTHERHEAT</f>
        <v>4.0 ton (default HP full replacement)</v>
      </c>
      <c r="E98" s="695"/>
    </row>
    <row r="99" spans="2:6" ht="12.75" x14ac:dyDescent="0.2">
      <c r="B99" s="16"/>
      <c r="C99" s="423" t="s">
        <v>1594</v>
      </c>
      <c r="D99" s="694" t="str">
        <f>INPUT_CHP_HEATCAP_NOOTHERHEAT</f>
        <v>4.0 ton (default HP full replacement)</v>
      </c>
      <c r="E99" s="695"/>
    </row>
    <row r="100" spans="2:6" ht="12.75" x14ac:dyDescent="0.2">
      <c r="B100" s="16"/>
      <c r="C100" s="30" t="s">
        <v>1612</v>
      </c>
      <c r="D100" s="41" t="str">
        <f>LEFT(D98,SEARCH("ton",D98,1)-2)</f>
        <v>4.0</v>
      </c>
      <c r="E100" s="6" t="s">
        <v>173</v>
      </c>
    </row>
    <row r="101" spans="2:6" ht="12.75" x14ac:dyDescent="0.2">
      <c r="B101" s="16"/>
      <c r="C101" s="30" t="s">
        <v>1614</v>
      </c>
      <c r="D101" s="41" t="str">
        <f>LEFT(D99,SEARCH("ton",D99,1)-2)</f>
        <v>4.0</v>
      </c>
      <c r="E101" s="6" t="s">
        <v>173</v>
      </c>
    </row>
    <row r="102" spans="2:6" ht="12.75" x14ac:dyDescent="0.2">
      <c r="B102" s="16"/>
      <c r="C102" s="30" t="s">
        <v>1615</v>
      </c>
      <c r="D102" s="190">
        <f>MAX(VALUE(D100),VALUE(D101))</f>
        <v>4</v>
      </c>
      <c r="E102" s="6" t="s">
        <v>173</v>
      </c>
    </row>
    <row r="103" spans="2:6" x14ac:dyDescent="0.2">
      <c r="B103" s="16"/>
    </row>
    <row r="104" spans="2:6" ht="12.75" x14ac:dyDescent="0.2">
      <c r="B104" s="16"/>
      <c r="C104" s="36" t="s">
        <v>217</v>
      </c>
      <c r="D104" s="44">
        <v>8.1999999999999993</v>
      </c>
      <c r="E104" s="6" t="s">
        <v>182</v>
      </c>
      <c r="F104" s="45" t="s">
        <v>303</v>
      </c>
    </row>
    <row r="105" spans="2:6" ht="12.75" x14ac:dyDescent="0.2">
      <c r="B105" s="16"/>
      <c r="C105" s="36" t="s">
        <v>218</v>
      </c>
      <c r="D105" s="44">
        <v>8.5</v>
      </c>
      <c r="E105" s="6" t="s">
        <v>182</v>
      </c>
      <c r="F105" s="45"/>
    </row>
    <row r="106" spans="2:6" ht="12.75" x14ac:dyDescent="0.2">
      <c r="B106" s="16"/>
      <c r="C106" s="36" t="s">
        <v>219</v>
      </c>
      <c r="D106" s="44">
        <v>9.6</v>
      </c>
      <c r="E106" s="6" t="s">
        <v>182</v>
      </c>
      <c r="F106" s="45"/>
    </row>
    <row r="107" spans="2:6" x14ac:dyDescent="0.2">
      <c r="B107" s="16"/>
    </row>
    <row r="108" spans="2:6" ht="12.75" x14ac:dyDescent="0.2">
      <c r="B108" s="16"/>
      <c r="C108" s="36" t="s">
        <v>209</v>
      </c>
      <c r="D108" s="44">
        <v>0.31</v>
      </c>
      <c r="E108" s="45" t="s">
        <v>206</v>
      </c>
    </row>
    <row r="109" spans="2:6" ht="12.75" x14ac:dyDescent="0.2">
      <c r="B109" s="16"/>
      <c r="C109" s="36" t="s">
        <v>210</v>
      </c>
      <c r="D109" s="44">
        <v>0.54</v>
      </c>
      <c r="E109" s="45" t="s">
        <v>206</v>
      </c>
    </row>
    <row r="110" spans="2:6" x14ac:dyDescent="0.2">
      <c r="B110" s="16"/>
    </row>
    <row r="111" spans="2:6" ht="12.75" x14ac:dyDescent="0.2">
      <c r="B111" s="16"/>
      <c r="C111" s="36" t="s">
        <v>220</v>
      </c>
      <c r="D111" s="37">
        <f>$D$108*$D$101*12/D104</f>
        <v>1.8146341463414635</v>
      </c>
      <c r="E111" s="6" t="s">
        <v>176</v>
      </c>
      <c r="F111" s="45" t="s">
        <v>216</v>
      </c>
    </row>
    <row r="112" spans="2:6" ht="12.75" x14ac:dyDescent="0.2">
      <c r="B112" s="16"/>
      <c r="C112" s="36" t="s">
        <v>221</v>
      </c>
      <c r="D112" s="37">
        <f>$D$108*$D$101*12/D105</f>
        <v>1.7505882352941176</v>
      </c>
      <c r="E112" s="6" t="s">
        <v>176</v>
      </c>
    </row>
    <row r="113" spans="2:6" ht="12.75" x14ac:dyDescent="0.2">
      <c r="B113" s="16"/>
      <c r="C113" s="36" t="s">
        <v>222</v>
      </c>
      <c r="D113" s="46">
        <f>$D$109*$D$101*12/D106</f>
        <v>2.7</v>
      </c>
      <c r="E113" s="6" t="s">
        <v>176</v>
      </c>
    </row>
    <row r="114" spans="2:6" x14ac:dyDescent="0.2">
      <c r="B114" s="16"/>
    </row>
    <row r="115" spans="2:6" x14ac:dyDescent="0.2">
      <c r="B115" s="16"/>
    </row>
    <row r="116" spans="2:6" ht="12.75" x14ac:dyDescent="0.2">
      <c r="B116" s="16"/>
      <c r="C116" s="36" t="s">
        <v>208</v>
      </c>
      <c r="D116" s="44">
        <v>11.7</v>
      </c>
      <c r="E116" s="6" t="s">
        <v>175</v>
      </c>
      <c r="F116" s="45" t="s">
        <v>304</v>
      </c>
    </row>
    <row r="117" spans="2:6" ht="12.75" x14ac:dyDescent="0.2">
      <c r="B117" s="16"/>
      <c r="C117" s="36" t="s">
        <v>213</v>
      </c>
      <c r="D117" s="31">
        <f>$D$116</f>
        <v>11.7</v>
      </c>
      <c r="E117" s="6" t="s">
        <v>175</v>
      </c>
      <c r="F117" s="45" t="s">
        <v>223</v>
      </c>
    </row>
    <row r="118" spans="2:6" ht="12.75" x14ac:dyDescent="0.2">
      <c r="B118" s="16"/>
      <c r="C118" s="36" t="s">
        <v>214</v>
      </c>
      <c r="D118" s="31">
        <f>$D$116</f>
        <v>11.7</v>
      </c>
      <c r="E118" s="6" t="s">
        <v>175</v>
      </c>
      <c r="F118" s="45" t="s">
        <v>223</v>
      </c>
    </row>
    <row r="119" spans="2:6" x14ac:dyDescent="0.2">
      <c r="B119" s="16"/>
    </row>
    <row r="120" spans="2:6" ht="12.75" x14ac:dyDescent="0.2">
      <c r="B120" s="16"/>
      <c r="C120" s="36" t="s">
        <v>174</v>
      </c>
      <c r="D120" s="44">
        <v>0.5</v>
      </c>
      <c r="E120" s="45" t="s">
        <v>953</v>
      </c>
    </row>
    <row r="121" spans="2:6" x14ac:dyDescent="0.2">
      <c r="B121" s="16"/>
    </row>
    <row r="122" spans="2:6" ht="12.75" x14ac:dyDescent="0.2">
      <c r="B122" s="16"/>
      <c r="C122" s="36" t="s">
        <v>211</v>
      </c>
      <c r="D122" s="37">
        <f>$D$120*$D$100*12/D116</f>
        <v>2.0512820512820515</v>
      </c>
      <c r="E122" s="6" t="s">
        <v>176</v>
      </c>
      <c r="F122" s="45"/>
    </row>
    <row r="123" spans="2:6" ht="12.75" x14ac:dyDescent="0.2">
      <c r="B123" s="16"/>
      <c r="C123" s="36" t="s">
        <v>212</v>
      </c>
      <c r="D123" s="37">
        <f>$D$120*$D$100*12/D117</f>
        <v>2.0512820512820515</v>
      </c>
      <c r="E123" s="6" t="s">
        <v>176</v>
      </c>
    </row>
    <row r="124" spans="2:6" ht="12.75" x14ac:dyDescent="0.2">
      <c r="B124" s="16"/>
      <c r="C124" s="36" t="s">
        <v>215</v>
      </c>
      <c r="D124" s="37">
        <f>$D$120*$D$100*12/D118</f>
        <v>2.0512820512820515</v>
      </c>
      <c r="E124" s="6" t="s">
        <v>176</v>
      </c>
    </row>
    <row r="125" spans="2:6" x14ac:dyDescent="0.2">
      <c r="B125" s="16"/>
    </row>
    <row r="126" spans="2:6" ht="12.75" x14ac:dyDescent="0.2">
      <c r="B126" s="16"/>
      <c r="C126" s="10" t="s">
        <v>1143</v>
      </c>
      <c r="D126" s="10"/>
    </row>
    <row r="127" spans="2:6" x14ac:dyDescent="0.2">
      <c r="B127" s="16"/>
      <c r="C127" s="6" t="s">
        <v>1144</v>
      </c>
    </row>
    <row r="128" spans="2:6" x14ac:dyDescent="0.2">
      <c r="B128" s="16"/>
      <c r="C128" s="6" t="s">
        <v>1150</v>
      </c>
    </row>
    <row r="129" spans="2:5" x14ac:dyDescent="0.2">
      <c r="B129" s="16"/>
      <c r="C129" s="6" t="s">
        <v>1152</v>
      </c>
    </row>
    <row r="130" spans="2:5" x14ac:dyDescent="0.2">
      <c r="B130" s="16"/>
      <c r="C130" s="6" t="s">
        <v>1146</v>
      </c>
      <c r="D130" s="42">
        <f>D131-(D132-D131)</f>
        <v>4337</v>
      </c>
      <c r="E130" s="6" t="s">
        <v>1145</v>
      </c>
    </row>
    <row r="131" spans="2:5" x14ac:dyDescent="0.2">
      <c r="B131" s="16"/>
      <c r="C131" s="6" t="s">
        <v>1147</v>
      </c>
      <c r="D131" s="42">
        <f>COST_HP_16SEER_REPLACE</f>
        <v>4685</v>
      </c>
      <c r="E131" s="6" t="s">
        <v>1145</v>
      </c>
    </row>
    <row r="132" spans="2:5" x14ac:dyDescent="0.2">
      <c r="B132" s="16"/>
      <c r="C132" s="6" t="s">
        <v>1148</v>
      </c>
      <c r="D132" s="42">
        <f>COST_HP_18SEER_REPLACE</f>
        <v>5033</v>
      </c>
      <c r="E132" s="6" t="s">
        <v>1145</v>
      </c>
    </row>
    <row r="133" spans="2:5" x14ac:dyDescent="0.2">
      <c r="B133" s="16"/>
      <c r="D133" s="226"/>
    </row>
    <row r="134" spans="2:5" x14ac:dyDescent="0.2">
      <c r="B134" s="16"/>
      <c r="C134" s="6" t="s">
        <v>1151</v>
      </c>
      <c r="D134" s="226"/>
    </row>
    <row r="135" spans="2:5" x14ac:dyDescent="0.2">
      <c r="B135" s="16"/>
      <c r="C135" s="6" t="s">
        <v>1146</v>
      </c>
      <c r="D135" s="42">
        <f>D130*$D$102</f>
        <v>17348</v>
      </c>
      <c r="E135" s="6" t="s">
        <v>1149</v>
      </c>
    </row>
    <row r="136" spans="2:5" x14ac:dyDescent="0.2">
      <c r="B136" s="16"/>
      <c r="C136" s="6" t="s">
        <v>1147</v>
      </c>
      <c r="D136" s="42">
        <f>D131*$D$102</f>
        <v>18740</v>
      </c>
      <c r="E136" s="6" t="s">
        <v>1149</v>
      </c>
    </row>
    <row r="137" spans="2:5" x14ac:dyDescent="0.2">
      <c r="B137" s="16"/>
      <c r="C137" s="6" t="s">
        <v>1148</v>
      </c>
      <c r="D137" s="42">
        <f>D132*$D$102</f>
        <v>20132</v>
      </c>
      <c r="E137" s="6" t="s">
        <v>1149</v>
      </c>
    </row>
    <row r="138" spans="2:5" x14ac:dyDescent="0.2">
      <c r="B138" s="16"/>
    </row>
  </sheetData>
  <mergeCells count="22">
    <mergeCell ref="D50:E50"/>
    <mergeCell ref="F50:G50"/>
    <mergeCell ref="H50:I50"/>
    <mergeCell ref="J50:K50"/>
    <mergeCell ref="D51:E51"/>
    <mergeCell ref="F51:G51"/>
    <mergeCell ref="H51:I51"/>
    <mergeCell ref="J51:K51"/>
    <mergeCell ref="D52:E52"/>
    <mergeCell ref="F52:G52"/>
    <mergeCell ref="H52:I52"/>
    <mergeCell ref="J52:K52"/>
    <mergeCell ref="D53:E53"/>
    <mergeCell ref="F53:G53"/>
    <mergeCell ref="H53:I53"/>
    <mergeCell ref="J53:K53"/>
    <mergeCell ref="D98:E98"/>
    <mergeCell ref="D99:E99"/>
    <mergeCell ref="D58:G58"/>
    <mergeCell ref="D59:G59"/>
    <mergeCell ref="D60:G60"/>
    <mergeCell ref="D61:G61"/>
  </mergeCells>
  <dataValidations disablePrompts="1" count="2">
    <dataValidation type="list" allowBlank="1" showInputMessage="1" showErrorMessage="1" sqref="D5">
      <formula1>"1. Not Started,2. Analyzing,3. Ready"</formula1>
    </dataValidation>
    <dataValidation type="list" allowBlank="1" showInputMessage="1" showErrorMessage="1" sqref="D9">
      <formula1>DEFINED_MEASURES</formula1>
    </dataValidation>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sheetPr>
  <dimension ref="A1:AD156"/>
  <sheetViews>
    <sheetView workbookViewId="0"/>
  </sheetViews>
  <sheetFormatPr defaultColWidth="9.33203125" defaultRowHeight="11.25" x14ac:dyDescent="0.2"/>
  <cols>
    <col min="1" max="2" width="3.33203125" style="6" customWidth="1"/>
    <col min="3" max="3" width="22.6640625" style="6" bestFit="1" customWidth="1"/>
    <col min="4" max="4" width="21" style="6" customWidth="1"/>
    <col min="5" max="5" width="16.33203125" style="6" customWidth="1"/>
    <col min="6" max="6" width="15" style="6" customWidth="1"/>
    <col min="7" max="7" width="13.5" style="6" customWidth="1"/>
    <col min="8" max="8" width="16.33203125" style="6" customWidth="1"/>
    <col min="9" max="9" width="22.33203125" style="6" bestFit="1" customWidth="1"/>
    <col min="10" max="10" width="20.5" style="6" bestFit="1" customWidth="1"/>
    <col min="11"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29" t="s">
        <v>88</v>
      </c>
      <c r="E9" s="7" t="s">
        <v>290</v>
      </c>
    </row>
    <row r="10" spans="1:30" ht="12.75" x14ac:dyDescent="0.2">
      <c r="B10" s="16"/>
      <c r="C10" s="30" t="s">
        <v>289</v>
      </c>
      <c r="D10" s="83" t="e">
        <f>INDEX(Tbl_MeasureList[Baseline ID],MATCH($D$9,Tbl_MeasureList[Measure ID],0))</f>
        <v>#N/A</v>
      </c>
      <c r="E10" s="7"/>
    </row>
    <row r="11" spans="1:30" x14ac:dyDescent="0.2">
      <c r="B11" s="16"/>
      <c r="C11" s="7"/>
      <c r="D11" s="7"/>
      <c r="E11" s="7"/>
    </row>
    <row r="12" spans="1:30" ht="12" thickBot="1" x14ac:dyDescent="0.25">
      <c r="B12" s="16"/>
      <c r="C12" s="7"/>
      <c r="D12" s="79" t="s">
        <v>5</v>
      </c>
      <c r="E12" s="79" t="s">
        <v>284</v>
      </c>
    </row>
    <row r="13" spans="1:30" x14ac:dyDescent="0.2">
      <c r="B13" s="16"/>
      <c r="C13" s="32" t="s">
        <v>2</v>
      </c>
      <c r="D13" s="84" t="e">
        <f>INDEX(Tbl_MeasureList[Baseline Equipment ID],MATCH($D$9,Tbl_MeasureList[Measure ID],0))</f>
        <v>#N/A</v>
      </c>
      <c r="E13" s="84" t="e">
        <f>INDEX(Tbl_MeasureList[Replacement ID],MATCH($D$9,Tbl_MeasureList[Measure ID],0))</f>
        <v>#N/A</v>
      </c>
      <c r="F13" s="7"/>
    </row>
    <row r="14" spans="1:30" x14ac:dyDescent="0.2">
      <c r="B14" s="16"/>
      <c r="C14" s="32" t="s">
        <v>4</v>
      </c>
      <c r="D14" s="85" t="e">
        <f>INDEX(Tbl_EquipmentDefinitions[[Equipment Name]:[Equipment Name]],MATCH(D$13,Tbl_EquipmentDefinitions[[Equipment ID]:[Equipment ID]],0))</f>
        <v>#N/A</v>
      </c>
      <c r="E14" s="85" t="e">
        <f>INDEX(Tbl_EquipmentDefinitions[[Equipment Name]:[Equipment Name]],MATCH(E$13,Tbl_EquipmentDefinitions[[Equipment ID]:[Equipment ID]],0))</f>
        <v>#N/A</v>
      </c>
      <c r="F14" s="7"/>
    </row>
    <row r="15" spans="1:30" x14ac:dyDescent="0.2">
      <c r="B15" s="16"/>
      <c r="C15" s="32" t="s">
        <v>24</v>
      </c>
      <c r="D15" s="84" t="e">
        <f>INDEX(Tbl_EquipmentDefinitions[[Function]:[Function]],MATCH(D$13,Tbl_EquipmentDefinitions[[Equipment ID]:[Equipment ID]],0))</f>
        <v>#N/A</v>
      </c>
      <c r="E15" s="84" t="e">
        <f>INDEX(Tbl_EquipmentDefinitions[[Function]:[Function]],MATCH(E$13,Tbl_EquipmentDefinitions[[Equipment ID]:[Equipment ID]],0))</f>
        <v>#N/A</v>
      </c>
      <c r="F15" s="7"/>
    </row>
    <row r="16" spans="1:30" x14ac:dyDescent="0.2">
      <c r="B16" s="16"/>
      <c r="C16" s="32" t="s">
        <v>7</v>
      </c>
      <c r="D16" s="85" t="e">
        <f>INDEX(Tbl_EquipmentDefinitions[[Fuel Type]:[Fuel Type]],MATCH(D$13,Tbl_EquipmentDefinitions[[Equipment ID]:[Equipment ID]],0))</f>
        <v>#N/A</v>
      </c>
      <c r="E16" s="85" t="e">
        <f>INDEX(Tbl_EquipmentDefinitions[[Fuel Type]:[Fuel Type]],MATCH(E$13,Tbl_EquipmentDefinitions[[Equipment ID]:[Equipment ID]],0))</f>
        <v>#N/A</v>
      </c>
      <c r="F16" s="7"/>
    </row>
    <row r="17" spans="2:14" x14ac:dyDescent="0.2">
      <c r="B17" s="16"/>
      <c r="C17" s="32" t="s">
        <v>126</v>
      </c>
      <c r="D17" s="84">
        <f>IF(ISERR(SEARCH("+",D16,1)),1,2)</f>
        <v>2</v>
      </c>
      <c r="E17" s="84">
        <f>IF(ISERR(SEARCH("+",E16,1)),1,2)</f>
        <v>2</v>
      </c>
      <c r="F17" s="7"/>
    </row>
    <row r="18" spans="2:14" x14ac:dyDescent="0.2">
      <c r="B18" s="16"/>
      <c r="C18" s="32" t="s">
        <v>155</v>
      </c>
      <c r="D18" s="86" t="e">
        <f>INDEX(Tbl_BaselineSummary[Space Heating Load (MMBtu/yr)],MATCH($D$10,Tbl_BaselineSummary[Baseline ID],0))</f>
        <v>#N/A</v>
      </c>
      <c r="F18" s="7"/>
    </row>
    <row r="19" spans="2:14" x14ac:dyDescent="0.2">
      <c r="B19" s="16"/>
      <c r="C19" s="32" t="s">
        <v>167</v>
      </c>
      <c r="D19" s="84" t="e">
        <f>INDEX(Tbl_BaselineSummary[Space Cooling Load (MMBtu/yr)],MATCH($D$10,Tbl_BaselineSummary[Baseline ID],0))</f>
        <v>#N/A</v>
      </c>
      <c r="F19" s="7"/>
    </row>
    <row r="20" spans="2:14" x14ac:dyDescent="0.2">
      <c r="B20" s="16"/>
      <c r="C20" s="32" t="s">
        <v>244</v>
      </c>
      <c r="D20" s="86" t="e">
        <f>INDEX(Tbl_BaselineSummary[Water Heating Load (MMBtu/yr)],MATCH($D$10,Tbl_BaselineSummary[Baseline ID],0))</f>
        <v>#N/A</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35" t="s">
        <v>127</v>
      </c>
      <c r="D25" s="281" t="s">
        <v>345</v>
      </c>
      <c r="E25" s="385" t="s">
        <v>956</v>
      </c>
      <c r="F25" s="281" t="s">
        <v>326</v>
      </c>
      <c r="G25" s="421" t="s">
        <v>1532</v>
      </c>
      <c r="H25" s="385" t="s">
        <v>958</v>
      </c>
      <c r="I25" s="569" t="s">
        <v>1447</v>
      </c>
      <c r="J25" s="569" t="s">
        <v>1448</v>
      </c>
      <c r="L25" s="79" t="s">
        <v>1533</v>
      </c>
      <c r="M25" s="421" t="s">
        <v>1531</v>
      </c>
    </row>
    <row r="26" spans="2:14" ht="11.25" customHeight="1" x14ac:dyDescent="0.2">
      <c r="B26" s="16"/>
      <c r="C26" s="32" t="s">
        <v>6</v>
      </c>
      <c r="D26" s="122" t="e">
        <f>D90</f>
        <v>#N/A</v>
      </c>
      <c r="E26" s="126" t="e">
        <f>D108</f>
        <v>#NAME?</v>
      </c>
      <c r="F26" s="111" t="e">
        <f>D94</f>
        <v>#N/A</v>
      </c>
      <c r="G26" s="296" t="e">
        <f>D132</f>
        <v>#NAME?</v>
      </c>
      <c r="H26" s="126" t="e">
        <f>D119</f>
        <v>#NAME?</v>
      </c>
      <c r="I26" s="202" t="e">
        <f>D86</f>
        <v>#N/A</v>
      </c>
      <c r="J26" s="202" t="e">
        <f>D76</f>
        <v>#N/A</v>
      </c>
      <c r="L26" s="84" t="e">
        <f t="shared" ref="L26:M28" si="0">F26+E32+E38+E44</f>
        <v>#N/A</v>
      </c>
      <c r="M26" s="86" t="e">
        <f t="shared" si="0"/>
        <v>#NAME?</v>
      </c>
    </row>
    <row r="27" spans="2:14" x14ac:dyDescent="0.2">
      <c r="B27" s="16"/>
      <c r="C27" s="32" t="s">
        <v>19</v>
      </c>
      <c r="D27" s="122" t="e">
        <f>D91</f>
        <v>#N/A</v>
      </c>
      <c r="E27" s="126" t="e">
        <f>D109</f>
        <v>#NAME?</v>
      </c>
      <c r="F27" s="111" t="e">
        <f>D95</f>
        <v>#N/A</v>
      </c>
      <c r="G27" s="296" t="e">
        <f t="shared" ref="G27:G28" si="1">D133</f>
        <v>#NAME?</v>
      </c>
      <c r="H27" s="126" t="e">
        <f t="shared" ref="H27:H28" si="2">D120</f>
        <v>#NAME?</v>
      </c>
      <c r="I27" s="202" t="e">
        <f t="shared" ref="I27:I28" si="3">D87</f>
        <v>#N/A</v>
      </c>
      <c r="J27" s="202" t="e">
        <f t="shared" ref="J27:J28" si="4">D77</f>
        <v>#N/A</v>
      </c>
      <c r="L27" s="84" t="e">
        <f t="shared" si="0"/>
        <v>#N/A</v>
      </c>
      <c r="M27" s="86" t="e">
        <f t="shared" si="0"/>
        <v>#NAME?</v>
      </c>
    </row>
    <row r="28" spans="2:14" x14ac:dyDescent="0.2">
      <c r="B28" s="16"/>
      <c r="C28" s="32" t="s">
        <v>20</v>
      </c>
      <c r="D28" s="122" t="e">
        <f>D92</f>
        <v>#N/A</v>
      </c>
      <c r="E28" s="126" t="e">
        <f>D110</f>
        <v>#NAME?</v>
      </c>
      <c r="F28" s="111" t="e">
        <f>D96</f>
        <v>#N/A</v>
      </c>
      <c r="G28" s="296" t="e">
        <f t="shared" si="1"/>
        <v>#NAME?</v>
      </c>
      <c r="H28" s="126" t="e">
        <f t="shared" si="2"/>
        <v>#NAME?</v>
      </c>
      <c r="I28" s="202" t="e">
        <f t="shared" si="3"/>
        <v>#N/A</v>
      </c>
      <c r="J28" s="202" t="e">
        <f t="shared" si="4"/>
        <v>#N/A</v>
      </c>
      <c r="L28" s="84" t="e">
        <f t="shared" si="0"/>
        <v>#N/A</v>
      </c>
      <c r="M28" s="86" t="e">
        <f t="shared" si="0"/>
        <v>#NAME?</v>
      </c>
    </row>
    <row r="29" spans="2:14" x14ac:dyDescent="0.2">
      <c r="B29" s="16"/>
    </row>
    <row r="30" spans="2:14" ht="12.75" thickBot="1" x14ac:dyDescent="0.25">
      <c r="B30" s="16"/>
      <c r="C30" s="34" t="s">
        <v>55</v>
      </c>
      <c r="D30" s="34"/>
      <c r="E30" s="33"/>
      <c r="F30" s="33"/>
    </row>
    <row r="31" spans="2:14" ht="23.25" thickBot="1" x14ac:dyDescent="0.25">
      <c r="B31" s="16"/>
      <c r="C31" s="35" t="s">
        <v>127</v>
      </c>
      <c r="D31" s="281" t="s">
        <v>325</v>
      </c>
      <c r="E31" s="281" t="s">
        <v>326</v>
      </c>
      <c r="F31" s="421" t="s">
        <v>1532</v>
      </c>
    </row>
    <row r="32" spans="2:14" x14ac:dyDescent="0.2">
      <c r="B32" s="16"/>
      <c r="C32" s="32" t="s">
        <v>6</v>
      </c>
      <c r="D32" s="40">
        <v>0</v>
      </c>
      <c r="E32" s="39">
        <v>0</v>
      </c>
      <c r="F32" s="39">
        <v>0</v>
      </c>
      <c r="G32" s="7" t="s">
        <v>128</v>
      </c>
    </row>
    <row r="33" spans="2:14" x14ac:dyDescent="0.2">
      <c r="B33" s="16"/>
      <c r="C33" s="32" t="s">
        <v>19</v>
      </c>
      <c r="D33" s="40">
        <v>0</v>
      </c>
      <c r="E33" s="39">
        <v>0</v>
      </c>
      <c r="F33" s="39">
        <v>0</v>
      </c>
    </row>
    <row r="34" spans="2:14" x14ac:dyDescent="0.2">
      <c r="B34" s="16"/>
      <c r="C34" s="32" t="s">
        <v>20</v>
      </c>
      <c r="D34" s="40">
        <v>0</v>
      </c>
      <c r="E34" s="39">
        <v>0</v>
      </c>
      <c r="F34" s="39">
        <v>0</v>
      </c>
    </row>
    <row r="35" spans="2:14" x14ac:dyDescent="0.2">
      <c r="B35" s="16"/>
    </row>
    <row r="36" spans="2:14" ht="12.75" thickBot="1" x14ac:dyDescent="0.25">
      <c r="B36" s="16"/>
      <c r="C36" s="34" t="s">
        <v>28</v>
      </c>
      <c r="D36" s="34"/>
      <c r="E36" s="33"/>
      <c r="F36" s="33"/>
    </row>
    <row r="37" spans="2:14" ht="23.25" thickBot="1" x14ac:dyDescent="0.25">
      <c r="B37" s="16"/>
      <c r="C37" s="35" t="s">
        <v>127</v>
      </c>
      <c r="D37" s="281" t="s">
        <v>756</v>
      </c>
      <c r="E37" s="281" t="s">
        <v>326</v>
      </c>
      <c r="F37" s="421"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23.25" thickBot="1" x14ac:dyDescent="0.25">
      <c r="B43" s="16"/>
      <c r="C43" s="35" t="s">
        <v>127</v>
      </c>
      <c r="D43" s="281" t="s">
        <v>756</v>
      </c>
      <c r="E43" s="281" t="s">
        <v>326</v>
      </c>
      <c r="F43" s="421" t="s">
        <v>1532</v>
      </c>
    </row>
    <row r="44" spans="2:14" x14ac:dyDescent="0.2">
      <c r="B44" s="16"/>
      <c r="C44" s="32" t="s">
        <v>6</v>
      </c>
      <c r="D44" s="40">
        <v>0</v>
      </c>
      <c r="E44" s="39">
        <v>0</v>
      </c>
      <c r="F44" s="39">
        <v>0</v>
      </c>
      <c r="G44" s="7" t="s">
        <v>128</v>
      </c>
    </row>
    <row r="45" spans="2:14" x14ac:dyDescent="0.2">
      <c r="B45" s="16"/>
      <c r="C45" s="32" t="s">
        <v>19</v>
      </c>
      <c r="D45" s="40">
        <v>0</v>
      </c>
      <c r="E45" s="39">
        <v>0</v>
      </c>
      <c r="F45" s="39">
        <v>0</v>
      </c>
    </row>
    <row r="46" spans="2:14" x14ac:dyDescent="0.2">
      <c r="B46" s="16"/>
      <c r="C46" s="32" t="s">
        <v>20</v>
      </c>
      <c r="D46" s="40">
        <v>0</v>
      </c>
      <c r="E46" s="39">
        <v>0</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e">
        <f>INDEX(Tbl_EquipmentDefinitions[Electricity Code Efficiency],MATCH($E$13,Tbl_EquipmentDefinitions[Equipment ID],0))</f>
        <v>#N/A</v>
      </c>
      <c r="E51" s="690"/>
      <c r="F51" s="693" t="e">
        <f>INDEX(Tbl_EquipmentDefinitions[Natural Gas Code Efficiency],MATCH($E$13,Tbl_EquipmentDefinitions[Equipment ID],0))</f>
        <v>#N/A</v>
      </c>
      <c r="G51" s="690"/>
      <c r="H51" s="693" t="e">
        <f>INDEX(Tbl_EquipmentDefinitions[Propane Code Efficiency],MATCH($E$13,Tbl_EquipmentDefinitions[Equipment ID],0))</f>
        <v>#N/A</v>
      </c>
      <c r="I51" s="690"/>
      <c r="J51" s="693" t="e">
        <f>INDEX(Tbl_EquipmentDefinitions[Oil Code Efficiency],MATCH($E$13,Tbl_EquipmentDefinitions[Equipment ID],0))</f>
        <v>#N/A</v>
      </c>
      <c r="K51" s="690"/>
    </row>
    <row r="52" spans="2:14" ht="12.75" x14ac:dyDescent="0.2">
      <c r="B52" s="16"/>
      <c r="C52" s="30" t="s">
        <v>153</v>
      </c>
      <c r="D52" s="689" t="e">
        <f>INDEX(Tbl_EquipmentDefinitions[Electricity Low Measure Efficiency],MATCH($E$13,Tbl_EquipmentDefinitions[Equipment ID],0))</f>
        <v>#N/A</v>
      </c>
      <c r="E52" s="690"/>
      <c r="F52" s="689" t="e">
        <f>INDEX(Tbl_EquipmentDefinitions[Natural Gas Low Measure Efficiency],MATCH($E$13,Tbl_EquipmentDefinitions[Equipment ID],0))</f>
        <v>#N/A</v>
      </c>
      <c r="G52" s="690"/>
      <c r="H52" s="689" t="e">
        <f>INDEX(Tbl_EquipmentDefinitions[Propane Low Measure Efficiency],MATCH($E$13,Tbl_EquipmentDefinitions[Equipment ID],0))</f>
        <v>#N/A</v>
      </c>
      <c r="I52" s="690"/>
      <c r="J52" s="689" t="e">
        <f>INDEX(Tbl_EquipmentDefinitions[Oil Low Measure Efficiency],MATCH($E$13,Tbl_EquipmentDefinitions[Equipment ID],0))</f>
        <v>#N/A</v>
      </c>
      <c r="K52" s="690"/>
    </row>
    <row r="53" spans="2:14" ht="12.75" x14ac:dyDescent="0.2">
      <c r="B53" s="16"/>
      <c r="C53" s="30" t="s">
        <v>154</v>
      </c>
      <c r="D53" s="689" t="e">
        <f>INDEX(Tbl_EquipmentDefinitions[Electricity High Measure Efficiency],MATCH($E$13,Tbl_EquipmentDefinitions[Equipment ID],0))</f>
        <v>#N/A</v>
      </c>
      <c r="E53" s="690"/>
      <c r="F53" s="689" t="e">
        <f>INDEX(Tbl_EquipmentDefinitions[Natural Gas High Measure Efficiency],MATCH($E$13,Tbl_EquipmentDefinitions[Equipment ID],0))</f>
        <v>#N/A</v>
      </c>
      <c r="G53" s="690"/>
      <c r="H53" s="689" t="e">
        <f>INDEX(Tbl_EquipmentDefinitions[Propane High Measure Efficiency],MATCH($E$13,Tbl_EquipmentDefinitions[Equipment ID],0))</f>
        <v>#N/A</v>
      </c>
      <c r="I53" s="690"/>
      <c r="J53" s="689" t="e">
        <f>INDEX(Tbl_EquipmentDefinitions[Oil High Measure Efficiency],MATCH($E$13,Tbl_EquipmentDefinitions[Equipment ID],0))</f>
        <v>#N/A</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35" t="s">
        <v>131</v>
      </c>
      <c r="D58" s="691" t="s">
        <v>132</v>
      </c>
      <c r="E58" s="692"/>
      <c r="F58" s="692"/>
      <c r="G58" s="692"/>
    </row>
    <row r="59" spans="2:14" x14ac:dyDescent="0.2">
      <c r="B59" s="16"/>
      <c r="C59" s="32" t="s">
        <v>207</v>
      </c>
      <c r="D59" s="696" t="s">
        <v>206</v>
      </c>
      <c r="E59" s="697"/>
      <c r="F59" s="697"/>
      <c r="G59" s="697"/>
    </row>
    <row r="60" spans="2:14" x14ac:dyDescent="0.2">
      <c r="B60" s="16"/>
      <c r="C60" s="32" t="s">
        <v>174</v>
      </c>
      <c r="D60" s="698" t="s">
        <v>206</v>
      </c>
      <c r="E60" s="699"/>
      <c r="F60" s="699"/>
      <c r="G60" s="699"/>
    </row>
    <row r="61" spans="2:14" x14ac:dyDescent="0.2">
      <c r="B61" s="16"/>
      <c r="C61" s="32" t="s">
        <v>309</v>
      </c>
      <c r="D61" s="698" t="s">
        <v>282</v>
      </c>
      <c r="E61" s="699"/>
      <c r="F61" s="699"/>
      <c r="G61" s="699"/>
    </row>
    <row r="62" spans="2:14" x14ac:dyDescent="0.2">
      <c r="B62" s="16"/>
    </row>
    <row r="64" spans="2:14" ht="13.5" thickBot="1" x14ac:dyDescent="0.25">
      <c r="B64" s="9" t="s">
        <v>129</v>
      </c>
      <c r="C64" s="9"/>
      <c r="D64" s="9"/>
      <c r="E64" s="9"/>
      <c r="F64" s="9"/>
      <c r="G64" s="9"/>
      <c r="H64" s="9"/>
      <c r="I64" s="9"/>
      <c r="J64" s="9"/>
      <c r="K64" s="9"/>
      <c r="L64" s="9"/>
      <c r="M64" s="9"/>
      <c r="N64" s="9"/>
    </row>
    <row r="65" spans="2:6" x14ac:dyDescent="0.2">
      <c r="B65" s="15"/>
    </row>
    <row r="66" spans="2:6" ht="12.75" x14ac:dyDescent="0.2">
      <c r="B66" s="16"/>
      <c r="C66" s="30" t="s">
        <v>155</v>
      </c>
      <c r="D66" s="88" t="e">
        <f>$D$18</f>
        <v>#N/A</v>
      </c>
      <c r="E66" s="6" t="s">
        <v>156</v>
      </c>
    </row>
    <row r="67" spans="2:6" x14ac:dyDescent="0.2">
      <c r="B67" s="16"/>
    </row>
    <row r="68" spans="2:6" ht="12.75" x14ac:dyDescent="0.2">
      <c r="B68" s="16"/>
      <c r="C68" s="30" t="s">
        <v>159</v>
      </c>
      <c r="D68" s="44">
        <v>8.1999999999999993</v>
      </c>
      <c r="E68" s="6" t="s">
        <v>182</v>
      </c>
      <c r="F68" s="45" t="s">
        <v>301</v>
      </c>
    </row>
    <row r="69" spans="2:6" ht="12.75" x14ac:dyDescent="0.2">
      <c r="B69" s="16"/>
      <c r="C69" s="36" t="s">
        <v>180</v>
      </c>
      <c r="D69" s="44">
        <v>8.5</v>
      </c>
      <c r="E69" s="6" t="s">
        <v>182</v>
      </c>
      <c r="F69" s="8"/>
    </row>
    <row r="70" spans="2:6" ht="12.75" x14ac:dyDescent="0.2">
      <c r="B70" s="16"/>
      <c r="C70" s="36" t="s">
        <v>181</v>
      </c>
      <c r="D70" s="44">
        <v>9.6</v>
      </c>
      <c r="E70" s="6" t="s">
        <v>182</v>
      </c>
      <c r="F70" s="8"/>
    </row>
    <row r="71" spans="2:6" x14ac:dyDescent="0.2">
      <c r="B71" s="16"/>
    </row>
    <row r="72" spans="2:6" x14ac:dyDescent="0.2">
      <c r="B72" s="16"/>
      <c r="C72" s="5" t="s">
        <v>250</v>
      </c>
      <c r="D72" s="5"/>
    </row>
    <row r="73" spans="2:6" ht="12.75" x14ac:dyDescent="0.2">
      <c r="B73" s="16"/>
      <c r="C73" s="53" t="s">
        <v>526</v>
      </c>
      <c r="D73" s="54">
        <f>374.55/1043</f>
        <v>0.35910834132310643</v>
      </c>
      <c r="E73" s="188" t="s">
        <v>176</v>
      </c>
      <c r="F73" s="45" t="s">
        <v>951</v>
      </c>
    </row>
    <row r="74" spans="2:6" ht="12.75" x14ac:dyDescent="0.2">
      <c r="B74" s="16"/>
      <c r="C74" s="36" t="s">
        <v>528</v>
      </c>
      <c r="D74" s="189">
        <v>0.25</v>
      </c>
      <c r="E74" s="45" t="s">
        <v>961</v>
      </c>
    </row>
    <row r="75" spans="2:6" x14ac:dyDescent="0.2">
      <c r="B75" s="16"/>
    </row>
    <row r="76" spans="2:6" ht="12.75" x14ac:dyDescent="0.2">
      <c r="B76" s="16"/>
      <c r="C76" s="36" t="s">
        <v>292</v>
      </c>
      <c r="D76" s="41" t="e">
        <f>($D$66/HPFUELCALC_REF_HEATINGLOAD)/($D68/HPFUELCALC_REF_CHP_HSPF)*HPONLYCALC_CHP_HPCONSUMPTION
+($D$66/HPFUELCALC_REF_HEATINGLOAD)*HPONLYCALC_CHP_CHPRESISTANCECONSUMPTION</f>
        <v>#N/A</v>
      </c>
      <c r="E76" s="6" t="s">
        <v>170</v>
      </c>
    </row>
    <row r="77" spans="2:6" ht="12.75" x14ac:dyDescent="0.2">
      <c r="B77" s="16"/>
      <c r="C77" s="36" t="s">
        <v>293</v>
      </c>
      <c r="D77" s="41" t="e">
        <f>($D$66/HPFUELCALC_REF_HEATINGLOAD)/($D69/HPFUELCALC_REF_CHP_HSPF)*HPONLYCALC_CHP_HPCONSUMPTION
+($D$66/HPFUELCALC_REF_HEATINGLOAD)*HPONLYCALC_CHP_CHPRESISTANCECONSUMPTION</f>
        <v>#N/A</v>
      </c>
      <c r="E77" s="6" t="s">
        <v>170</v>
      </c>
    </row>
    <row r="78" spans="2:6" ht="12.75" x14ac:dyDescent="0.2">
      <c r="B78" s="16"/>
      <c r="C78" s="36" t="s">
        <v>294</v>
      </c>
      <c r="D78" s="41" t="e">
        <f>($D$66/HPFUELCALC_REF_HEATINGLOAD)/($D70/HPFUELCALC_REF_CHP_HSPF)*HPONLYCALC_CHP_HPCONSUMPTION
+($D$66/HPFUELCALC_REF_HEATINGLOAD)*HPONLYCALC_CHP_CHPRESISTANCECONSUMPTION</f>
        <v>#N/A</v>
      </c>
      <c r="E78" s="6" t="s">
        <v>170</v>
      </c>
    </row>
    <row r="79" spans="2:6" x14ac:dyDescent="0.2">
      <c r="B79" s="16"/>
    </row>
    <row r="80" spans="2:6" ht="12.75" x14ac:dyDescent="0.2">
      <c r="B80" s="16"/>
      <c r="C80" s="30" t="s">
        <v>167</v>
      </c>
      <c r="D80" s="87" t="e">
        <f>$D$19</f>
        <v>#N/A</v>
      </c>
      <c r="E80" s="6" t="s">
        <v>156</v>
      </c>
    </row>
    <row r="81" spans="2:6" x14ac:dyDescent="0.2">
      <c r="B81" s="16"/>
    </row>
    <row r="82" spans="2:6" ht="12.75" x14ac:dyDescent="0.2">
      <c r="B82" s="16"/>
      <c r="C82" s="36" t="s">
        <v>168</v>
      </c>
      <c r="D82" s="44">
        <v>14</v>
      </c>
      <c r="E82" s="6" t="s">
        <v>169</v>
      </c>
      <c r="F82" s="45" t="s">
        <v>302</v>
      </c>
    </row>
    <row r="83" spans="2:6" ht="12.75" x14ac:dyDescent="0.2">
      <c r="B83" s="16"/>
      <c r="C83" s="36" t="s">
        <v>201</v>
      </c>
      <c r="D83" s="44">
        <v>16</v>
      </c>
      <c r="E83" s="6" t="s">
        <v>169</v>
      </c>
    </row>
    <row r="84" spans="2:6" ht="12.75" x14ac:dyDescent="0.2">
      <c r="B84" s="16"/>
      <c r="C84" s="36" t="s">
        <v>202</v>
      </c>
      <c r="D84" s="44">
        <v>18</v>
      </c>
      <c r="E84" s="6" t="s">
        <v>169</v>
      </c>
    </row>
    <row r="85" spans="2:6" x14ac:dyDescent="0.2">
      <c r="B85" s="16"/>
    </row>
    <row r="86" spans="2:6" ht="12.75" x14ac:dyDescent="0.2">
      <c r="B86" s="16"/>
      <c r="C86" s="36" t="s">
        <v>295</v>
      </c>
      <c r="D86" s="41" t="e">
        <f>1000*$D$80/D82</f>
        <v>#N/A</v>
      </c>
      <c r="E86" s="6" t="s">
        <v>170</v>
      </c>
      <c r="F86" s="45" t="s">
        <v>306</v>
      </c>
    </row>
    <row r="87" spans="2:6" ht="12.75" x14ac:dyDescent="0.2">
      <c r="B87" s="16"/>
      <c r="C87" s="36" t="s">
        <v>296</v>
      </c>
      <c r="D87" s="41" t="e">
        <f>1000*$D$80/D83</f>
        <v>#N/A</v>
      </c>
      <c r="E87" s="6" t="s">
        <v>170</v>
      </c>
    </row>
    <row r="88" spans="2:6" ht="12.75" x14ac:dyDescent="0.2">
      <c r="B88" s="16"/>
      <c r="C88" s="36" t="s">
        <v>297</v>
      </c>
      <c r="D88" s="41" t="e">
        <f>1000*$D$80/D84</f>
        <v>#N/A</v>
      </c>
      <c r="E88" s="6" t="s">
        <v>170</v>
      </c>
    </row>
    <row r="89" spans="2:6" x14ac:dyDescent="0.2">
      <c r="B89" s="16"/>
    </row>
    <row r="90" spans="2:6" ht="12.75" x14ac:dyDescent="0.2">
      <c r="B90" s="16"/>
      <c r="C90" s="36" t="s">
        <v>298</v>
      </c>
      <c r="D90" s="41" t="e">
        <f>D76+D86</f>
        <v>#N/A</v>
      </c>
      <c r="E90" s="6" t="s">
        <v>170</v>
      </c>
      <c r="F90" s="45" t="s">
        <v>307</v>
      </c>
    </row>
    <row r="91" spans="2:6" ht="12.75" x14ac:dyDescent="0.2">
      <c r="B91" s="16"/>
      <c r="C91" s="36" t="s">
        <v>299</v>
      </c>
      <c r="D91" s="41" t="e">
        <f>D77+D87</f>
        <v>#N/A</v>
      </c>
      <c r="E91" s="6" t="s">
        <v>170</v>
      </c>
    </row>
    <row r="92" spans="2:6" ht="12.75" x14ac:dyDescent="0.2">
      <c r="B92" s="16"/>
      <c r="C92" s="36" t="s">
        <v>300</v>
      </c>
      <c r="D92" s="41" t="e">
        <f>D78+D88</f>
        <v>#N/A</v>
      </c>
      <c r="E92" s="6" t="s">
        <v>170</v>
      </c>
    </row>
    <row r="93" spans="2:6" x14ac:dyDescent="0.2">
      <c r="B93" s="16"/>
    </row>
    <row r="94" spans="2:6" ht="12.75" x14ac:dyDescent="0.2">
      <c r="B94" s="16"/>
      <c r="C94" s="30" t="s">
        <v>163</v>
      </c>
      <c r="D94" s="42" t="e">
        <f>D90*PRICE_PER_KWH_2018_ELECTRICITY</f>
        <v>#N/A</v>
      </c>
      <c r="E94" s="6" t="s">
        <v>164</v>
      </c>
      <c r="F94" s="45" t="s">
        <v>308</v>
      </c>
    </row>
    <row r="95" spans="2:6" ht="12.75" x14ac:dyDescent="0.2">
      <c r="B95" s="16"/>
      <c r="C95" s="36" t="s">
        <v>203</v>
      </c>
      <c r="D95" s="42" t="e">
        <f>D91*PRICE_PER_KWH_2018_ELECTRICITY</f>
        <v>#N/A</v>
      </c>
      <c r="E95" s="6" t="s">
        <v>164</v>
      </c>
    </row>
    <row r="96" spans="2:6" ht="12.75" x14ac:dyDescent="0.2">
      <c r="B96" s="16"/>
      <c r="C96" s="36" t="s">
        <v>204</v>
      </c>
      <c r="D96" s="42" t="e">
        <f>D92*PRICE_PER_KWH_2018_ELECTRICITY</f>
        <v>#N/A</v>
      </c>
      <c r="E96" s="6" t="s">
        <v>164</v>
      </c>
    </row>
    <row r="97" spans="2:6" x14ac:dyDescent="0.2">
      <c r="B97" s="16"/>
    </row>
    <row r="98" spans="2:6" ht="12.75" x14ac:dyDescent="0.2">
      <c r="B98" s="16"/>
      <c r="C98" s="36" t="s">
        <v>205</v>
      </c>
      <c r="D98" s="43" t="e">
        <f>INPUT_CHP_SIZE_TONS</f>
        <v>#NAME?</v>
      </c>
    </row>
    <row r="99" spans="2:6" ht="12.75" x14ac:dyDescent="0.2">
      <c r="B99" s="16"/>
      <c r="C99" s="30" t="s">
        <v>172</v>
      </c>
      <c r="D99" s="41" t="e">
        <f>LEFT(D98,SEARCH("ton",D98,1)-2)</f>
        <v>#NAME?</v>
      </c>
      <c r="E99" s="6" t="s">
        <v>173</v>
      </c>
    </row>
    <row r="100" spans="2:6" x14ac:dyDescent="0.2">
      <c r="B100" s="16"/>
    </row>
    <row r="101" spans="2:6" ht="12.75" x14ac:dyDescent="0.2">
      <c r="B101" s="16"/>
      <c r="C101" s="36" t="s">
        <v>217</v>
      </c>
      <c r="D101" s="44">
        <v>8.1999999999999993</v>
      </c>
      <c r="E101" s="6" t="s">
        <v>182</v>
      </c>
      <c r="F101" s="45" t="s">
        <v>303</v>
      </c>
    </row>
    <row r="102" spans="2:6" ht="12.75" x14ac:dyDescent="0.2">
      <c r="B102" s="16"/>
      <c r="C102" s="36" t="s">
        <v>218</v>
      </c>
      <c r="D102" s="44">
        <v>8.5</v>
      </c>
      <c r="E102" s="6" t="s">
        <v>182</v>
      </c>
      <c r="F102" s="45"/>
    </row>
    <row r="103" spans="2:6" ht="12.75" x14ac:dyDescent="0.2">
      <c r="B103" s="16"/>
      <c r="C103" s="36" t="s">
        <v>219</v>
      </c>
      <c r="D103" s="44">
        <v>9.6</v>
      </c>
      <c r="E103" s="6" t="s">
        <v>182</v>
      </c>
      <c r="F103" s="45"/>
    </row>
    <row r="104" spans="2:6" x14ac:dyDescent="0.2">
      <c r="B104" s="16"/>
    </row>
    <row r="105" spans="2:6" ht="12.75" x14ac:dyDescent="0.2">
      <c r="B105" s="16"/>
      <c r="C105" s="36" t="s">
        <v>209</v>
      </c>
      <c r="D105" s="44">
        <v>0.31</v>
      </c>
      <c r="E105" s="45" t="s">
        <v>206</v>
      </c>
    </row>
    <row r="106" spans="2:6" ht="12.75" x14ac:dyDescent="0.2">
      <c r="B106" s="16"/>
      <c r="C106" s="36" t="s">
        <v>210</v>
      </c>
      <c r="D106" s="44">
        <v>0.54</v>
      </c>
      <c r="E106" s="45" t="s">
        <v>206</v>
      </c>
    </row>
    <row r="107" spans="2:6" x14ac:dyDescent="0.2">
      <c r="B107" s="16"/>
    </row>
    <row r="108" spans="2:6" ht="12.75" x14ac:dyDescent="0.2">
      <c r="B108" s="16"/>
      <c r="C108" s="36" t="s">
        <v>220</v>
      </c>
      <c r="D108" s="37" t="e">
        <f>$D$105*$D$99*12/D101</f>
        <v>#NAME?</v>
      </c>
      <c r="E108" s="6" t="s">
        <v>176</v>
      </c>
      <c r="F108" s="45" t="s">
        <v>216</v>
      </c>
    </row>
    <row r="109" spans="2:6" ht="12.75" x14ac:dyDescent="0.2">
      <c r="B109" s="16"/>
      <c r="C109" s="36" t="s">
        <v>221</v>
      </c>
      <c r="D109" s="37" t="e">
        <f>$D$105*$D$99*12/D102</f>
        <v>#NAME?</v>
      </c>
      <c r="E109" s="6" t="s">
        <v>176</v>
      </c>
    </row>
    <row r="110" spans="2:6" ht="12.75" x14ac:dyDescent="0.2">
      <c r="B110" s="16"/>
      <c r="C110" s="36" t="s">
        <v>222</v>
      </c>
      <c r="D110" s="46" t="e">
        <f>$D$106*$D$99*12/D103</f>
        <v>#NAME?</v>
      </c>
      <c r="E110" s="6" t="s">
        <v>176</v>
      </c>
    </row>
    <row r="111" spans="2:6" x14ac:dyDescent="0.2">
      <c r="B111" s="16"/>
    </row>
    <row r="112" spans="2:6" x14ac:dyDescent="0.2">
      <c r="B112" s="16"/>
    </row>
    <row r="113" spans="2:6" ht="12.75" x14ac:dyDescent="0.2">
      <c r="B113" s="16"/>
      <c r="C113" s="36" t="s">
        <v>208</v>
      </c>
      <c r="D113" s="44">
        <v>11.7</v>
      </c>
      <c r="E113" s="6" t="s">
        <v>175</v>
      </c>
      <c r="F113" s="45" t="s">
        <v>304</v>
      </c>
    </row>
    <row r="114" spans="2:6" ht="12.75" x14ac:dyDescent="0.2">
      <c r="B114" s="16"/>
      <c r="C114" s="36" t="s">
        <v>213</v>
      </c>
      <c r="D114" s="31">
        <f>$D$113</f>
        <v>11.7</v>
      </c>
      <c r="E114" s="6" t="s">
        <v>175</v>
      </c>
      <c r="F114" s="45" t="s">
        <v>223</v>
      </c>
    </row>
    <row r="115" spans="2:6" ht="12.75" x14ac:dyDescent="0.2">
      <c r="B115" s="16"/>
      <c r="C115" s="36" t="s">
        <v>214</v>
      </c>
      <c r="D115" s="31">
        <f>$D$113</f>
        <v>11.7</v>
      </c>
      <c r="E115" s="6" t="s">
        <v>175</v>
      </c>
      <c r="F115" s="45" t="s">
        <v>223</v>
      </c>
    </row>
    <row r="116" spans="2:6" x14ac:dyDescent="0.2">
      <c r="B116" s="16"/>
    </row>
    <row r="117" spans="2:6" ht="12.75" x14ac:dyDescent="0.2">
      <c r="B117" s="16"/>
      <c r="C117" s="36" t="s">
        <v>174</v>
      </c>
      <c r="D117" s="44">
        <v>0.5</v>
      </c>
      <c r="E117" s="45" t="s">
        <v>953</v>
      </c>
    </row>
    <row r="118" spans="2:6" x14ac:dyDescent="0.2">
      <c r="B118" s="16"/>
    </row>
    <row r="119" spans="2:6" ht="12.75" x14ac:dyDescent="0.2">
      <c r="B119" s="16"/>
      <c r="C119" s="36" t="s">
        <v>211</v>
      </c>
      <c r="D119" s="37" t="e">
        <f>$D$117*$D$99*12/D113</f>
        <v>#NAME?</v>
      </c>
      <c r="E119" s="6" t="s">
        <v>176</v>
      </c>
      <c r="F119" s="45"/>
    </row>
    <row r="120" spans="2:6" ht="12.75" x14ac:dyDescent="0.2">
      <c r="B120" s="16"/>
      <c r="C120" s="36" t="s">
        <v>212</v>
      </c>
      <c r="D120" s="37" t="e">
        <f>$D$117*$D$99*12/D114</f>
        <v>#NAME?</v>
      </c>
      <c r="E120" s="6" t="s">
        <v>176</v>
      </c>
    </row>
    <row r="121" spans="2:6" ht="12.75" x14ac:dyDescent="0.2">
      <c r="B121" s="16"/>
      <c r="C121" s="36" t="s">
        <v>215</v>
      </c>
      <c r="D121" s="37" t="e">
        <f>$D$117*$D$99*12/D115</f>
        <v>#NAME?</v>
      </c>
      <c r="E121" s="6" t="s">
        <v>176</v>
      </c>
    </row>
    <row r="122" spans="2:6" x14ac:dyDescent="0.2">
      <c r="B122" s="16"/>
    </row>
    <row r="123" spans="2:6" ht="12.75" x14ac:dyDescent="0.2">
      <c r="B123" s="16"/>
      <c r="C123" s="10" t="s">
        <v>1143</v>
      </c>
      <c r="D123" s="10"/>
    </row>
    <row r="124" spans="2:6" x14ac:dyDescent="0.2">
      <c r="B124" s="16"/>
      <c r="C124" s="6" t="s">
        <v>1154</v>
      </c>
    </row>
    <row r="125" spans="2:6" x14ac:dyDescent="0.2">
      <c r="B125" s="16"/>
      <c r="C125" s="6" t="s">
        <v>1153</v>
      </c>
    </row>
    <row r="126" spans="2:6" x14ac:dyDescent="0.2">
      <c r="B126" s="16"/>
      <c r="C126" s="6" t="s">
        <v>1152</v>
      </c>
    </row>
    <row r="127" spans="2:6" x14ac:dyDescent="0.2">
      <c r="B127" s="16"/>
      <c r="C127" s="6" t="s">
        <v>1146</v>
      </c>
      <c r="D127" s="42">
        <f>D128-(D129-D128)</f>
        <v>4983</v>
      </c>
      <c r="E127" s="6" t="s">
        <v>1145</v>
      </c>
    </row>
    <row r="128" spans="2:6" x14ac:dyDescent="0.2">
      <c r="B128" s="16"/>
      <c r="C128" s="6" t="s">
        <v>1147</v>
      </c>
      <c r="D128" s="42">
        <f>COST_HP_16SEER_NEW</f>
        <v>5121</v>
      </c>
      <c r="E128" s="6" t="s">
        <v>1145</v>
      </c>
    </row>
    <row r="129" spans="2:5" x14ac:dyDescent="0.2">
      <c r="B129" s="16"/>
      <c r="C129" s="6" t="s">
        <v>1148</v>
      </c>
      <c r="D129" s="42">
        <f>COST_HP_18SEER_NEW</f>
        <v>5259</v>
      </c>
      <c r="E129" s="6" t="s">
        <v>1145</v>
      </c>
    </row>
    <row r="130" spans="2:5" x14ac:dyDescent="0.2">
      <c r="B130" s="16"/>
    </row>
    <row r="131" spans="2:5" x14ac:dyDescent="0.2">
      <c r="B131" s="16"/>
      <c r="C131" s="6" t="s">
        <v>1151</v>
      </c>
    </row>
    <row r="132" spans="2:5" x14ac:dyDescent="0.2">
      <c r="B132" s="16"/>
      <c r="C132" s="6" t="s">
        <v>1146</v>
      </c>
      <c r="D132" s="406" t="e">
        <f>D127*$D$99</f>
        <v>#NAME?</v>
      </c>
      <c r="E132" s="6" t="s">
        <v>1149</v>
      </c>
    </row>
    <row r="133" spans="2:5" x14ac:dyDescent="0.2">
      <c r="B133" s="16"/>
      <c r="C133" s="6" t="s">
        <v>1147</v>
      </c>
      <c r="D133" s="406" t="e">
        <f>D128*$D$99</f>
        <v>#NAME?</v>
      </c>
      <c r="E133" s="6" t="s">
        <v>1149</v>
      </c>
    </row>
    <row r="134" spans="2:5" x14ac:dyDescent="0.2">
      <c r="B134" s="16"/>
      <c r="C134" s="6" t="s">
        <v>1148</v>
      </c>
      <c r="D134" s="406" t="e">
        <f>D129*$D$99</f>
        <v>#NAME?</v>
      </c>
      <c r="E134" s="6" t="s">
        <v>1149</v>
      </c>
    </row>
    <row r="135" spans="2:5" x14ac:dyDescent="0.2">
      <c r="B135" s="16"/>
    </row>
    <row r="136" spans="2:5" x14ac:dyDescent="0.2">
      <c r="B136" s="16"/>
    </row>
    <row r="137" spans="2:5" x14ac:dyDescent="0.2">
      <c r="B137" s="16"/>
    </row>
    <row r="138" spans="2:5" x14ac:dyDescent="0.2">
      <c r="B138" s="16"/>
    </row>
    <row r="139" spans="2:5" x14ac:dyDescent="0.2">
      <c r="B139" s="16"/>
    </row>
    <row r="140" spans="2:5" x14ac:dyDescent="0.2">
      <c r="B140" s="16"/>
    </row>
    <row r="141" spans="2:5" x14ac:dyDescent="0.2">
      <c r="B141" s="16"/>
    </row>
    <row r="142" spans="2:5" x14ac:dyDescent="0.2">
      <c r="B142" s="16"/>
    </row>
    <row r="143" spans="2:5" x14ac:dyDescent="0.2">
      <c r="B143" s="16"/>
    </row>
    <row r="144" spans="2:5" x14ac:dyDescent="0.2">
      <c r="B144" s="16"/>
    </row>
    <row r="145" spans="2:2" x14ac:dyDescent="0.2">
      <c r="B145" s="16"/>
    </row>
    <row r="146" spans="2:2" x14ac:dyDescent="0.2">
      <c r="B146" s="16"/>
    </row>
    <row r="147" spans="2:2" x14ac:dyDescent="0.2">
      <c r="B147" s="16"/>
    </row>
    <row r="148" spans="2:2" x14ac:dyDescent="0.2">
      <c r="B148" s="16"/>
    </row>
    <row r="149" spans="2:2" x14ac:dyDescent="0.2">
      <c r="B149" s="16"/>
    </row>
    <row r="150" spans="2:2" x14ac:dyDescent="0.2">
      <c r="B150" s="16"/>
    </row>
    <row r="151" spans="2:2" x14ac:dyDescent="0.2">
      <c r="B151" s="16"/>
    </row>
    <row r="152" spans="2:2" x14ac:dyDescent="0.2">
      <c r="B152" s="16"/>
    </row>
    <row r="153" spans="2:2" x14ac:dyDescent="0.2">
      <c r="B153" s="16"/>
    </row>
    <row r="154" spans="2:2" x14ac:dyDescent="0.2">
      <c r="B154" s="16"/>
    </row>
    <row r="155" spans="2:2" x14ac:dyDescent="0.2">
      <c r="B155" s="16"/>
    </row>
    <row r="156" spans="2:2" x14ac:dyDescent="0.2">
      <c r="B156" s="16"/>
    </row>
  </sheetData>
  <mergeCells count="20">
    <mergeCell ref="D52:E52"/>
    <mergeCell ref="F52:G52"/>
    <mergeCell ref="H52:I52"/>
    <mergeCell ref="J52:K52"/>
    <mergeCell ref="D50:E50"/>
    <mergeCell ref="F50:G50"/>
    <mergeCell ref="H50:I50"/>
    <mergeCell ref="J50:K50"/>
    <mergeCell ref="J51:K51"/>
    <mergeCell ref="H51:I51"/>
    <mergeCell ref="F51:G51"/>
    <mergeCell ref="D51:E51"/>
    <mergeCell ref="D61:G61"/>
    <mergeCell ref="D53:E53"/>
    <mergeCell ref="F53:G53"/>
    <mergeCell ref="H53:I53"/>
    <mergeCell ref="J53:K53"/>
    <mergeCell ref="D58:G58"/>
    <mergeCell ref="D59:G59"/>
    <mergeCell ref="D60:G60"/>
  </mergeCells>
  <dataValidations count="2">
    <dataValidation type="list" allowBlank="1" showInputMessage="1" showErrorMessage="1" sqref="D5">
      <formula1>"1. Not Started,2. Analyzing,3. Ready"</formula1>
    </dataValidation>
    <dataValidation type="list" allowBlank="1" showInputMessage="1" showErrorMessage="1" sqref="D9">
      <formula1>DEFINED_MEASURES</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3"/>
  </sheetPr>
  <dimension ref="A1:AD157"/>
  <sheetViews>
    <sheetView workbookViewId="0"/>
  </sheetViews>
  <sheetFormatPr defaultColWidth="9.33203125" defaultRowHeight="11.25" x14ac:dyDescent="0.2"/>
  <cols>
    <col min="1" max="2" width="3.33203125" style="6" customWidth="1"/>
    <col min="3" max="3" width="22.6640625" style="6" bestFit="1" customWidth="1"/>
    <col min="4" max="4" width="25.1640625" style="6" customWidth="1"/>
    <col min="5" max="5" width="19.33203125" style="6" customWidth="1"/>
    <col min="6" max="6" width="15" style="6" customWidth="1"/>
    <col min="7" max="7" width="13.5" style="6" customWidth="1"/>
    <col min="8" max="8" width="15.83203125" style="6" customWidth="1"/>
    <col min="9" max="9" width="22.33203125" style="6" bestFit="1" customWidth="1"/>
    <col min="10" max="10" width="20.5" style="6" bestFit="1" customWidth="1"/>
    <col min="11"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29" t="s">
        <v>89</v>
      </c>
      <c r="E9" s="7" t="s">
        <v>290</v>
      </c>
    </row>
    <row r="10" spans="1:30" ht="12.75" x14ac:dyDescent="0.2">
      <c r="B10" s="16"/>
      <c r="C10" s="30" t="s">
        <v>289</v>
      </c>
      <c r="D10" s="83" t="e">
        <f>INDEX(Tbl_MeasureList[Baseline ID],MATCH($D$9,Tbl_MeasureList[Measure ID],0))</f>
        <v>#N/A</v>
      </c>
      <c r="E10" s="7"/>
    </row>
    <row r="11" spans="1:30" x14ac:dyDescent="0.2">
      <c r="B11" s="16"/>
      <c r="C11" s="7"/>
      <c r="D11" s="7"/>
      <c r="E11" s="7"/>
    </row>
    <row r="12" spans="1:30" ht="12" thickBot="1" x14ac:dyDescent="0.25">
      <c r="B12" s="16"/>
      <c r="C12" s="7"/>
      <c r="D12" s="82" t="s">
        <v>5</v>
      </c>
      <c r="E12" s="82" t="s">
        <v>284</v>
      </c>
    </row>
    <row r="13" spans="1:30" x14ac:dyDescent="0.2">
      <c r="B13" s="16"/>
      <c r="C13" s="32" t="s">
        <v>2</v>
      </c>
      <c r="D13" s="84" t="e">
        <f>INDEX(Tbl_MeasureList[Baseline Equipment ID],MATCH($D$9,Tbl_MeasureList[Measure ID],0))</f>
        <v>#N/A</v>
      </c>
      <c r="E13" s="84" t="e">
        <f>INDEX(Tbl_MeasureList[Replacement ID],MATCH($D$9,Tbl_MeasureList[Measure ID],0))</f>
        <v>#N/A</v>
      </c>
      <c r="F13" s="7"/>
    </row>
    <row r="14" spans="1:30" x14ac:dyDescent="0.2">
      <c r="B14" s="16"/>
      <c r="C14" s="32" t="s">
        <v>4</v>
      </c>
      <c r="D14" s="85" t="e">
        <f>INDEX(Tbl_EquipmentDefinitions[[Equipment Name]:[Equipment Name]],MATCH(D$13,Tbl_EquipmentDefinitions[[Equipment ID]:[Equipment ID]],0))</f>
        <v>#N/A</v>
      </c>
      <c r="E14" s="85" t="e">
        <f>INDEX(Tbl_EquipmentDefinitions[[Equipment Name]:[Equipment Name]],MATCH(E$13,Tbl_EquipmentDefinitions[[Equipment ID]:[Equipment ID]],0))</f>
        <v>#N/A</v>
      </c>
      <c r="F14" s="7"/>
    </row>
    <row r="15" spans="1:30" x14ac:dyDescent="0.2">
      <c r="B15" s="16"/>
      <c r="C15" s="32" t="s">
        <v>24</v>
      </c>
      <c r="D15" s="84" t="e">
        <f>INDEX(Tbl_EquipmentDefinitions[[Function]:[Function]],MATCH(D$13,Tbl_EquipmentDefinitions[[Equipment ID]:[Equipment ID]],0))</f>
        <v>#N/A</v>
      </c>
      <c r="E15" s="84" t="e">
        <f>INDEX(Tbl_EquipmentDefinitions[[Function]:[Function]],MATCH(E$13,Tbl_EquipmentDefinitions[[Equipment ID]:[Equipment ID]],0))</f>
        <v>#N/A</v>
      </c>
      <c r="F15" s="7"/>
    </row>
    <row r="16" spans="1:30" x14ac:dyDescent="0.2">
      <c r="B16" s="16"/>
      <c r="C16" s="32" t="s">
        <v>7</v>
      </c>
      <c r="D16" s="85" t="e">
        <f>INDEX(Tbl_EquipmentDefinitions[[Fuel Type]:[Fuel Type]],MATCH(D$13,Tbl_EquipmentDefinitions[[Equipment ID]:[Equipment ID]],0))</f>
        <v>#N/A</v>
      </c>
      <c r="E16" s="85" t="e">
        <f>INDEX(Tbl_EquipmentDefinitions[[Fuel Type]:[Fuel Type]],MATCH(E$13,Tbl_EquipmentDefinitions[[Equipment ID]:[Equipment ID]],0))</f>
        <v>#N/A</v>
      </c>
      <c r="F16" s="7"/>
    </row>
    <row r="17" spans="2:14" x14ac:dyDescent="0.2">
      <c r="B17" s="16"/>
      <c r="C17" s="32" t="s">
        <v>126</v>
      </c>
      <c r="D17" s="84">
        <f>IF(ISERR(SEARCH("+",D16,1)),1,2)</f>
        <v>2</v>
      </c>
      <c r="E17" s="84">
        <f>IF(ISERR(SEARCH("+",E16,1)),1,2)</f>
        <v>2</v>
      </c>
      <c r="F17" s="7"/>
    </row>
    <row r="18" spans="2:14" x14ac:dyDescent="0.2">
      <c r="B18" s="16"/>
      <c r="C18" s="32" t="s">
        <v>155</v>
      </c>
      <c r="D18" s="86" t="e">
        <f>INDEX(Tbl_BaselineSummary[Space Heating Load (MMBtu/yr)],MATCH($D$10,Tbl_BaselineSummary[Baseline ID],0))</f>
        <v>#N/A</v>
      </c>
      <c r="F18" s="7"/>
    </row>
    <row r="19" spans="2:14" x14ac:dyDescent="0.2">
      <c r="B19" s="16"/>
      <c r="C19" s="32" t="s">
        <v>167</v>
      </c>
      <c r="D19" s="84" t="e">
        <f>INDEX(Tbl_BaselineSummary[Space Cooling Load (MMBtu/yr)],MATCH($D$10,Tbl_BaselineSummary[Baseline ID],0))</f>
        <v>#N/A</v>
      </c>
      <c r="F19" s="7"/>
    </row>
    <row r="20" spans="2:14" x14ac:dyDescent="0.2">
      <c r="B20" s="16"/>
      <c r="C20" s="32" t="s">
        <v>244</v>
      </c>
      <c r="D20" s="86" t="e">
        <f>INDEX(Tbl_BaselineSummary[Water Heating Load (MMBtu/yr)],MATCH($D$10,Tbl_BaselineSummary[Baseline ID],0))</f>
        <v>#N/A</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82" t="s">
        <v>127</v>
      </c>
      <c r="D25" s="281" t="s">
        <v>345</v>
      </c>
      <c r="E25" s="385" t="s">
        <v>956</v>
      </c>
      <c r="F25" s="281" t="s">
        <v>326</v>
      </c>
      <c r="G25" s="421" t="s">
        <v>1532</v>
      </c>
      <c r="H25" s="385" t="s">
        <v>958</v>
      </c>
      <c r="I25" s="569" t="s">
        <v>1447</v>
      </c>
      <c r="J25" s="569" t="s">
        <v>1448</v>
      </c>
      <c r="L25" s="82" t="s">
        <v>1533</v>
      </c>
      <c r="M25" s="421" t="s">
        <v>1531</v>
      </c>
    </row>
    <row r="26" spans="2:14" ht="11.25" customHeight="1" x14ac:dyDescent="0.2">
      <c r="B26" s="16"/>
      <c r="C26" s="32" t="s">
        <v>6</v>
      </c>
      <c r="D26" s="122" t="e">
        <f>D90</f>
        <v>#N/A</v>
      </c>
      <c r="E26" s="126" t="e">
        <f>D108</f>
        <v>#NAME?</v>
      </c>
      <c r="F26" s="111" t="e">
        <f>D94</f>
        <v>#N/A</v>
      </c>
      <c r="G26" s="296" t="e">
        <f>D132</f>
        <v>#NAME?</v>
      </c>
      <c r="H26" s="126" t="e">
        <f>D119</f>
        <v>#NAME?</v>
      </c>
      <c r="I26" s="202" t="e">
        <f>D86</f>
        <v>#N/A</v>
      </c>
      <c r="J26" s="202" t="e">
        <f>D76</f>
        <v>#N/A</v>
      </c>
      <c r="L26" s="84" t="e">
        <f t="shared" ref="L26:M28" si="0">F26+E32+E38+E44</f>
        <v>#N/A</v>
      </c>
      <c r="M26" s="86" t="e">
        <f t="shared" si="0"/>
        <v>#NAME?</v>
      </c>
    </row>
    <row r="27" spans="2:14" x14ac:dyDescent="0.2">
      <c r="B27" s="16"/>
      <c r="C27" s="32" t="s">
        <v>19</v>
      </c>
      <c r="D27" s="122" t="e">
        <f>D91</f>
        <v>#N/A</v>
      </c>
      <c r="E27" s="126" t="e">
        <f>D109</f>
        <v>#NAME?</v>
      </c>
      <c r="F27" s="111" t="e">
        <f>D95</f>
        <v>#N/A</v>
      </c>
      <c r="G27" s="296" t="e">
        <f>D133</f>
        <v>#NAME?</v>
      </c>
      <c r="H27" s="126" t="e">
        <f t="shared" ref="H27:H28" si="1">D120</f>
        <v>#NAME?</v>
      </c>
      <c r="I27" s="202" t="e">
        <f t="shared" ref="I27:I28" si="2">D87</f>
        <v>#N/A</v>
      </c>
      <c r="J27" s="202" t="e">
        <f t="shared" ref="J27:J28" si="3">D77</f>
        <v>#N/A</v>
      </c>
      <c r="L27" s="84" t="e">
        <f t="shared" si="0"/>
        <v>#N/A</v>
      </c>
      <c r="M27" s="86" t="e">
        <f t="shared" si="0"/>
        <v>#NAME?</v>
      </c>
    </row>
    <row r="28" spans="2:14" x14ac:dyDescent="0.2">
      <c r="B28" s="16"/>
      <c r="C28" s="32" t="s">
        <v>20</v>
      </c>
      <c r="D28" s="122" t="e">
        <f>D92</f>
        <v>#N/A</v>
      </c>
      <c r="E28" s="126" t="e">
        <f>D110</f>
        <v>#NAME?</v>
      </c>
      <c r="F28" s="111" t="e">
        <f>D96</f>
        <v>#N/A</v>
      </c>
      <c r="G28" s="296" t="e">
        <f>D134</f>
        <v>#NAME?</v>
      </c>
      <c r="H28" s="126" t="e">
        <f t="shared" si="1"/>
        <v>#NAME?</v>
      </c>
      <c r="I28" s="202" t="e">
        <f t="shared" si="2"/>
        <v>#N/A</v>
      </c>
      <c r="J28" s="202" t="e">
        <f t="shared" si="3"/>
        <v>#N/A</v>
      </c>
      <c r="L28" s="84" t="e">
        <f t="shared" si="0"/>
        <v>#N/A</v>
      </c>
      <c r="M28" s="86" t="e">
        <f t="shared" si="0"/>
        <v>#NAME?</v>
      </c>
    </row>
    <row r="29" spans="2:14" x14ac:dyDescent="0.2">
      <c r="B29" s="16"/>
    </row>
    <row r="30" spans="2:14" ht="12.75" thickBot="1" x14ac:dyDescent="0.25">
      <c r="B30" s="16"/>
      <c r="C30" s="34" t="s">
        <v>55</v>
      </c>
      <c r="D30" s="34"/>
      <c r="E30" s="33"/>
      <c r="F30" s="33"/>
    </row>
    <row r="31" spans="2:14" ht="23.25" thickBot="1" x14ac:dyDescent="0.25">
      <c r="B31" s="16"/>
      <c r="C31" s="82" t="s">
        <v>127</v>
      </c>
      <c r="D31" s="281" t="s">
        <v>325</v>
      </c>
      <c r="E31" s="281" t="s">
        <v>326</v>
      </c>
      <c r="F31" s="421" t="s">
        <v>1532</v>
      </c>
    </row>
    <row r="32" spans="2:14" x14ac:dyDescent="0.2">
      <c r="B32" s="16"/>
      <c r="C32" s="32" t="s">
        <v>6</v>
      </c>
      <c r="D32" s="40">
        <v>0</v>
      </c>
      <c r="E32" s="39">
        <v>0</v>
      </c>
      <c r="F32" s="39">
        <v>0</v>
      </c>
      <c r="G32" s="7" t="s">
        <v>128</v>
      </c>
    </row>
    <row r="33" spans="2:14" x14ac:dyDescent="0.2">
      <c r="B33" s="16"/>
      <c r="C33" s="32" t="s">
        <v>19</v>
      </c>
      <c r="D33" s="40">
        <v>0</v>
      </c>
      <c r="E33" s="39">
        <v>0</v>
      </c>
      <c r="F33" s="39">
        <v>0</v>
      </c>
    </row>
    <row r="34" spans="2:14" x14ac:dyDescent="0.2">
      <c r="B34" s="16"/>
      <c r="C34" s="32" t="s">
        <v>20</v>
      </c>
      <c r="D34" s="40">
        <v>0</v>
      </c>
      <c r="E34" s="39">
        <v>0</v>
      </c>
      <c r="F34" s="39">
        <v>0</v>
      </c>
    </row>
    <row r="35" spans="2:14" x14ac:dyDescent="0.2">
      <c r="B35" s="16"/>
    </row>
    <row r="36" spans="2:14" ht="12.75" thickBot="1" x14ac:dyDescent="0.25">
      <c r="B36" s="16"/>
      <c r="C36" s="34" t="s">
        <v>28</v>
      </c>
      <c r="D36" s="34"/>
      <c r="E36" s="33"/>
      <c r="F36" s="33"/>
    </row>
    <row r="37" spans="2:14" ht="23.25" thickBot="1" x14ac:dyDescent="0.25">
      <c r="B37" s="16"/>
      <c r="C37" s="82" t="s">
        <v>127</v>
      </c>
      <c r="D37" s="281" t="s">
        <v>756</v>
      </c>
      <c r="E37" s="281" t="s">
        <v>326</v>
      </c>
      <c r="F37" s="421"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23.25" thickBot="1" x14ac:dyDescent="0.25">
      <c r="B43" s="16"/>
      <c r="C43" s="82" t="s">
        <v>127</v>
      </c>
      <c r="D43" s="281" t="s">
        <v>756</v>
      </c>
      <c r="E43" s="281" t="s">
        <v>326</v>
      </c>
      <c r="F43" s="421" t="s">
        <v>1532</v>
      </c>
    </row>
    <row r="44" spans="2:14" x14ac:dyDescent="0.2">
      <c r="B44" s="16"/>
      <c r="C44" s="32" t="s">
        <v>6</v>
      </c>
      <c r="D44" s="40">
        <v>0</v>
      </c>
      <c r="E44" s="39">
        <v>0</v>
      </c>
      <c r="F44" s="39">
        <v>0</v>
      </c>
      <c r="G44" s="7" t="s">
        <v>128</v>
      </c>
    </row>
    <row r="45" spans="2:14" x14ac:dyDescent="0.2">
      <c r="B45" s="16"/>
      <c r="C45" s="32" t="s">
        <v>19</v>
      </c>
      <c r="D45" s="40">
        <v>0</v>
      </c>
      <c r="E45" s="39">
        <v>0</v>
      </c>
      <c r="F45" s="39">
        <v>0</v>
      </c>
    </row>
    <row r="46" spans="2:14" x14ac:dyDescent="0.2">
      <c r="B46" s="16"/>
      <c r="C46" s="32" t="s">
        <v>20</v>
      </c>
      <c r="D46" s="40">
        <v>0</v>
      </c>
      <c r="E46" s="39">
        <v>0</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e">
        <f>INDEX(Tbl_EquipmentDefinitions[Electricity Code Efficiency],MATCH($E$13,Tbl_EquipmentDefinitions[Equipment ID],0))</f>
        <v>#N/A</v>
      </c>
      <c r="E51" s="690"/>
      <c r="F51" s="693" t="e">
        <f>INDEX(Tbl_EquipmentDefinitions[Natural Gas Code Efficiency],MATCH($E$13,Tbl_EquipmentDefinitions[Equipment ID],0))</f>
        <v>#N/A</v>
      </c>
      <c r="G51" s="690"/>
      <c r="H51" s="693" t="e">
        <f>INDEX(Tbl_EquipmentDefinitions[Propane Code Efficiency],MATCH($E$13,Tbl_EquipmentDefinitions[Equipment ID],0))</f>
        <v>#N/A</v>
      </c>
      <c r="I51" s="690"/>
      <c r="J51" s="693" t="e">
        <f>INDEX(Tbl_EquipmentDefinitions[Oil Code Efficiency],MATCH($E$13,Tbl_EquipmentDefinitions[Equipment ID],0))</f>
        <v>#N/A</v>
      </c>
      <c r="K51" s="690"/>
    </row>
    <row r="52" spans="2:14" ht="12.75" x14ac:dyDescent="0.2">
      <c r="B52" s="16"/>
      <c r="C52" s="30" t="s">
        <v>153</v>
      </c>
      <c r="D52" s="689" t="e">
        <f>INDEX(Tbl_EquipmentDefinitions[Electricity Low Measure Efficiency],MATCH($E$13,Tbl_EquipmentDefinitions[Equipment ID],0))</f>
        <v>#N/A</v>
      </c>
      <c r="E52" s="690"/>
      <c r="F52" s="689" t="e">
        <f>INDEX(Tbl_EquipmentDefinitions[Natural Gas Low Measure Efficiency],MATCH($E$13,Tbl_EquipmentDefinitions[Equipment ID],0))</f>
        <v>#N/A</v>
      </c>
      <c r="G52" s="690"/>
      <c r="H52" s="689" t="e">
        <f>INDEX(Tbl_EquipmentDefinitions[Propane Low Measure Efficiency],MATCH($E$13,Tbl_EquipmentDefinitions[Equipment ID],0))</f>
        <v>#N/A</v>
      </c>
      <c r="I52" s="690"/>
      <c r="J52" s="689" t="e">
        <f>INDEX(Tbl_EquipmentDefinitions[Oil Low Measure Efficiency],MATCH($E$13,Tbl_EquipmentDefinitions[Equipment ID],0))</f>
        <v>#N/A</v>
      </c>
      <c r="K52" s="690"/>
    </row>
    <row r="53" spans="2:14" ht="12.75" x14ac:dyDescent="0.2">
      <c r="B53" s="16"/>
      <c r="C53" s="30" t="s">
        <v>154</v>
      </c>
      <c r="D53" s="689" t="e">
        <f>INDEX(Tbl_EquipmentDefinitions[Electricity High Measure Efficiency],MATCH($E$13,Tbl_EquipmentDefinitions[Equipment ID],0))</f>
        <v>#N/A</v>
      </c>
      <c r="E53" s="690"/>
      <c r="F53" s="689" t="e">
        <f>INDEX(Tbl_EquipmentDefinitions[Natural Gas High Measure Efficiency],MATCH($E$13,Tbl_EquipmentDefinitions[Equipment ID],0))</f>
        <v>#N/A</v>
      </c>
      <c r="G53" s="690"/>
      <c r="H53" s="689" t="e">
        <f>INDEX(Tbl_EquipmentDefinitions[Propane High Measure Efficiency],MATCH($E$13,Tbl_EquipmentDefinitions[Equipment ID],0))</f>
        <v>#N/A</v>
      </c>
      <c r="I53" s="690"/>
      <c r="J53" s="689" t="e">
        <f>INDEX(Tbl_EquipmentDefinitions[Oil High Measure Efficiency],MATCH($E$13,Tbl_EquipmentDefinitions[Equipment ID],0))</f>
        <v>#N/A</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82" t="s">
        <v>131</v>
      </c>
      <c r="D58" s="691" t="s">
        <v>132</v>
      </c>
      <c r="E58" s="692"/>
      <c r="F58" s="692"/>
      <c r="G58" s="692"/>
    </row>
    <row r="59" spans="2:14" x14ac:dyDescent="0.2">
      <c r="B59" s="16"/>
      <c r="C59" s="32" t="s">
        <v>207</v>
      </c>
      <c r="D59" s="696" t="s">
        <v>206</v>
      </c>
      <c r="E59" s="697"/>
      <c r="F59" s="697"/>
      <c r="G59" s="697"/>
    </row>
    <row r="60" spans="2:14" x14ac:dyDescent="0.2">
      <c r="B60" s="16"/>
      <c r="C60" s="32" t="s">
        <v>174</v>
      </c>
      <c r="D60" s="698" t="s">
        <v>206</v>
      </c>
      <c r="E60" s="699"/>
      <c r="F60" s="699"/>
      <c r="G60" s="699"/>
    </row>
    <row r="61" spans="2:14" x14ac:dyDescent="0.2">
      <c r="B61" s="16"/>
      <c r="C61" s="32" t="s">
        <v>309</v>
      </c>
      <c r="D61" s="698" t="s">
        <v>282</v>
      </c>
      <c r="E61" s="699"/>
      <c r="F61" s="699"/>
      <c r="G61" s="699"/>
    </row>
    <row r="62" spans="2:14" x14ac:dyDescent="0.2">
      <c r="B62" s="16"/>
    </row>
    <row r="64" spans="2:14" ht="13.5" thickBot="1" x14ac:dyDescent="0.25">
      <c r="B64" s="9" t="s">
        <v>129</v>
      </c>
      <c r="C64" s="9"/>
      <c r="D64" s="9"/>
      <c r="E64" s="9"/>
      <c r="F64" s="9"/>
      <c r="G64" s="9"/>
      <c r="H64" s="9"/>
      <c r="I64" s="9"/>
      <c r="J64" s="9"/>
      <c r="K64" s="9"/>
      <c r="L64" s="9"/>
      <c r="M64" s="9"/>
      <c r="N64" s="9"/>
    </row>
    <row r="65" spans="2:6" x14ac:dyDescent="0.2">
      <c r="B65" s="15"/>
    </row>
    <row r="66" spans="2:6" ht="12.75" x14ac:dyDescent="0.2">
      <c r="B66" s="16"/>
      <c r="C66" s="30" t="s">
        <v>155</v>
      </c>
      <c r="D66" s="88" t="e">
        <f>$D$18</f>
        <v>#N/A</v>
      </c>
      <c r="E66" s="6" t="s">
        <v>156</v>
      </c>
    </row>
    <row r="67" spans="2:6" x14ac:dyDescent="0.2">
      <c r="B67" s="16"/>
    </row>
    <row r="68" spans="2:6" ht="12.75" x14ac:dyDescent="0.2">
      <c r="B68" s="16"/>
      <c r="C68" s="30" t="s">
        <v>159</v>
      </c>
      <c r="D68" s="44">
        <v>8.1999999999999993</v>
      </c>
      <c r="E68" s="6" t="s">
        <v>182</v>
      </c>
      <c r="F68" s="45" t="s">
        <v>301</v>
      </c>
    </row>
    <row r="69" spans="2:6" ht="12.75" x14ac:dyDescent="0.2">
      <c r="B69" s="16"/>
      <c r="C69" s="36" t="s">
        <v>180</v>
      </c>
      <c r="D69" s="44">
        <v>8.5</v>
      </c>
      <c r="E69" s="6" t="s">
        <v>182</v>
      </c>
      <c r="F69" s="8"/>
    </row>
    <row r="70" spans="2:6" ht="12.75" x14ac:dyDescent="0.2">
      <c r="B70" s="16"/>
      <c r="C70" s="36" t="s">
        <v>181</v>
      </c>
      <c r="D70" s="44">
        <v>9.6</v>
      </c>
      <c r="E70" s="6" t="s">
        <v>182</v>
      </c>
      <c r="F70" s="8"/>
    </row>
    <row r="71" spans="2:6" x14ac:dyDescent="0.2">
      <c r="B71" s="16"/>
    </row>
    <row r="72" spans="2:6" x14ac:dyDescent="0.2">
      <c r="B72" s="16"/>
      <c r="C72" s="5" t="s">
        <v>250</v>
      </c>
      <c r="D72" s="5"/>
    </row>
    <row r="73" spans="2:6" ht="12.75" x14ac:dyDescent="0.2">
      <c r="B73" s="16"/>
      <c r="C73" s="53" t="s">
        <v>526</v>
      </c>
      <c r="D73" s="54">
        <f>374.55/1043</f>
        <v>0.35910834132310643</v>
      </c>
      <c r="E73" s="188" t="s">
        <v>176</v>
      </c>
      <c r="F73" s="45" t="s">
        <v>951</v>
      </c>
    </row>
    <row r="74" spans="2:6" ht="12.75" x14ac:dyDescent="0.2">
      <c r="B74" s="16"/>
      <c r="C74" s="36" t="s">
        <v>528</v>
      </c>
      <c r="D74" s="189">
        <v>0.25</v>
      </c>
      <c r="E74" s="45" t="s">
        <v>961</v>
      </c>
    </row>
    <row r="75" spans="2:6" x14ac:dyDescent="0.2">
      <c r="B75" s="16"/>
    </row>
    <row r="76" spans="2:6" ht="12.75" x14ac:dyDescent="0.2">
      <c r="B76" s="16"/>
      <c r="C76" s="36" t="s">
        <v>292</v>
      </c>
      <c r="D76" s="41" t="e">
        <f>($D$66/HPFUELCALC_REF_HEATINGLOAD)/($D68/HPFUELCALC_REF_CHP_HSPF)*HPONLYCALC_CHP_HPCONSUMPTION
+($D$66/HPFUELCALC_REF_HEATINGLOAD)*HPONLYCALC_CHP_CHPRESISTANCECONSUMPTION</f>
        <v>#N/A</v>
      </c>
      <c r="E76" s="6" t="s">
        <v>170</v>
      </c>
    </row>
    <row r="77" spans="2:6" ht="12.75" x14ac:dyDescent="0.2">
      <c r="B77" s="16"/>
      <c r="C77" s="36" t="s">
        <v>293</v>
      </c>
      <c r="D77" s="41" t="e">
        <f>($D$66/HPFUELCALC_REF_HEATINGLOAD)/($D69/HPFUELCALC_REF_CHP_HSPF)*HPONLYCALC_CHP_HPCONSUMPTION
+($D$66/HPFUELCALC_REF_HEATINGLOAD)*HPONLYCALC_CHP_CHPRESISTANCECONSUMPTION</f>
        <v>#N/A</v>
      </c>
      <c r="E77" s="6" t="s">
        <v>170</v>
      </c>
    </row>
    <row r="78" spans="2:6" ht="12.75" x14ac:dyDescent="0.2">
      <c r="B78" s="16"/>
      <c r="C78" s="36" t="s">
        <v>294</v>
      </c>
      <c r="D78" s="41" t="e">
        <f>($D$66/HPFUELCALC_REF_HEATINGLOAD)/($D70/HPFUELCALC_REF_CHP_HSPF)*HPONLYCALC_CHP_HPCONSUMPTION
+($D$66/HPFUELCALC_REF_HEATINGLOAD)*HPONLYCALC_CHP_CHPRESISTANCECONSUMPTION</f>
        <v>#N/A</v>
      </c>
      <c r="E78" s="6" t="s">
        <v>170</v>
      </c>
    </row>
    <row r="79" spans="2:6" x14ac:dyDescent="0.2">
      <c r="B79" s="16"/>
    </row>
    <row r="80" spans="2:6" ht="12.75" x14ac:dyDescent="0.2">
      <c r="B80" s="16"/>
      <c r="C80" s="30" t="s">
        <v>167</v>
      </c>
      <c r="D80" s="87" t="e">
        <f>$D$19</f>
        <v>#N/A</v>
      </c>
      <c r="E80" s="6" t="s">
        <v>156</v>
      </c>
    </row>
    <row r="81" spans="2:6" x14ac:dyDescent="0.2">
      <c r="B81" s="16"/>
    </row>
    <row r="82" spans="2:6" ht="12.75" x14ac:dyDescent="0.2">
      <c r="B82" s="16"/>
      <c r="C82" s="36" t="s">
        <v>168</v>
      </c>
      <c r="D82" s="44">
        <v>14</v>
      </c>
      <c r="E82" s="6" t="s">
        <v>169</v>
      </c>
      <c r="F82" s="45" t="s">
        <v>302</v>
      </c>
    </row>
    <row r="83" spans="2:6" ht="12.75" x14ac:dyDescent="0.2">
      <c r="B83" s="16"/>
      <c r="C83" s="36" t="s">
        <v>201</v>
      </c>
      <c r="D83" s="44">
        <v>16</v>
      </c>
      <c r="E83" s="6" t="s">
        <v>169</v>
      </c>
    </row>
    <row r="84" spans="2:6" ht="12.75" x14ac:dyDescent="0.2">
      <c r="B84" s="16"/>
      <c r="C84" s="36" t="s">
        <v>202</v>
      </c>
      <c r="D84" s="44">
        <v>18</v>
      </c>
      <c r="E84" s="6" t="s">
        <v>169</v>
      </c>
    </row>
    <row r="85" spans="2:6" x14ac:dyDescent="0.2">
      <c r="B85" s="16"/>
    </row>
    <row r="86" spans="2:6" ht="12.75" x14ac:dyDescent="0.2">
      <c r="B86" s="16"/>
      <c r="C86" s="36" t="s">
        <v>295</v>
      </c>
      <c r="D86" s="41" t="e">
        <f>1000*$D$80/D82</f>
        <v>#N/A</v>
      </c>
      <c r="E86" s="6" t="s">
        <v>170</v>
      </c>
      <c r="F86" s="45" t="s">
        <v>306</v>
      </c>
    </row>
    <row r="87" spans="2:6" ht="12.75" x14ac:dyDescent="0.2">
      <c r="B87" s="16"/>
      <c r="C87" s="36" t="s">
        <v>296</v>
      </c>
      <c r="D87" s="41" t="e">
        <f>1000*$D$80/D83</f>
        <v>#N/A</v>
      </c>
      <c r="E87" s="6" t="s">
        <v>170</v>
      </c>
    </row>
    <row r="88" spans="2:6" ht="12.75" x14ac:dyDescent="0.2">
      <c r="B88" s="16"/>
      <c r="C88" s="36" t="s">
        <v>297</v>
      </c>
      <c r="D88" s="41" t="e">
        <f>1000*$D$80/D84</f>
        <v>#N/A</v>
      </c>
      <c r="E88" s="6" t="s">
        <v>170</v>
      </c>
    </row>
    <row r="89" spans="2:6" x14ac:dyDescent="0.2">
      <c r="B89" s="16"/>
    </row>
    <row r="90" spans="2:6" ht="12.75" x14ac:dyDescent="0.2">
      <c r="B90" s="16"/>
      <c r="C90" s="36" t="s">
        <v>298</v>
      </c>
      <c r="D90" s="41" t="e">
        <f>D76+D86</f>
        <v>#N/A</v>
      </c>
      <c r="E90" s="6" t="s">
        <v>170</v>
      </c>
      <c r="F90" s="45" t="s">
        <v>307</v>
      </c>
    </row>
    <row r="91" spans="2:6" ht="12.75" x14ac:dyDescent="0.2">
      <c r="B91" s="16"/>
      <c r="C91" s="36" t="s">
        <v>299</v>
      </c>
      <c r="D91" s="41" t="e">
        <f>D77+D87</f>
        <v>#N/A</v>
      </c>
      <c r="E91" s="6" t="s">
        <v>170</v>
      </c>
    </row>
    <row r="92" spans="2:6" ht="12.75" x14ac:dyDescent="0.2">
      <c r="B92" s="16"/>
      <c r="C92" s="36" t="s">
        <v>300</v>
      </c>
      <c r="D92" s="41" t="e">
        <f>D78+D88</f>
        <v>#N/A</v>
      </c>
      <c r="E92" s="6" t="s">
        <v>170</v>
      </c>
    </row>
    <row r="93" spans="2:6" x14ac:dyDescent="0.2">
      <c r="B93" s="16"/>
    </row>
    <row r="94" spans="2:6" ht="12.75" x14ac:dyDescent="0.2">
      <c r="B94" s="16"/>
      <c r="C94" s="30" t="s">
        <v>163</v>
      </c>
      <c r="D94" s="42" t="e">
        <f>D90*PRICE_PER_KWH_2018_ELECTRICITY</f>
        <v>#N/A</v>
      </c>
      <c r="E94" s="6" t="s">
        <v>164</v>
      </c>
      <c r="F94" s="45" t="s">
        <v>308</v>
      </c>
    </row>
    <row r="95" spans="2:6" ht="12.75" x14ac:dyDescent="0.2">
      <c r="B95" s="16"/>
      <c r="C95" s="36" t="s">
        <v>203</v>
      </c>
      <c r="D95" s="42" t="e">
        <f>D91*PRICE_PER_KWH_2018_ELECTRICITY</f>
        <v>#N/A</v>
      </c>
      <c r="E95" s="6" t="s">
        <v>164</v>
      </c>
    </row>
    <row r="96" spans="2:6" ht="12.75" x14ac:dyDescent="0.2">
      <c r="B96" s="16"/>
      <c r="C96" s="36" t="s">
        <v>204</v>
      </c>
      <c r="D96" s="42" t="e">
        <f>D92*PRICE_PER_KWH_2018_ELECTRICITY</f>
        <v>#N/A</v>
      </c>
      <c r="E96" s="6" t="s">
        <v>164</v>
      </c>
    </row>
    <row r="97" spans="2:6" x14ac:dyDescent="0.2">
      <c r="B97" s="16"/>
    </row>
    <row r="98" spans="2:6" ht="12.75" x14ac:dyDescent="0.2">
      <c r="B98" s="16"/>
      <c r="C98" s="36" t="s">
        <v>205</v>
      </c>
      <c r="D98" s="43" t="e">
        <f>INPUT_CHP_SIZE_TONS</f>
        <v>#NAME?</v>
      </c>
    </row>
    <row r="99" spans="2:6" ht="12.75" x14ac:dyDescent="0.2">
      <c r="B99" s="16"/>
      <c r="C99" s="30" t="s">
        <v>172</v>
      </c>
      <c r="D99" s="41" t="e">
        <f>LEFT(D98,SEARCH("ton",D98,1)-2)</f>
        <v>#NAME?</v>
      </c>
      <c r="E99" s="6" t="s">
        <v>173</v>
      </c>
    </row>
    <row r="100" spans="2:6" x14ac:dyDescent="0.2">
      <c r="B100" s="16"/>
    </row>
    <row r="101" spans="2:6" ht="12.75" x14ac:dyDescent="0.2">
      <c r="B101" s="16"/>
      <c r="C101" s="36" t="s">
        <v>217</v>
      </c>
      <c r="D101" s="44">
        <v>8.1999999999999993</v>
      </c>
      <c r="E101" s="6" t="s">
        <v>182</v>
      </c>
      <c r="F101" s="45" t="s">
        <v>303</v>
      </c>
    </row>
    <row r="102" spans="2:6" ht="12.75" x14ac:dyDescent="0.2">
      <c r="B102" s="16"/>
      <c r="C102" s="36" t="s">
        <v>218</v>
      </c>
      <c r="D102" s="44">
        <v>8.5</v>
      </c>
      <c r="E102" s="6" t="s">
        <v>182</v>
      </c>
      <c r="F102" s="45"/>
    </row>
    <row r="103" spans="2:6" ht="12.75" x14ac:dyDescent="0.2">
      <c r="B103" s="16"/>
      <c r="C103" s="36" t="s">
        <v>219</v>
      </c>
      <c r="D103" s="44">
        <v>9.6</v>
      </c>
      <c r="E103" s="6" t="s">
        <v>182</v>
      </c>
      <c r="F103" s="45"/>
    </row>
    <row r="104" spans="2:6" x14ac:dyDescent="0.2">
      <c r="B104" s="16"/>
    </row>
    <row r="105" spans="2:6" ht="12.75" x14ac:dyDescent="0.2">
      <c r="B105" s="16"/>
      <c r="C105" s="36" t="s">
        <v>209</v>
      </c>
      <c r="D105" s="44">
        <v>0.31</v>
      </c>
      <c r="E105" s="45" t="s">
        <v>206</v>
      </c>
    </row>
    <row r="106" spans="2:6" ht="12.75" x14ac:dyDescent="0.2">
      <c r="B106" s="16"/>
      <c r="C106" s="36" t="s">
        <v>210</v>
      </c>
      <c r="D106" s="44">
        <v>0.54</v>
      </c>
      <c r="E106" s="45" t="s">
        <v>206</v>
      </c>
    </row>
    <row r="107" spans="2:6" x14ac:dyDescent="0.2">
      <c r="B107" s="16"/>
    </row>
    <row r="108" spans="2:6" ht="12.75" x14ac:dyDescent="0.2">
      <c r="B108" s="16"/>
      <c r="C108" s="36" t="s">
        <v>220</v>
      </c>
      <c r="D108" s="37" t="e">
        <f>$D$105*$D$99*12/D101</f>
        <v>#NAME?</v>
      </c>
      <c r="E108" s="6" t="s">
        <v>176</v>
      </c>
      <c r="F108" s="45" t="s">
        <v>216</v>
      </c>
    </row>
    <row r="109" spans="2:6" ht="12.75" x14ac:dyDescent="0.2">
      <c r="B109" s="16"/>
      <c r="C109" s="36" t="s">
        <v>221</v>
      </c>
      <c r="D109" s="37" t="e">
        <f>$D$105*$D$99*12/D102</f>
        <v>#NAME?</v>
      </c>
      <c r="E109" s="6" t="s">
        <v>176</v>
      </c>
    </row>
    <row r="110" spans="2:6" ht="12.75" x14ac:dyDescent="0.2">
      <c r="B110" s="16"/>
      <c r="C110" s="36" t="s">
        <v>222</v>
      </c>
      <c r="D110" s="46" t="e">
        <f>$D$106*$D$99*12/D103</f>
        <v>#NAME?</v>
      </c>
      <c r="E110" s="6" t="s">
        <v>176</v>
      </c>
    </row>
    <row r="111" spans="2:6" x14ac:dyDescent="0.2">
      <c r="B111" s="16"/>
    </row>
    <row r="112" spans="2:6" x14ac:dyDescent="0.2">
      <c r="B112" s="16"/>
    </row>
    <row r="113" spans="2:6" ht="12.75" x14ac:dyDescent="0.2">
      <c r="B113" s="16"/>
      <c r="C113" s="36" t="s">
        <v>208</v>
      </c>
      <c r="D113" s="44">
        <v>11.7</v>
      </c>
      <c r="E113" s="6" t="s">
        <v>175</v>
      </c>
      <c r="F113" s="45" t="s">
        <v>304</v>
      </c>
    </row>
    <row r="114" spans="2:6" ht="12.75" x14ac:dyDescent="0.2">
      <c r="B114" s="16"/>
      <c r="C114" s="36" t="s">
        <v>213</v>
      </c>
      <c r="D114" s="31">
        <f>$D$113</f>
        <v>11.7</v>
      </c>
      <c r="E114" s="6" t="s">
        <v>175</v>
      </c>
      <c r="F114" s="45" t="s">
        <v>223</v>
      </c>
    </row>
    <row r="115" spans="2:6" ht="12.75" x14ac:dyDescent="0.2">
      <c r="B115" s="16"/>
      <c r="C115" s="36" t="s">
        <v>214</v>
      </c>
      <c r="D115" s="31">
        <f>$D$113</f>
        <v>11.7</v>
      </c>
      <c r="E115" s="6" t="s">
        <v>175</v>
      </c>
      <c r="F115" s="45" t="s">
        <v>223</v>
      </c>
    </row>
    <row r="116" spans="2:6" x14ac:dyDescent="0.2">
      <c r="B116" s="16"/>
    </row>
    <row r="117" spans="2:6" ht="12.75" x14ac:dyDescent="0.2">
      <c r="B117" s="16"/>
      <c r="C117" s="36" t="s">
        <v>174</v>
      </c>
      <c r="D117" s="44">
        <v>0.5</v>
      </c>
      <c r="E117" s="45" t="s">
        <v>953</v>
      </c>
    </row>
    <row r="118" spans="2:6" x14ac:dyDescent="0.2">
      <c r="B118" s="16"/>
    </row>
    <row r="119" spans="2:6" ht="12.75" x14ac:dyDescent="0.2">
      <c r="B119" s="16"/>
      <c r="C119" s="36" t="s">
        <v>211</v>
      </c>
      <c r="D119" s="37" t="e">
        <f>$D$117*$D$99*12/D113</f>
        <v>#NAME?</v>
      </c>
      <c r="E119" s="6" t="s">
        <v>176</v>
      </c>
      <c r="F119" s="45"/>
    </row>
    <row r="120" spans="2:6" ht="12.75" x14ac:dyDescent="0.2">
      <c r="B120" s="16"/>
      <c r="C120" s="36" t="s">
        <v>212</v>
      </c>
      <c r="D120" s="37" t="e">
        <f>$D$117*$D$99*12/D114</f>
        <v>#NAME?</v>
      </c>
      <c r="E120" s="6" t="s">
        <v>176</v>
      </c>
    </row>
    <row r="121" spans="2:6" ht="12.75" x14ac:dyDescent="0.2">
      <c r="B121" s="16"/>
      <c r="C121" s="36" t="s">
        <v>215</v>
      </c>
      <c r="D121" s="37" t="e">
        <f>$D$117*$D$99*12/D115</f>
        <v>#NAME?</v>
      </c>
      <c r="E121" s="6" t="s">
        <v>176</v>
      </c>
    </row>
    <row r="122" spans="2:6" x14ac:dyDescent="0.2">
      <c r="B122" s="16"/>
    </row>
    <row r="123" spans="2:6" ht="12.75" x14ac:dyDescent="0.2">
      <c r="B123" s="16"/>
      <c r="C123" s="10" t="s">
        <v>1143</v>
      </c>
      <c r="D123" s="10"/>
    </row>
    <row r="124" spans="2:6" x14ac:dyDescent="0.2">
      <c r="B124" s="16"/>
      <c r="C124" s="6" t="s">
        <v>1154</v>
      </c>
    </row>
    <row r="125" spans="2:6" x14ac:dyDescent="0.2">
      <c r="B125" s="16"/>
      <c r="C125" s="6" t="s">
        <v>1153</v>
      </c>
    </row>
    <row r="126" spans="2:6" x14ac:dyDescent="0.2">
      <c r="B126" s="16"/>
      <c r="C126" s="6" t="s">
        <v>1152</v>
      </c>
    </row>
    <row r="127" spans="2:6" x14ac:dyDescent="0.2">
      <c r="B127" s="16"/>
      <c r="C127" s="6" t="s">
        <v>1146</v>
      </c>
      <c r="D127" s="42">
        <f>D128-(D129-D128)</f>
        <v>4983</v>
      </c>
      <c r="E127" s="6" t="s">
        <v>1145</v>
      </c>
    </row>
    <row r="128" spans="2:6" x14ac:dyDescent="0.2">
      <c r="B128" s="16"/>
      <c r="C128" s="6" t="s">
        <v>1147</v>
      </c>
      <c r="D128" s="42">
        <f>COST_HP_16SEER_NEW</f>
        <v>5121</v>
      </c>
      <c r="E128" s="6" t="s">
        <v>1145</v>
      </c>
    </row>
    <row r="129" spans="2:5" x14ac:dyDescent="0.2">
      <c r="B129" s="16"/>
      <c r="C129" s="6" t="s">
        <v>1148</v>
      </c>
      <c r="D129" s="42">
        <f>COST_HP_18SEER_NEW</f>
        <v>5259</v>
      </c>
      <c r="E129" s="6" t="s">
        <v>1145</v>
      </c>
    </row>
    <row r="130" spans="2:5" x14ac:dyDescent="0.2">
      <c r="B130" s="16"/>
    </row>
    <row r="131" spans="2:5" x14ac:dyDescent="0.2">
      <c r="B131" s="16"/>
      <c r="C131" s="6" t="s">
        <v>1151</v>
      </c>
    </row>
    <row r="132" spans="2:5" x14ac:dyDescent="0.2">
      <c r="B132" s="16"/>
      <c r="C132" s="6" t="s">
        <v>1146</v>
      </c>
      <c r="D132" s="406" t="e">
        <f>D127*$D$99</f>
        <v>#NAME?</v>
      </c>
      <c r="E132" s="6" t="s">
        <v>1149</v>
      </c>
    </row>
    <row r="133" spans="2:5" x14ac:dyDescent="0.2">
      <c r="B133" s="16"/>
      <c r="C133" s="6" t="s">
        <v>1147</v>
      </c>
      <c r="D133" s="406" t="e">
        <f>D128*$D$99</f>
        <v>#NAME?</v>
      </c>
      <c r="E133" s="6" t="s">
        <v>1149</v>
      </c>
    </row>
    <row r="134" spans="2:5" x14ac:dyDescent="0.2">
      <c r="B134" s="16"/>
      <c r="C134" s="6" t="s">
        <v>1148</v>
      </c>
      <c r="D134" s="406" t="e">
        <f>D129*$D$99</f>
        <v>#NAME?</v>
      </c>
      <c r="E134" s="6" t="s">
        <v>1149</v>
      </c>
    </row>
    <row r="135" spans="2:5" x14ac:dyDescent="0.2">
      <c r="B135" s="16"/>
    </row>
    <row r="136" spans="2:5" x14ac:dyDescent="0.2">
      <c r="B136" s="16"/>
    </row>
    <row r="137" spans="2:5" x14ac:dyDescent="0.2">
      <c r="B137" s="16"/>
    </row>
    <row r="138" spans="2:5" x14ac:dyDescent="0.2">
      <c r="B138" s="16"/>
    </row>
    <row r="139" spans="2:5" x14ac:dyDescent="0.2">
      <c r="B139" s="16"/>
    </row>
    <row r="140" spans="2:5" x14ac:dyDescent="0.2">
      <c r="B140" s="16"/>
    </row>
    <row r="141" spans="2:5" x14ac:dyDescent="0.2">
      <c r="B141" s="16"/>
    </row>
    <row r="142" spans="2:5" x14ac:dyDescent="0.2">
      <c r="B142" s="16"/>
    </row>
    <row r="143" spans="2:5" x14ac:dyDescent="0.2">
      <c r="B143" s="16"/>
    </row>
    <row r="144" spans="2:5" x14ac:dyDescent="0.2">
      <c r="B144" s="16"/>
    </row>
    <row r="145" spans="2:2" x14ac:dyDescent="0.2">
      <c r="B145" s="16"/>
    </row>
    <row r="146" spans="2:2" x14ac:dyDescent="0.2">
      <c r="B146" s="16"/>
    </row>
    <row r="147" spans="2:2" x14ac:dyDescent="0.2">
      <c r="B147" s="16"/>
    </row>
    <row r="148" spans="2:2" x14ac:dyDescent="0.2">
      <c r="B148" s="16"/>
    </row>
    <row r="149" spans="2:2" x14ac:dyDescent="0.2">
      <c r="B149" s="16"/>
    </row>
    <row r="150" spans="2:2" x14ac:dyDescent="0.2">
      <c r="B150" s="16"/>
    </row>
    <row r="151" spans="2:2" x14ac:dyDescent="0.2">
      <c r="B151" s="16"/>
    </row>
    <row r="152" spans="2:2" x14ac:dyDescent="0.2">
      <c r="B152" s="16"/>
    </row>
    <row r="153" spans="2:2" x14ac:dyDescent="0.2">
      <c r="B153" s="16"/>
    </row>
    <row r="154" spans="2:2" x14ac:dyDescent="0.2">
      <c r="B154" s="16"/>
    </row>
    <row r="155" spans="2:2" x14ac:dyDescent="0.2">
      <c r="B155" s="16"/>
    </row>
    <row r="156" spans="2:2" x14ac:dyDescent="0.2">
      <c r="B156" s="16"/>
    </row>
    <row r="157" spans="2:2" x14ac:dyDescent="0.2">
      <c r="B157" s="16"/>
    </row>
  </sheetData>
  <mergeCells count="20">
    <mergeCell ref="D50:E50"/>
    <mergeCell ref="F50:G50"/>
    <mergeCell ref="H50:I50"/>
    <mergeCell ref="J50:K50"/>
    <mergeCell ref="D51:E51"/>
    <mergeCell ref="F51:G51"/>
    <mergeCell ref="H51:I51"/>
    <mergeCell ref="J51:K51"/>
    <mergeCell ref="H52:I52"/>
    <mergeCell ref="J52:K52"/>
    <mergeCell ref="D53:E53"/>
    <mergeCell ref="F53:G53"/>
    <mergeCell ref="H53:I53"/>
    <mergeCell ref="J53:K53"/>
    <mergeCell ref="D58:G58"/>
    <mergeCell ref="D59:G59"/>
    <mergeCell ref="D60:G60"/>
    <mergeCell ref="D61:G61"/>
    <mergeCell ref="D52:E52"/>
    <mergeCell ref="F52:G52"/>
  </mergeCells>
  <dataValidations disablePrompts="1" count="2">
    <dataValidation type="list" allowBlank="1" showInputMessage="1" showErrorMessage="1" sqref="D9">
      <formula1>DEFINED_MEASURES</formula1>
    </dataValidation>
    <dataValidation type="list" allowBlank="1" showInputMessage="1" showErrorMessage="1" sqref="D5">
      <formula1>"1. Not Started,2. Analyzing,3. Ready"</formula1>
    </dataValidation>
  </dataValidation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3"/>
  </sheetPr>
  <dimension ref="A1:AD187"/>
  <sheetViews>
    <sheetView topLeftCell="A70" workbookViewId="0">
      <selection activeCell="J97" sqref="J97"/>
    </sheetView>
  </sheetViews>
  <sheetFormatPr defaultColWidth="9.33203125" defaultRowHeight="11.25" x14ac:dyDescent="0.2"/>
  <cols>
    <col min="1" max="2" width="3.33203125" style="6" customWidth="1"/>
    <col min="3" max="3" width="22.6640625" style="6" bestFit="1" customWidth="1"/>
    <col min="4" max="4" width="22" style="6" customWidth="1"/>
    <col min="5" max="5" width="16.33203125" style="6" customWidth="1"/>
    <col min="6" max="6" width="17.33203125" style="6" customWidth="1"/>
    <col min="7" max="7" width="13.5" style="6" customWidth="1"/>
    <col min="8" max="8" width="14.1640625" style="6" customWidth="1"/>
    <col min="9" max="9" width="22.33203125" style="6" bestFit="1" customWidth="1"/>
    <col min="10" max="10" width="23.5" style="6" customWidth="1"/>
    <col min="11" max="12" width="9.5" style="6" bestFit="1" customWidth="1"/>
    <col min="13" max="13" width="10.6640625" style="6" bestFit="1" customWidth="1"/>
    <col min="14" max="14" width="11" style="6" customWidth="1"/>
    <col min="15"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29" t="s">
        <v>90</v>
      </c>
      <c r="E9" s="7" t="s">
        <v>290</v>
      </c>
    </row>
    <row r="10" spans="1:30" ht="12.75" x14ac:dyDescent="0.2">
      <c r="B10" s="16"/>
      <c r="C10" s="30" t="s">
        <v>289</v>
      </c>
      <c r="D10" s="83" t="str">
        <f>INDEX(Tbl_MeasureList[Baseline ID],MATCH($D$9,Tbl_MeasureList[Measure ID],0))</f>
        <v>BASE20</v>
      </c>
      <c r="E10" s="7"/>
    </row>
    <row r="11" spans="1:30" x14ac:dyDescent="0.2">
      <c r="B11" s="16"/>
      <c r="C11" s="7"/>
      <c r="D11" s="7"/>
      <c r="E11" s="7"/>
    </row>
    <row r="12" spans="1:30" ht="12" thickBot="1" x14ac:dyDescent="0.25">
      <c r="B12" s="16"/>
      <c r="C12" s="7"/>
      <c r="D12" s="160" t="s">
        <v>5</v>
      </c>
      <c r="E12" s="160" t="s">
        <v>284</v>
      </c>
    </row>
    <row r="13" spans="1:30" x14ac:dyDescent="0.2">
      <c r="B13" s="16"/>
      <c r="C13" s="32" t="s">
        <v>2</v>
      </c>
      <c r="D13" s="84" t="str">
        <f>INDEX(Tbl_MeasureList[Baseline Equipment ID],MATCH($D$9,Tbl_MeasureList[Measure ID],0))</f>
        <v>EQUI036</v>
      </c>
      <c r="E13" s="84" t="str">
        <f>INDEX(Tbl_MeasureList[Replacement ID],MATCH($D$9,Tbl_MeasureList[Measure ID],0))</f>
        <v>EQUI010</v>
      </c>
      <c r="F13" s="7"/>
    </row>
    <row r="14" spans="1:30" x14ac:dyDescent="0.2">
      <c r="B14" s="16"/>
      <c r="C14" s="32" t="s">
        <v>4</v>
      </c>
      <c r="D14" s="85" t="str">
        <f>INDEX(Tbl_EquipmentDefinitions[[Equipment Name]:[Equipment Name]],MATCH(D$13,Tbl_EquipmentDefinitions[[Equipment ID]:[Equipment ID]],0))</f>
        <v>Room AC/No AC Blend+Oil Boiler</v>
      </c>
      <c r="E14" s="85" t="str">
        <f>INDEX(Tbl_EquipmentDefinitions[[Equipment Name]:[Equipment Name]],MATCH(E$13,Tbl_EquipmentDefinitions[[Equipment ID]:[Equipment ID]],0))</f>
        <v>DMSHP+Oil Boiler</v>
      </c>
      <c r="F14" s="7"/>
    </row>
    <row r="15" spans="1:30" x14ac:dyDescent="0.2">
      <c r="B15" s="16"/>
      <c r="C15" s="32" t="s">
        <v>24</v>
      </c>
      <c r="D15" s="84" t="str">
        <f>INDEX(Tbl_EquipmentDefinitions[[Function]:[Function]],MATCH(D$13,Tbl_EquipmentDefinitions[[Equipment ID]:[Equipment ID]],0))</f>
        <v>Cool+Heat</v>
      </c>
      <c r="E15" s="84" t="str">
        <f>INDEX(Tbl_EquipmentDefinitions[[Function]:[Function]],MATCH(E$13,Tbl_EquipmentDefinitions[[Equipment ID]:[Equipment ID]],0))</f>
        <v>Cool+Heat</v>
      </c>
      <c r="F15" s="7"/>
    </row>
    <row r="16" spans="1:30" x14ac:dyDescent="0.2">
      <c r="B16" s="16"/>
      <c r="C16" s="32" t="s">
        <v>7</v>
      </c>
      <c r="D16" s="85" t="str">
        <f>INDEX(Tbl_EquipmentDefinitions[[Fuel Type]:[Fuel Type]],MATCH(D$13,Tbl_EquipmentDefinitions[[Equipment ID]:[Equipment ID]],0))</f>
        <v>Electric+Oil</v>
      </c>
      <c r="E16" s="85" t="str">
        <f>INDEX(Tbl_EquipmentDefinitions[[Fuel Type]:[Fuel Type]],MATCH(E$13,Tbl_EquipmentDefinitions[[Equipment ID]:[Equipment ID]],0))</f>
        <v>Electric+Oil</v>
      </c>
      <c r="F16" s="7"/>
    </row>
    <row r="17" spans="2:14" x14ac:dyDescent="0.2">
      <c r="B17" s="16"/>
      <c r="C17" s="32" t="s">
        <v>126</v>
      </c>
      <c r="D17" s="84">
        <f>IF(ISERR(SEARCH("+",D16,1)),1,2)</f>
        <v>2</v>
      </c>
      <c r="E17" s="84">
        <f>IF(ISERR(SEARCH("+",E16,1)),1,2)</f>
        <v>2</v>
      </c>
      <c r="F17" s="7"/>
    </row>
    <row r="18" spans="2:14" x14ac:dyDescent="0.2">
      <c r="B18" s="16"/>
      <c r="C18" s="32" t="s">
        <v>155</v>
      </c>
      <c r="D18" s="86">
        <f>INDEX(Tbl_BaselineSummary[Space Heating Load (MMBtu/yr)],MATCH($D$10,Tbl_BaselineSummary[Baseline ID],0))</f>
        <v>76.7</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13.9</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160" t="s">
        <v>127</v>
      </c>
      <c r="D25" s="281" t="s">
        <v>345</v>
      </c>
      <c r="E25" s="385" t="s">
        <v>956</v>
      </c>
      <c r="F25" s="281" t="s">
        <v>326</v>
      </c>
      <c r="G25" s="421" t="s">
        <v>1532</v>
      </c>
      <c r="H25" s="385" t="s">
        <v>958</v>
      </c>
      <c r="I25" s="569" t="s">
        <v>1447</v>
      </c>
      <c r="J25" s="569" t="s">
        <v>1448</v>
      </c>
      <c r="L25" s="160" t="s">
        <v>1533</v>
      </c>
      <c r="M25" s="421" t="s">
        <v>1531</v>
      </c>
    </row>
    <row r="26" spans="2:14" ht="11.25" customHeight="1" x14ac:dyDescent="0.2">
      <c r="B26" s="16"/>
      <c r="C26" s="32" t="s">
        <v>6</v>
      </c>
      <c r="D26" s="122">
        <f>D101</f>
        <v>7359.150629403608</v>
      </c>
      <c r="E26" s="126">
        <f>D125</f>
        <v>1.2439024390243905</v>
      </c>
      <c r="F26" s="111">
        <f>D105</f>
        <v>1455.6399944960338</v>
      </c>
      <c r="G26" s="111">
        <f>E173</f>
        <v>10810.099999999999</v>
      </c>
      <c r="H26" s="126">
        <f>D136</f>
        <v>0.94999999999999984</v>
      </c>
      <c r="I26" s="122">
        <f>D97</f>
        <v>871.5200000000001</v>
      </c>
      <c r="J26" s="122">
        <f>D77</f>
        <v>6487.6306294036076</v>
      </c>
      <c r="L26" s="84">
        <f t="shared" ref="L26:M28" si="0">F26+E32+E38+E44</f>
        <v>2453.8613050812787</v>
      </c>
      <c r="M26" s="86">
        <f t="shared" si="0"/>
        <v>10810.099999999999</v>
      </c>
    </row>
    <row r="27" spans="2:14" x14ac:dyDescent="0.2">
      <c r="B27" s="16"/>
      <c r="C27" s="32" t="s">
        <v>19</v>
      </c>
      <c r="D27" s="122">
        <f>D102</f>
        <v>6062.1588403039905</v>
      </c>
      <c r="E27" s="126">
        <f>D126</f>
        <v>1.02</v>
      </c>
      <c r="F27" s="111">
        <f>D106</f>
        <v>1199.0950186121293</v>
      </c>
      <c r="G27" s="111">
        <f>E174</f>
        <v>11746.099999999999</v>
      </c>
      <c r="H27" s="126">
        <f t="shared" ref="H27:H28" si="1">D137</f>
        <v>0.94999999999999984</v>
      </c>
      <c r="I27" s="122">
        <f t="shared" ref="I27:I28" si="2">D98</f>
        <v>726.26666666666677</v>
      </c>
      <c r="J27" s="122">
        <f t="shared" ref="J27:J28" si="3">D78</f>
        <v>5335.892173637324</v>
      </c>
      <c r="L27" s="84">
        <f t="shared" si="0"/>
        <v>2197.3163291973742</v>
      </c>
      <c r="M27" s="86">
        <f t="shared" si="0"/>
        <v>11746.099999999999</v>
      </c>
    </row>
    <row r="28" spans="2:14" x14ac:dyDescent="0.2">
      <c r="B28" s="16"/>
      <c r="C28" s="32" t="s">
        <v>20</v>
      </c>
      <c r="D28" s="122">
        <f>D103</f>
        <v>5115.064086851814</v>
      </c>
      <c r="E28" s="126">
        <f>D127</f>
        <v>1.125</v>
      </c>
      <c r="F28" s="111">
        <f>D107</f>
        <v>1011.7596763792889</v>
      </c>
      <c r="G28" s="111">
        <f>E175</f>
        <v>11958.5</v>
      </c>
      <c r="H28" s="126">
        <f t="shared" si="1"/>
        <v>0.94999999999999984</v>
      </c>
      <c r="I28" s="122">
        <f t="shared" si="2"/>
        <v>653.6400000000001</v>
      </c>
      <c r="J28" s="122">
        <f t="shared" si="3"/>
        <v>4461.4240868518136</v>
      </c>
      <c r="L28" s="84">
        <f t="shared" si="0"/>
        <v>2009.9809869645337</v>
      </c>
      <c r="M28" s="86">
        <f t="shared" si="0"/>
        <v>11958.5</v>
      </c>
    </row>
    <row r="29" spans="2:14" x14ac:dyDescent="0.2">
      <c r="B29" s="16"/>
    </row>
    <row r="30" spans="2:14" ht="12.75" thickBot="1" x14ac:dyDescent="0.25">
      <c r="B30" s="16"/>
      <c r="C30" s="34" t="s">
        <v>55</v>
      </c>
      <c r="D30" s="34"/>
      <c r="E30" s="33"/>
      <c r="F30" s="33"/>
    </row>
    <row r="31" spans="2:14" ht="23.25" thickBot="1" x14ac:dyDescent="0.25">
      <c r="B31" s="16"/>
      <c r="C31" s="160" t="s">
        <v>127</v>
      </c>
      <c r="D31" s="281" t="s">
        <v>325</v>
      </c>
      <c r="E31" s="281" t="s">
        <v>326</v>
      </c>
      <c r="F31" s="421" t="s">
        <v>1532</v>
      </c>
    </row>
    <row r="32" spans="2:14" x14ac:dyDescent="0.2">
      <c r="B32" s="16"/>
      <c r="C32" s="32" t="s">
        <v>6</v>
      </c>
      <c r="D32" s="40">
        <v>0</v>
      </c>
      <c r="E32" s="39">
        <v>0</v>
      </c>
      <c r="F32" s="39">
        <v>0</v>
      </c>
      <c r="G32" s="7" t="s">
        <v>128</v>
      </c>
    </row>
    <row r="33" spans="2:14" x14ac:dyDescent="0.2">
      <c r="B33" s="16"/>
      <c r="C33" s="32" t="s">
        <v>19</v>
      </c>
      <c r="D33" s="40">
        <v>0</v>
      </c>
      <c r="E33" s="39">
        <v>0</v>
      </c>
      <c r="F33" s="39">
        <v>0</v>
      </c>
    </row>
    <row r="34" spans="2:14" x14ac:dyDescent="0.2">
      <c r="B34" s="16"/>
      <c r="C34" s="32" t="s">
        <v>20</v>
      </c>
      <c r="D34" s="40">
        <v>0</v>
      </c>
      <c r="E34" s="39">
        <v>0</v>
      </c>
      <c r="F34" s="39">
        <v>0</v>
      </c>
    </row>
    <row r="35" spans="2:14" x14ac:dyDescent="0.2">
      <c r="B35" s="16"/>
    </row>
    <row r="36" spans="2:14" ht="12.75" thickBot="1" x14ac:dyDescent="0.25">
      <c r="B36" s="16"/>
      <c r="C36" s="34" t="s">
        <v>28</v>
      </c>
      <c r="D36" s="34"/>
      <c r="E36" s="33"/>
      <c r="F36" s="33"/>
    </row>
    <row r="37" spans="2:14" ht="23.25" thickBot="1" x14ac:dyDescent="0.25">
      <c r="B37" s="16"/>
      <c r="C37" s="160" t="s">
        <v>127</v>
      </c>
      <c r="D37" s="281" t="s">
        <v>756</v>
      </c>
      <c r="E37" s="281" t="s">
        <v>326</v>
      </c>
      <c r="F37" s="421"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23.25" thickBot="1" x14ac:dyDescent="0.25">
      <c r="B43" s="16"/>
      <c r="C43" s="160" t="s">
        <v>127</v>
      </c>
      <c r="D43" s="281" t="s">
        <v>756</v>
      </c>
      <c r="E43" s="281" t="s">
        <v>326</v>
      </c>
      <c r="F43" s="421" t="s">
        <v>1532</v>
      </c>
    </row>
    <row r="44" spans="2:14" x14ac:dyDescent="0.2">
      <c r="B44" s="16"/>
      <c r="C44" s="32" t="s">
        <v>6</v>
      </c>
      <c r="D44" s="122">
        <f>$D$85</f>
        <v>44.444081401305816</v>
      </c>
      <c r="E44" s="111">
        <f>$D$86</f>
        <v>998.22131058524496</v>
      </c>
      <c r="F44" s="139">
        <v>0</v>
      </c>
      <c r="G44" s="7" t="s">
        <v>128</v>
      </c>
    </row>
    <row r="45" spans="2:14" x14ac:dyDescent="0.2">
      <c r="B45" s="16"/>
      <c r="C45" s="32" t="s">
        <v>19</v>
      </c>
      <c r="D45" s="122">
        <f>$D$85</f>
        <v>44.444081401305816</v>
      </c>
      <c r="E45" s="111">
        <f>$D$86</f>
        <v>998.22131058524496</v>
      </c>
      <c r="F45" s="139">
        <v>0</v>
      </c>
    </row>
    <row r="46" spans="2:14" x14ac:dyDescent="0.2">
      <c r="B46" s="16"/>
      <c r="C46" s="32" t="s">
        <v>20</v>
      </c>
      <c r="D46" s="122">
        <f>$D$85</f>
        <v>44.444081401305816</v>
      </c>
      <c r="E46" s="111">
        <f>$D$86</f>
        <v>998.22131058524496</v>
      </c>
      <c r="F46" s="1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15 SEER/12 EER/8.2 HSPF</v>
      </c>
      <c r="E51" s="690"/>
      <c r="F51" s="693" t="str">
        <f>INDEX(Tbl_EquipmentDefinitions[Natural Gas Code Efficiency],MATCH($E$13,Tbl_EquipmentDefinitions[Equipment ID],0))</f>
        <v>-</v>
      </c>
      <c r="G51" s="690"/>
      <c r="H51" s="693" t="str">
        <f>INDEX(Tbl_EquipmentDefinitions[Propane Code Efficiency],MATCH($E$13,Tbl_EquipmentDefinitions[Equipment ID],0))</f>
        <v>-</v>
      </c>
      <c r="I51" s="690"/>
      <c r="J51" s="693" t="str">
        <f>INDEX(Tbl_EquipmentDefinitions[Oil Code Efficiency],MATCH($E$13,Tbl_EquipmentDefinitions[Equipment ID],0))</f>
        <v>84% AFUE</v>
      </c>
      <c r="K51" s="690"/>
    </row>
    <row r="52" spans="2:14" ht="12.75" x14ac:dyDescent="0.2">
      <c r="B52" s="16"/>
      <c r="C52" s="30" t="s">
        <v>153</v>
      </c>
      <c r="D52" s="689" t="str">
        <f>INDEX(Tbl_EquipmentDefinitions[Electricity Low Measure Efficiency],MATCH($E$13,Tbl_EquipmentDefinitions[Equipment ID],0))</f>
        <v>18 SEER/10.0 HSPF</v>
      </c>
      <c r="E52" s="690"/>
      <c r="F52" s="689" t="str">
        <f>INDEX(Tbl_EquipmentDefinitions[Natural Gas Low Measure Efficiency],MATCH($E$13,Tbl_EquipmentDefinitions[Equipment ID],0))</f>
        <v>-</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20 SEER/12.0 HSPF</v>
      </c>
      <c r="E53" s="690"/>
      <c r="F53" s="689" t="str">
        <f>INDEX(Tbl_EquipmentDefinitions[Natural Gas High Measure Efficiency],MATCH($E$13,Tbl_EquipmentDefinitions[Equipment ID],0))</f>
        <v>-</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160" t="s">
        <v>131</v>
      </c>
      <c r="D58" s="691" t="s">
        <v>132</v>
      </c>
      <c r="E58" s="692"/>
      <c r="F58" s="692"/>
      <c r="G58" s="692"/>
    </row>
    <row r="59" spans="2:14" x14ac:dyDescent="0.2">
      <c r="B59" s="16"/>
      <c r="C59" s="32" t="s">
        <v>174</v>
      </c>
      <c r="D59" s="696" t="s">
        <v>538</v>
      </c>
      <c r="E59" s="697"/>
      <c r="F59" s="697"/>
      <c r="G59" s="697"/>
    </row>
    <row r="60" spans="2:14" x14ac:dyDescent="0.2">
      <c r="B60" s="16"/>
      <c r="C60" s="32" t="s">
        <v>309</v>
      </c>
      <c r="D60" s="698" t="s">
        <v>832</v>
      </c>
      <c r="E60" s="699"/>
      <c r="F60" s="699"/>
      <c r="G60" s="699"/>
    </row>
    <row r="61" spans="2:14" x14ac:dyDescent="0.2">
      <c r="B61" s="16"/>
    </row>
    <row r="63" spans="2:14" ht="13.5" thickBot="1" x14ac:dyDescent="0.25">
      <c r="B63" s="9" t="s">
        <v>129</v>
      </c>
      <c r="C63" s="9"/>
      <c r="D63" s="9"/>
      <c r="E63" s="9"/>
      <c r="F63" s="9"/>
      <c r="G63" s="9"/>
      <c r="H63" s="9"/>
      <c r="I63" s="9"/>
      <c r="J63" s="9"/>
      <c r="K63" s="9"/>
      <c r="L63" s="9"/>
      <c r="M63" s="9"/>
      <c r="N63" s="9"/>
    </row>
    <row r="64" spans="2:14" x14ac:dyDescent="0.2">
      <c r="B64" s="15"/>
    </row>
    <row r="65" spans="2:6" ht="12.75" x14ac:dyDescent="0.2">
      <c r="B65" s="16"/>
      <c r="C65" s="10" t="s">
        <v>531</v>
      </c>
      <c r="D65" s="10"/>
    </row>
    <row r="66" spans="2:6" x14ac:dyDescent="0.2">
      <c r="B66" s="16"/>
    </row>
    <row r="67" spans="2:6" ht="12.75" x14ac:dyDescent="0.2">
      <c r="B67" s="16"/>
      <c r="C67" s="30" t="s">
        <v>155</v>
      </c>
      <c r="D67" s="88">
        <f>$D$18</f>
        <v>76.7</v>
      </c>
      <c r="E67" s="6" t="s">
        <v>156</v>
      </c>
    </row>
    <row r="68" spans="2:6" x14ac:dyDescent="0.2">
      <c r="B68" s="16"/>
    </row>
    <row r="69" spans="2:6" ht="12.75" x14ac:dyDescent="0.2">
      <c r="B69" s="16"/>
      <c r="C69" s="30" t="s">
        <v>159</v>
      </c>
      <c r="D69" s="44">
        <v>8.1999999999999993</v>
      </c>
      <c r="E69" s="6" t="s">
        <v>182</v>
      </c>
      <c r="F69" s="45" t="s">
        <v>301</v>
      </c>
    </row>
    <row r="70" spans="2:6" ht="12.75" x14ac:dyDescent="0.2">
      <c r="B70" s="16"/>
      <c r="C70" s="36" t="s">
        <v>180</v>
      </c>
      <c r="D70" s="44">
        <v>10</v>
      </c>
      <c r="E70" s="6" t="s">
        <v>182</v>
      </c>
      <c r="F70" s="8"/>
    </row>
    <row r="71" spans="2:6" ht="12.75" x14ac:dyDescent="0.2">
      <c r="B71" s="16"/>
      <c r="C71" s="36" t="s">
        <v>181</v>
      </c>
      <c r="D71" s="44">
        <v>12</v>
      </c>
      <c r="E71" s="6" t="s">
        <v>182</v>
      </c>
      <c r="F71" s="8"/>
    </row>
    <row r="72" spans="2:6" x14ac:dyDescent="0.2">
      <c r="B72" s="16"/>
    </row>
    <row r="73" spans="2:6" x14ac:dyDescent="0.2">
      <c r="B73" s="16"/>
      <c r="C73" s="5" t="s">
        <v>250</v>
      </c>
      <c r="D73" s="5"/>
    </row>
    <row r="74" spans="2:6" ht="12.75" x14ac:dyDescent="0.2">
      <c r="B74" s="16"/>
      <c r="C74" s="36" t="s">
        <v>534</v>
      </c>
      <c r="D74" s="54">
        <f>230/1043</f>
        <v>0.22051773729626079</v>
      </c>
      <c r="E74" s="188" t="s">
        <v>176</v>
      </c>
      <c r="F74" s="45" t="s">
        <v>952</v>
      </c>
    </row>
    <row r="75" spans="2:6" ht="12.75" x14ac:dyDescent="0.2">
      <c r="B75" s="16"/>
      <c r="C75" s="36" t="s">
        <v>535</v>
      </c>
      <c r="D75" s="189">
        <v>0.25</v>
      </c>
      <c r="E75" s="45" t="s">
        <v>962</v>
      </c>
    </row>
    <row r="76" spans="2:6" x14ac:dyDescent="0.2">
      <c r="B76" s="16"/>
    </row>
    <row r="77" spans="2:6" ht="12.75" x14ac:dyDescent="0.2">
      <c r="B77" s="16"/>
      <c r="C77" s="36" t="s">
        <v>292</v>
      </c>
      <c r="D77" s="41">
        <f>($D$67/HPFUELCALC_REF_HEATINGLOAD)/($D69/HPFUELCALC_REF_DMSHP_HSPF)*HPOILCALC_DMSHP_HPCONSUMPTION
+($D$67/HPFUELCALC_REF_HEATINGLOAD)*HPOILCALC_DMSHP_DMSHPRESISTANCECONSUMPTION
+HPOILCALC_DMSHP_FURNACEFANCONSUMPTION*($D$74/HPFUELCALC_REF_FUELPOWER_KW)*($D$75/HPFUELCALC_REF_FUELPOWER_CF)</f>
        <v>6487.6306294036076</v>
      </c>
      <c r="E77" s="6" t="s">
        <v>170</v>
      </c>
      <c r="F77" s="45" t="s">
        <v>305</v>
      </c>
    </row>
    <row r="78" spans="2:6" ht="12.75" x14ac:dyDescent="0.2">
      <c r="B78" s="16"/>
      <c r="C78" s="36" t="s">
        <v>293</v>
      </c>
      <c r="D78" s="41">
        <f>($D$67/HPFUELCALC_REF_HEATINGLOAD)/($D70/HPFUELCALC_REF_DMSHP_HSPF)*HPOILCALC_DMSHP_HPCONSUMPTION
+($D$67/HPFUELCALC_REF_HEATINGLOAD)*HPOILCALC_DMSHP_DMSHPRESISTANCECONSUMPTION
+HPOILCALC_DMSHP_FURNACEFANCONSUMPTION*($D$74/HPFUELCALC_REF_FUELPOWER_KW)*($D$75/HPFUELCALC_REF_FUELPOWER_CF)</f>
        <v>5335.892173637324</v>
      </c>
      <c r="E78" s="6" t="s">
        <v>170</v>
      </c>
      <c r="F78" s="45" t="s">
        <v>527</v>
      </c>
    </row>
    <row r="79" spans="2:6" ht="12.75" x14ac:dyDescent="0.2">
      <c r="B79" s="16"/>
      <c r="C79" s="36" t="s">
        <v>294</v>
      </c>
      <c r="D79" s="41">
        <f>($D$67/HPFUELCALC_REF_HEATINGLOAD)/($D71/HPFUELCALC_REF_DMSHP_HSPF)*HPOILCALC_DMSHP_HPCONSUMPTION
+($D$67/HPFUELCALC_REF_HEATINGLOAD)*HPOILCALC_DMSHP_DMSHPRESISTANCECONSUMPTION
+HPOILCALC_DMSHP_FURNACEFANCONSUMPTION*($D$74/HPFUELCALC_REF_FUELPOWER_KW)*($D$75/HPFUELCALC_REF_FUELPOWER_CF)</f>
        <v>4461.4240868518136</v>
      </c>
      <c r="E79" s="6" t="s">
        <v>170</v>
      </c>
      <c r="F79" s="45"/>
    </row>
    <row r="80" spans="2:6" x14ac:dyDescent="0.2">
      <c r="B80" s="16"/>
      <c r="F80" s="45"/>
    </row>
    <row r="81" spans="2:6" ht="12.75" x14ac:dyDescent="0.2">
      <c r="B81" s="16"/>
      <c r="C81" s="10" t="s">
        <v>539</v>
      </c>
      <c r="F81" s="45"/>
    </row>
    <row r="82" spans="2:6" x14ac:dyDescent="0.2">
      <c r="B82" s="16"/>
      <c r="F82" s="45"/>
    </row>
    <row r="83" spans="2:6" ht="12.75" x14ac:dyDescent="0.2">
      <c r="B83" s="16"/>
      <c r="C83" s="30" t="s">
        <v>529</v>
      </c>
      <c r="D83" s="150">
        <v>0.75</v>
      </c>
      <c r="E83" s="6" t="s">
        <v>158</v>
      </c>
    </row>
    <row r="84" spans="2:6" x14ac:dyDescent="0.2">
      <c r="B84" s="16"/>
      <c r="F84" s="45"/>
    </row>
    <row r="85" spans="2:6" ht="12.75" x14ac:dyDescent="0.2">
      <c r="B85" s="16"/>
      <c r="C85" s="36" t="s">
        <v>530</v>
      </c>
      <c r="D85" s="190">
        <f>(D67/HPFUELCALC_REF_HEATINGLOAD)*HPOILCALC_DMSHP_FURNACEOILCONSUMPTION/(D83/HPFUELCALC_REF_AFUE)/10</f>
        <v>44.444081401305816</v>
      </c>
      <c r="E85" s="6" t="s">
        <v>481</v>
      </c>
      <c r="F85" s="45"/>
    </row>
    <row r="86" spans="2:6" ht="12.75" x14ac:dyDescent="0.2">
      <c r="B86" s="16"/>
      <c r="C86" s="36" t="s">
        <v>729</v>
      </c>
      <c r="D86" s="282">
        <f>D85*PRICE_PER_MMBTU_2018_OIL</f>
        <v>998.22131058524496</v>
      </c>
      <c r="E86" s="6" t="s">
        <v>164</v>
      </c>
      <c r="F86" s="45"/>
    </row>
    <row r="87" spans="2:6" x14ac:dyDescent="0.2">
      <c r="B87" s="16"/>
      <c r="F87" s="45"/>
    </row>
    <row r="88" spans="2:6" x14ac:dyDescent="0.2">
      <c r="B88" s="16"/>
      <c r="F88" s="45"/>
    </row>
    <row r="89" spans="2:6" ht="12.75" x14ac:dyDescent="0.2">
      <c r="B89" s="16"/>
      <c r="C89" s="10" t="s">
        <v>532</v>
      </c>
      <c r="F89" s="45"/>
    </row>
    <row r="90" spans="2:6" x14ac:dyDescent="0.2">
      <c r="B90" s="16"/>
      <c r="F90" s="45"/>
    </row>
    <row r="91" spans="2:6" ht="12.75" x14ac:dyDescent="0.2">
      <c r="B91" s="16"/>
      <c r="C91" s="30" t="s">
        <v>167</v>
      </c>
      <c r="D91" s="87">
        <f>$D$19</f>
        <v>13.072800000000001</v>
      </c>
      <c r="E91" s="6" t="s">
        <v>156</v>
      </c>
    </row>
    <row r="92" spans="2:6" x14ac:dyDescent="0.2">
      <c r="B92" s="16"/>
    </row>
    <row r="93" spans="2:6" ht="12.75" x14ac:dyDescent="0.2">
      <c r="B93" s="16"/>
      <c r="C93" s="36" t="s">
        <v>168</v>
      </c>
      <c r="D93" s="44">
        <v>15</v>
      </c>
      <c r="E93" s="6" t="s">
        <v>169</v>
      </c>
      <c r="F93" s="45" t="s">
        <v>302</v>
      </c>
    </row>
    <row r="94" spans="2:6" ht="12.75" x14ac:dyDescent="0.2">
      <c r="B94" s="16"/>
      <c r="C94" s="36" t="s">
        <v>201</v>
      </c>
      <c r="D94" s="44">
        <v>18</v>
      </c>
      <c r="E94" s="6" t="s">
        <v>169</v>
      </c>
    </row>
    <row r="95" spans="2:6" ht="12.75" x14ac:dyDescent="0.2">
      <c r="B95" s="16"/>
      <c r="C95" s="36" t="s">
        <v>202</v>
      </c>
      <c r="D95" s="44">
        <v>20</v>
      </c>
      <c r="E95" s="6" t="s">
        <v>169</v>
      </c>
    </row>
    <row r="96" spans="2:6" x14ac:dyDescent="0.2">
      <c r="B96" s="16"/>
    </row>
    <row r="97" spans="2:6" ht="12.75" x14ac:dyDescent="0.2">
      <c r="B97" s="16"/>
      <c r="C97" s="36" t="s">
        <v>295</v>
      </c>
      <c r="D97" s="41">
        <f>1000*$D$91/D93</f>
        <v>871.5200000000001</v>
      </c>
      <c r="E97" s="6" t="s">
        <v>170</v>
      </c>
      <c r="F97" s="45" t="s">
        <v>306</v>
      </c>
    </row>
    <row r="98" spans="2:6" ht="12.75" x14ac:dyDescent="0.2">
      <c r="B98" s="16"/>
      <c r="C98" s="36" t="s">
        <v>296</v>
      </c>
      <c r="D98" s="41">
        <f>1000*$D$91/D94</f>
        <v>726.26666666666677</v>
      </c>
      <c r="E98" s="6" t="s">
        <v>170</v>
      </c>
    </row>
    <row r="99" spans="2:6" ht="12.75" x14ac:dyDescent="0.2">
      <c r="B99" s="16"/>
      <c r="C99" s="36" t="s">
        <v>297</v>
      </c>
      <c r="D99" s="41">
        <f>1000*$D$91/D95</f>
        <v>653.6400000000001</v>
      </c>
      <c r="E99" s="6" t="s">
        <v>170</v>
      </c>
    </row>
    <row r="100" spans="2:6" x14ac:dyDescent="0.2">
      <c r="B100" s="16"/>
    </row>
    <row r="101" spans="2:6" ht="12.75" x14ac:dyDescent="0.2">
      <c r="B101" s="16"/>
      <c r="C101" s="36" t="s">
        <v>298</v>
      </c>
      <c r="D101" s="41">
        <f>D77+D97</f>
        <v>7359.150629403608</v>
      </c>
      <c r="E101" s="6" t="s">
        <v>170</v>
      </c>
      <c r="F101" s="45" t="s">
        <v>307</v>
      </c>
    </row>
    <row r="102" spans="2:6" ht="12.75" x14ac:dyDescent="0.2">
      <c r="B102" s="16"/>
      <c r="C102" s="36" t="s">
        <v>299</v>
      </c>
      <c r="D102" s="41">
        <f>D78+D98</f>
        <v>6062.1588403039905</v>
      </c>
      <c r="E102" s="6" t="s">
        <v>170</v>
      </c>
    </row>
    <row r="103" spans="2:6" ht="12.75" x14ac:dyDescent="0.2">
      <c r="B103" s="16"/>
      <c r="C103" s="36" t="s">
        <v>300</v>
      </c>
      <c r="D103" s="41">
        <f>D79+D99</f>
        <v>5115.064086851814</v>
      </c>
      <c r="E103" s="6" t="s">
        <v>170</v>
      </c>
    </row>
    <row r="104" spans="2:6" x14ac:dyDescent="0.2">
      <c r="B104" s="16"/>
    </row>
    <row r="105" spans="2:6" ht="12.75" x14ac:dyDescent="0.2">
      <c r="B105" s="16"/>
      <c r="C105" s="30" t="s">
        <v>163</v>
      </c>
      <c r="D105" s="42">
        <f>D101*PRICE_PER_KWH_2018_ELECTRICITY</f>
        <v>1455.6399944960338</v>
      </c>
      <c r="E105" s="6" t="s">
        <v>164</v>
      </c>
      <c r="F105" s="45" t="s">
        <v>308</v>
      </c>
    </row>
    <row r="106" spans="2:6" ht="12.75" x14ac:dyDescent="0.2">
      <c r="B106" s="16"/>
      <c r="C106" s="36" t="s">
        <v>203</v>
      </c>
      <c r="D106" s="42">
        <f>D102*PRICE_PER_KWH_2018_ELECTRICITY</f>
        <v>1199.0950186121293</v>
      </c>
      <c r="E106" s="6" t="s">
        <v>164</v>
      </c>
    </row>
    <row r="107" spans="2:6" ht="12.75" x14ac:dyDescent="0.2">
      <c r="B107" s="16"/>
      <c r="C107" s="36" t="s">
        <v>204</v>
      </c>
      <c r="D107" s="42">
        <f>D103*PRICE_PER_KWH_2018_ELECTRICITY</f>
        <v>1011.7596763792889</v>
      </c>
      <c r="E107" s="6" t="s">
        <v>164</v>
      </c>
    </row>
    <row r="108" spans="2:6" x14ac:dyDescent="0.2">
      <c r="B108" s="16"/>
    </row>
    <row r="109" spans="2:6" x14ac:dyDescent="0.2">
      <c r="B109" s="16"/>
    </row>
    <row r="110" spans="2:6" ht="12.75" x14ac:dyDescent="0.2">
      <c r="B110" s="16"/>
      <c r="C110" s="10" t="s">
        <v>366</v>
      </c>
      <c r="D110" s="10"/>
    </row>
    <row r="111" spans="2:6" x14ac:dyDescent="0.2">
      <c r="B111" s="16"/>
    </row>
    <row r="112" spans="2:6" ht="12.75" x14ac:dyDescent="0.2">
      <c r="B112" s="16"/>
      <c r="C112" s="423" t="s">
        <v>1595</v>
      </c>
      <c r="D112" s="694" t="str">
        <f>INPUT_DMSHP_COOLCAP_SUPPLEMENTED</f>
        <v>2.5 ton (1x12kBtu + 2x9kBtu)</v>
      </c>
      <c r="E112" s="695"/>
    </row>
    <row r="113" spans="2:6" ht="12.75" x14ac:dyDescent="0.2">
      <c r="B113" s="16"/>
      <c r="C113" s="423" t="s">
        <v>1594</v>
      </c>
      <c r="D113" s="694" t="str">
        <f>INPUT_DMSHP_HEATCAP_SUPPLEMENTED</f>
        <v>2.5 ton (1x12kBtu + 2x9kBtu)</v>
      </c>
      <c r="E113" s="695"/>
    </row>
    <row r="114" spans="2:6" ht="12.75" x14ac:dyDescent="0.2">
      <c r="B114" s="16"/>
      <c r="C114" s="30" t="s">
        <v>1612</v>
      </c>
      <c r="D114" s="41" t="str">
        <f>LEFT(D112,SEARCH("ton",D112,1)-2)</f>
        <v>2.5</v>
      </c>
      <c r="E114" s="6" t="s">
        <v>173</v>
      </c>
    </row>
    <row r="115" spans="2:6" ht="12.75" x14ac:dyDescent="0.2">
      <c r="B115" s="16"/>
      <c r="C115" s="30" t="s">
        <v>1614</v>
      </c>
      <c r="D115" s="41" t="str">
        <f>LEFT(D113,SEARCH("ton",D113,1)-2)</f>
        <v>2.5</v>
      </c>
      <c r="E115" s="6" t="s">
        <v>173</v>
      </c>
    </row>
    <row r="116" spans="2:6" ht="12.75" x14ac:dyDescent="0.2">
      <c r="B116" s="16"/>
      <c r="C116" s="30" t="s">
        <v>1615</v>
      </c>
      <c r="D116" s="190">
        <f>MAX(VALUE(D114),VALUE(D115))</f>
        <v>2.5</v>
      </c>
      <c r="E116" s="6" t="s">
        <v>173</v>
      </c>
    </row>
    <row r="117" spans="2:6" x14ac:dyDescent="0.2">
      <c r="B117" s="16"/>
    </row>
    <row r="118" spans="2:6" ht="12.75" x14ac:dyDescent="0.2">
      <c r="B118" s="16"/>
      <c r="C118" s="36" t="s">
        <v>217</v>
      </c>
      <c r="D118" s="31">
        <f>D69</f>
        <v>8.1999999999999993</v>
      </c>
      <c r="E118" s="6" t="s">
        <v>182</v>
      </c>
      <c r="F118" s="45" t="s">
        <v>303</v>
      </c>
    </row>
    <row r="119" spans="2:6" ht="12.75" x14ac:dyDescent="0.2">
      <c r="B119" s="16"/>
      <c r="C119" s="36" t="s">
        <v>218</v>
      </c>
      <c r="D119" s="31">
        <f>D70</f>
        <v>10</v>
      </c>
      <c r="E119" s="6" t="s">
        <v>182</v>
      </c>
      <c r="F119" s="45"/>
    </row>
    <row r="120" spans="2:6" ht="12.75" x14ac:dyDescent="0.2">
      <c r="B120" s="16"/>
      <c r="C120" s="36" t="s">
        <v>219</v>
      </c>
      <c r="D120" s="31">
        <f>D71</f>
        <v>12</v>
      </c>
      <c r="E120" s="6" t="s">
        <v>182</v>
      </c>
      <c r="F120" s="45"/>
    </row>
    <row r="121" spans="2:6" x14ac:dyDescent="0.2">
      <c r="B121" s="16"/>
    </row>
    <row r="122" spans="2:6" ht="12.75" x14ac:dyDescent="0.2">
      <c r="B122" s="16"/>
      <c r="C122" s="36" t="s">
        <v>210</v>
      </c>
      <c r="D122" s="44">
        <v>0.34</v>
      </c>
      <c r="E122" s="45" t="s">
        <v>538</v>
      </c>
    </row>
    <row r="123" spans="2:6" ht="12.75" x14ac:dyDescent="0.2">
      <c r="B123" s="16"/>
      <c r="C123" s="36" t="s">
        <v>537</v>
      </c>
      <c r="D123" s="44">
        <v>0.45</v>
      </c>
      <c r="E123" s="45" t="s">
        <v>538</v>
      </c>
    </row>
    <row r="124" spans="2:6" x14ac:dyDescent="0.2">
      <c r="B124" s="16"/>
    </row>
    <row r="125" spans="2:6" ht="12.75" x14ac:dyDescent="0.2">
      <c r="B125" s="16"/>
      <c r="C125" s="36" t="s">
        <v>220</v>
      </c>
      <c r="D125" s="46">
        <f>$D$122*$D$115*12/D118</f>
        <v>1.2439024390243905</v>
      </c>
      <c r="E125" s="6" t="s">
        <v>176</v>
      </c>
      <c r="F125" s="45" t="s">
        <v>536</v>
      </c>
    </row>
    <row r="126" spans="2:6" ht="12.75" x14ac:dyDescent="0.2">
      <c r="B126" s="16"/>
      <c r="C126" s="36" t="s">
        <v>221</v>
      </c>
      <c r="D126" s="37">
        <f>$D$122*$D$115*12/D119</f>
        <v>1.02</v>
      </c>
      <c r="E126" s="6" t="s">
        <v>176</v>
      </c>
    </row>
    <row r="127" spans="2:6" ht="12.75" x14ac:dyDescent="0.2">
      <c r="B127" s="16"/>
      <c r="C127" s="36" t="s">
        <v>222</v>
      </c>
      <c r="D127" s="46">
        <f>$D$123*$D$115*12/D120</f>
        <v>1.125</v>
      </c>
      <c r="E127" s="6" t="s">
        <v>176</v>
      </c>
    </row>
    <row r="128" spans="2:6" x14ac:dyDescent="0.2">
      <c r="B128" s="16"/>
    </row>
    <row r="129" spans="2:6" x14ac:dyDescent="0.2">
      <c r="B129" s="16"/>
    </row>
    <row r="130" spans="2:6" ht="12.75" x14ac:dyDescent="0.2">
      <c r="B130" s="16"/>
      <c r="C130" s="36" t="s">
        <v>208</v>
      </c>
      <c r="D130" s="44">
        <v>12</v>
      </c>
      <c r="E130" s="6" t="s">
        <v>175</v>
      </c>
      <c r="F130" s="45" t="s">
        <v>304</v>
      </c>
    </row>
    <row r="131" spans="2:6" ht="12.75" x14ac:dyDescent="0.2">
      <c r="B131" s="16"/>
      <c r="C131" s="36" t="s">
        <v>213</v>
      </c>
      <c r="D131" s="31">
        <f>D130</f>
        <v>12</v>
      </c>
      <c r="E131" s="6" t="s">
        <v>175</v>
      </c>
      <c r="F131" s="45" t="s">
        <v>223</v>
      </c>
    </row>
    <row r="132" spans="2:6" ht="12.75" x14ac:dyDescent="0.2">
      <c r="B132" s="16"/>
      <c r="C132" s="36" t="s">
        <v>214</v>
      </c>
      <c r="D132" s="31">
        <f>D131</f>
        <v>12</v>
      </c>
      <c r="E132" s="6" t="s">
        <v>175</v>
      </c>
      <c r="F132" s="45" t="s">
        <v>223</v>
      </c>
    </row>
    <row r="133" spans="2:6" x14ac:dyDescent="0.2">
      <c r="B133" s="16"/>
    </row>
    <row r="134" spans="2:6" ht="12.75" x14ac:dyDescent="0.2">
      <c r="B134" s="16"/>
      <c r="C134" s="36" t="s">
        <v>174</v>
      </c>
      <c r="D134" s="44">
        <v>0.38</v>
      </c>
      <c r="E134" s="45" t="s">
        <v>953</v>
      </c>
    </row>
    <row r="135" spans="2:6" x14ac:dyDescent="0.2">
      <c r="B135" s="16"/>
    </row>
    <row r="136" spans="2:6" ht="12.75" x14ac:dyDescent="0.2">
      <c r="B136" s="16"/>
      <c r="C136" s="36" t="s">
        <v>211</v>
      </c>
      <c r="D136" s="37">
        <f>$D$134*$D$114*12/D130</f>
        <v>0.94999999999999984</v>
      </c>
      <c r="E136" s="6" t="s">
        <v>176</v>
      </c>
      <c r="F136" s="45"/>
    </row>
    <row r="137" spans="2:6" ht="12.75" x14ac:dyDescent="0.2">
      <c r="B137" s="16"/>
      <c r="C137" s="36" t="s">
        <v>212</v>
      </c>
      <c r="D137" s="37">
        <f>$D$134*$D$114*12/D131</f>
        <v>0.94999999999999984</v>
      </c>
      <c r="E137" s="6" t="s">
        <v>176</v>
      </c>
    </row>
    <row r="138" spans="2:6" ht="12.75" x14ac:dyDescent="0.2">
      <c r="B138" s="16"/>
      <c r="C138" s="36" t="s">
        <v>215</v>
      </c>
      <c r="D138" s="37">
        <f>$D$134*$D$114*12/D132</f>
        <v>0.94999999999999984</v>
      </c>
      <c r="E138" s="6" t="s">
        <v>176</v>
      </c>
    </row>
    <row r="139" spans="2:6" x14ac:dyDescent="0.2">
      <c r="B139" s="16"/>
    </row>
    <row r="140" spans="2:6" ht="12.75" x14ac:dyDescent="0.2">
      <c r="B140" s="16"/>
      <c r="C140" s="10" t="s">
        <v>812</v>
      </c>
      <c r="D140" s="10"/>
    </row>
    <row r="141" spans="2:6" x14ac:dyDescent="0.2">
      <c r="B141" s="16"/>
    </row>
    <row r="142" spans="2:6" ht="12.75" x14ac:dyDescent="0.2">
      <c r="B142" s="16"/>
      <c r="C142" s="420" t="s">
        <v>1207</v>
      </c>
      <c r="D142" s="422">
        <f>INPUT_SYSTEMINTEGRATIONCOST</f>
        <v>400</v>
      </c>
      <c r="E142" s="6" t="s">
        <v>1180</v>
      </c>
    </row>
    <row r="143" spans="2:6" ht="12.75" x14ac:dyDescent="0.2">
      <c r="B143" s="16"/>
      <c r="C143" s="420" t="s">
        <v>1208</v>
      </c>
      <c r="D143" s="422">
        <f>INPUT_ELECTRICALSYSTEMUPGRADECOST</f>
        <v>500</v>
      </c>
      <c r="E143" s="6" t="s">
        <v>1180</v>
      </c>
    </row>
    <row r="144" spans="2:6" x14ac:dyDescent="0.2">
      <c r="B144" s="16"/>
    </row>
    <row r="145" spans="2:15" x14ac:dyDescent="0.2">
      <c r="B145" s="16"/>
      <c r="C145" s="6" t="s">
        <v>830</v>
      </c>
    </row>
    <row r="146" spans="2:15" x14ac:dyDescent="0.2">
      <c r="B146" s="16"/>
    </row>
    <row r="147" spans="2:15" x14ac:dyDescent="0.2">
      <c r="B147" s="16"/>
      <c r="C147" s="6" t="s">
        <v>828</v>
      </c>
    </row>
    <row r="148" spans="2:15" ht="23.25" thickBot="1" x14ac:dyDescent="0.25">
      <c r="B148" s="16"/>
      <c r="C148" s="280" t="s">
        <v>822</v>
      </c>
      <c r="D148" s="280" t="s">
        <v>824</v>
      </c>
      <c r="E148" s="280" t="s">
        <v>825</v>
      </c>
      <c r="F148" s="280" t="s">
        <v>826</v>
      </c>
      <c r="G148" s="280" t="s">
        <v>827</v>
      </c>
      <c r="H148" s="280" t="s">
        <v>814</v>
      </c>
      <c r="I148" s="280" t="s">
        <v>815</v>
      </c>
      <c r="J148" s="280" t="s">
        <v>816</v>
      </c>
    </row>
    <row r="149" spans="2:15" x14ac:dyDescent="0.2">
      <c r="B149" s="16"/>
      <c r="C149" s="14" t="s">
        <v>817</v>
      </c>
      <c r="D149" s="14">
        <v>1</v>
      </c>
      <c r="E149" s="333">
        <v>3643</v>
      </c>
      <c r="F149" s="333">
        <v>3662</v>
      </c>
      <c r="G149" s="333">
        <v>3682</v>
      </c>
      <c r="H149" s="333">
        <v>3860</v>
      </c>
      <c r="I149" s="333">
        <v>4212</v>
      </c>
      <c r="J149" s="14" t="s">
        <v>119</v>
      </c>
    </row>
    <row r="150" spans="2:15" x14ac:dyDescent="0.2">
      <c r="B150" s="16"/>
      <c r="C150" s="14" t="s">
        <v>818</v>
      </c>
      <c r="D150" s="14">
        <v>1</v>
      </c>
      <c r="E150" s="335">
        <v>3717</v>
      </c>
      <c r="F150" s="333">
        <v>3717</v>
      </c>
      <c r="G150" s="333">
        <v>3717</v>
      </c>
      <c r="H150" s="335">
        <v>3957</v>
      </c>
      <c r="I150" s="335">
        <v>4407</v>
      </c>
      <c r="J150" s="333">
        <v>4407</v>
      </c>
    </row>
    <row r="151" spans="2:15" x14ac:dyDescent="0.2">
      <c r="B151" s="16"/>
      <c r="C151" s="14">
        <v>18</v>
      </c>
      <c r="D151" s="14">
        <v>1</v>
      </c>
      <c r="E151" s="335">
        <v>4276</v>
      </c>
      <c r="F151" s="333">
        <v>4316</v>
      </c>
      <c r="G151" s="333">
        <v>4355</v>
      </c>
      <c r="H151" s="335">
        <v>4475</v>
      </c>
      <c r="I151" s="335">
        <v>4956</v>
      </c>
      <c r="J151" s="14" t="s">
        <v>119</v>
      </c>
    </row>
    <row r="152" spans="2:15" x14ac:dyDescent="0.2">
      <c r="B152" s="16"/>
      <c r="C152" s="14" t="s">
        <v>819</v>
      </c>
      <c r="D152" s="14">
        <v>1</v>
      </c>
      <c r="E152" s="333">
        <v>4586</v>
      </c>
      <c r="F152" s="333">
        <v>4665</v>
      </c>
      <c r="G152" s="333">
        <v>4743</v>
      </c>
      <c r="H152" s="333">
        <v>4811</v>
      </c>
      <c r="I152" s="333">
        <v>5256</v>
      </c>
      <c r="J152" s="14" t="s">
        <v>119</v>
      </c>
    </row>
    <row r="153" spans="2:15" x14ac:dyDescent="0.2">
      <c r="B153" s="16"/>
      <c r="C153" s="14" t="s">
        <v>819</v>
      </c>
      <c r="D153" s="14">
        <v>2</v>
      </c>
      <c r="E153" s="333">
        <v>6263</v>
      </c>
      <c r="F153" s="333">
        <v>6263</v>
      </c>
      <c r="G153" s="333">
        <v>6679</v>
      </c>
      <c r="H153" s="333">
        <v>6679</v>
      </c>
      <c r="I153" s="14" t="s">
        <v>119</v>
      </c>
      <c r="J153" s="14" t="s">
        <v>119</v>
      </c>
    </row>
    <row r="154" spans="2:15" x14ac:dyDescent="0.2">
      <c r="B154" s="16"/>
      <c r="C154" s="14" t="s">
        <v>819</v>
      </c>
      <c r="D154" s="14">
        <v>3</v>
      </c>
      <c r="E154" s="333">
        <v>7434</v>
      </c>
      <c r="F154" s="333">
        <v>7446</v>
      </c>
      <c r="G154" s="333">
        <v>7852</v>
      </c>
      <c r="H154" s="333">
        <v>7852</v>
      </c>
      <c r="I154" s="14" t="s">
        <v>119</v>
      </c>
      <c r="J154" s="14" t="s">
        <v>119</v>
      </c>
    </row>
    <row r="155" spans="2:15" x14ac:dyDescent="0.2">
      <c r="B155" s="16"/>
      <c r="C155" s="14" t="s">
        <v>820</v>
      </c>
      <c r="D155" s="14">
        <v>3</v>
      </c>
      <c r="E155" s="333">
        <v>7962</v>
      </c>
      <c r="F155" s="333">
        <v>7993</v>
      </c>
      <c r="G155" s="333">
        <v>8024</v>
      </c>
      <c r="H155" s="333">
        <v>8024</v>
      </c>
      <c r="I155" s="14" t="s">
        <v>119</v>
      </c>
      <c r="J155" s="14" t="s">
        <v>119</v>
      </c>
    </row>
    <row r="156" spans="2:15" x14ac:dyDescent="0.2">
      <c r="B156" s="16"/>
      <c r="C156" s="14" t="s">
        <v>821</v>
      </c>
      <c r="D156" s="14">
        <v>4</v>
      </c>
      <c r="E156" s="333">
        <v>8857</v>
      </c>
      <c r="F156" s="333">
        <v>8857</v>
      </c>
      <c r="G156" s="333">
        <v>8857</v>
      </c>
      <c r="H156" s="333">
        <v>8857</v>
      </c>
      <c r="I156" s="14" t="s">
        <v>119</v>
      </c>
      <c r="J156" s="14" t="s">
        <v>119</v>
      </c>
    </row>
    <row r="157" spans="2:15" x14ac:dyDescent="0.2">
      <c r="B157" s="16"/>
    </row>
    <row r="158" spans="2:15" x14ac:dyDescent="0.2">
      <c r="B158" s="16"/>
      <c r="C158" s="6" t="s">
        <v>823</v>
      </c>
    </row>
    <row r="159" spans="2:15" ht="23.25" thickBot="1" x14ac:dyDescent="0.25">
      <c r="B159" s="16"/>
      <c r="C159" s="280" t="s">
        <v>822</v>
      </c>
      <c r="D159" s="280" t="s">
        <v>813</v>
      </c>
      <c r="E159" s="280" t="s">
        <v>814</v>
      </c>
      <c r="F159" s="280" t="s">
        <v>815</v>
      </c>
      <c r="G159" s="280" t="s">
        <v>816</v>
      </c>
      <c r="J159" s="280" t="s">
        <v>835</v>
      </c>
      <c r="K159" s="280" t="s">
        <v>825</v>
      </c>
      <c r="L159" s="280" t="s">
        <v>814</v>
      </c>
      <c r="M159" s="280" t="s">
        <v>815</v>
      </c>
      <c r="N159" s="280" t="s">
        <v>1605</v>
      </c>
      <c r="O159" s="6" t="s">
        <v>1604</v>
      </c>
    </row>
    <row r="160" spans="2:15" x14ac:dyDescent="0.2">
      <c r="B160" s="16"/>
      <c r="C160" s="14" t="s">
        <v>817</v>
      </c>
      <c r="D160" s="14">
        <v>1</v>
      </c>
      <c r="E160" s="333">
        <v>3993</v>
      </c>
      <c r="F160" s="333">
        <v>4035</v>
      </c>
      <c r="G160" s="333">
        <v>4419</v>
      </c>
      <c r="J160" s="14">
        <v>5</v>
      </c>
      <c r="K160" s="333">
        <f>E152+3*0.85*E150</f>
        <v>14064.349999999999</v>
      </c>
      <c r="L160" s="333">
        <f>E163+3*0.85*E161</f>
        <v>15363.9</v>
      </c>
      <c r="M160" s="333">
        <f>F163+3*0.85*F161</f>
        <v>15883.449999999999</v>
      </c>
      <c r="N160" s="6" t="s">
        <v>1599</v>
      </c>
      <c r="O160" s="8" t="s">
        <v>1606</v>
      </c>
    </row>
    <row r="161" spans="2:15" x14ac:dyDescent="0.2">
      <c r="B161" s="16"/>
      <c r="C161" s="14" t="s">
        <v>818</v>
      </c>
      <c r="D161" s="14">
        <v>1</v>
      </c>
      <c r="E161" s="335">
        <v>4058</v>
      </c>
      <c r="F161" s="335">
        <v>4199</v>
      </c>
      <c r="G161" s="333">
        <v>4515</v>
      </c>
      <c r="J161" s="14">
        <v>4</v>
      </c>
      <c r="K161" s="333">
        <f>E152+2*0.85*E150</f>
        <v>10904.9</v>
      </c>
      <c r="L161" s="333">
        <f>E163+2*0.85*E161</f>
        <v>11914.599999999999</v>
      </c>
      <c r="M161" s="333">
        <f>F163+2*0.85*F161</f>
        <v>12314.3</v>
      </c>
      <c r="N161" s="6" t="s">
        <v>1598</v>
      </c>
      <c r="O161" s="8" t="s">
        <v>1606</v>
      </c>
    </row>
    <row r="162" spans="2:15" x14ac:dyDescent="0.2">
      <c r="B162" s="16"/>
      <c r="C162" s="14">
        <v>18</v>
      </c>
      <c r="D162" s="14">
        <v>1</v>
      </c>
      <c r="E162" s="335">
        <v>4646</v>
      </c>
      <c r="F162" s="335">
        <v>4812</v>
      </c>
      <c r="G162" s="18" t="s">
        <v>119</v>
      </c>
      <c r="J162" s="14">
        <v>3</v>
      </c>
      <c r="K162" s="333">
        <f>E150+2*0.85*E150</f>
        <v>10035.9</v>
      </c>
      <c r="L162" s="333">
        <f>E161+2*0.85*E161</f>
        <v>10956.599999999999</v>
      </c>
      <c r="M162" s="333">
        <f>F161+2*0.85*F161</f>
        <v>11337.3</v>
      </c>
      <c r="N162" s="6" t="s">
        <v>1597</v>
      </c>
      <c r="O162" s="8" t="s">
        <v>1606</v>
      </c>
    </row>
    <row r="163" spans="2:15" x14ac:dyDescent="0.2">
      <c r="B163" s="16"/>
      <c r="C163" s="14" t="s">
        <v>819</v>
      </c>
      <c r="D163" s="14">
        <v>1</v>
      </c>
      <c r="E163" s="333">
        <v>5016</v>
      </c>
      <c r="F163" s="333">
        <v>5176</v>
      </c>
      <c r="G163" s="18" t="s">
        <v>119</v>
      </c>
      <c r="J163" s="14">
        <v>2.5</v>
      </c>
      <c r="K163" s="333">
        <f>E150+2*0.85*E149</f>
        <v>9910.0999999999985</v>
      </c>
      <c r="L163" s="333">
        <f>E161+2*0.85*E160</f>
        <v>10846.099999999999</v>
      </c>
      <c r="M163" s="333">
        <f>F161+2*0.85*F160</f>
        <v>11058.5</v>
      </c>
      <c r="N163" s="6" t="s">
        <v>1596</v>
      </c>
      <c r="O163" s="8" t="s">
        <v>1606</v>
      </c>
    </row>
    <row r="164" spans="2:15" x14ac:dyDescent="0.2">
      <c r="B164" s="16"/>
      <c r="C164" s="14" t="s">
        <v>819</v>
      </c>
      <c r="D164" s="14">
        <v>2</v>
      </c>
      <c r="E164" s="333">
        <v>7060</v>
      </c>
      <c r="F164" s="18" t="s">
        <v>119</v>
      </c>
      <c r="G164" s="18" t="s">
        <v>119</v>
      </c>
      <c r="J164" s="14">
        <v>2</v>
      </c>
      <c r="K164" s="333">
        <f>E152</f>
        <v>4586</v>
      </c>
      <c r="L164" s="333">
        <f>E163</f>
        <v>5016</v>
      </c>
      <c r="M164" s="333">
        <f>F163</f>
        <v>5176</v>
      </c>
      <c r="N164" s="6" t="s">
        <v>1600</v>
      </c>
    </row>
    <row r="165" spans="2:15" x14ac:dyDescent="0.2">
      <c r="B165" s="16"/>
      <c r="C165" s="14" t="s">
        <v>819</v>
      </c>
      <c r="D165" s="14">
        <v>3</v>
      </c>
      <c r="E165" s="334">
        <v>8202</v>
      </c>
      <c r="F165" s="18" t="s">
        <v>119</v>
      </c>
      <c r="G165" s="18" t="s">
        <v>119</v>
      </c>
      <c r="J165" s="14">
        <v>1.5</v>
      </c>
      <c r="K165" s="333">
        <f>E151</f>
        <v>4276</v>
      </c>
      <c r="L165" s="333">
        <f>E162</f>
        <v>4646</v>
      </c>
      <c r="M165" s="333">
        <f>F162</f>
        <v>4812</v>
      </c>
      <c r="N165" s="6" t="s">
        <v>1601</v>
      </c>
    </row>
    <row r="166" spans="2:15" x14ac:dyDescent="0.2">
      <c r="B166" s="16"/>
      <c r="C166" s="14" t="s">
        <v>820</v>
      </c>
      <c r="D166" s="14">
        <v>3</v>
      </c>
      <c r="E166" s="333">
        <v>9049</v>
      </c>
      <c r="F166" s="18" t="s">
        <v>119</v>
      </c>
      <c r="G166" s="18" t="s">
        <v>119</v>
      </c>
      <c r="J166" s="14">
        <v>1</v>
      </c>
      <c r="K166" s="333">
        <f>E150</f>
        <v>3717</v>
      </c>
      <c r="L166" s="333">
        <f>E161</f>
        <v>4058</v>
      </c>
      <c r="M166" s="333">
        <f>F161</f>
        <v>4199</v>
      </c>
      <c r="N166" s="6" t="s">
        <v>1602</v>
      </c>
    </row>
    <row r="167" spans="2:15" x14ac:dyDescent="0.2">
      <c r="B167" s="16"/>
      <c r="C167" s="14" t="s">
        <v>821</v>
      </c>
      <c r="D167" s="14">
        <v>4</v>
      </c>
      <c r="E167" s="333">
        <v>10438</v>
      </c>
      <c r="F167" s="18" t="s">
        <v>119</v>
      </c>
      <c r="G167" s="18" t="s">
        <v>119</v>
      </c>
      <c r="J167" s="14">
        <v>0.75</v>
      </c>
      <c r="K167" s="333">
        <f>E149</f>
        <v>3643</v>
      </c>
      <c r="L167" s="333">
        <f>E160</f>
        <v>3993</v>
      </c>
      <c r="M167" s="333">
        <f>F160</f>
        <v>4035</v>
      </c>
      <c r="N167" s="6" t="s">
        <v>1603</v>
      </c>
    </row>
    <row r="168" spans="2:15" x14ac:dyDescent="0.2">
      <c r="B168" s="16"/>
      <c r="J168" s="8" t="s">
        <v>836</v>
      </c>
    </row>
    <row r="169" spans="2:15" x14ac:dyDescent="0.2">
      <c r="B169" s="16"/>
    </row>
    <row r="170" spans="2:15" ht="12.75" x14ac:dyDescent="0.2">
      <c r="B170" s="16"/>
      <c r="C170" s="30" t="s">
        <v>1615</v>
      </c>
      <c r="D170" s="190">
        <f>D116</f>
        <v>2.5</v>
      </c>
      <c r="E170" s="6" t="s">
        <v>173</v>
      </c>
    </row>
    <row r="171" spans="2:15" x14ac:dyDescent="0.2">
      <c r="B171" s="16"/>
    </row>
    <row r="172" spans="2:15" ht="12" thickBot="1" x14ac:dyDescent="0.25">
      <c r="B172" s="16"/>
      <c r="D172" s="280" t="s">
        <v>829</v>
      </c>
      <c r="E172" s="280" t="s">
        <v>831</v>
      </c>
    </row>
    <row r="173" spans="2:15" ht="12.75" x14ac:dyDescent="0.2">
      <c r="B173" s="16"/>
      <c r="C173" s="30" t="s">
        <v>6</v>
      </c>
      <c r="D173" s="31" t="str">
        <f>D51</f>
        <v>15 SEER/12 EER/8.2 HSPF</v>
      </c>
      <c r="E173" s="339">
        <f>INDEX(K160:K167,MATCH(D170,J160:J167,-1))+$D$142+$D$143</f>
        <v>10810.099999999999</v>
      </c>
    </row>
    <row r="174" spans="2:15" ht="12.75" x14ac:dyDescent="0.2">
      <c r="B174" s="16"/>
      <c r="C174" s="30" t="s">
        <v>153</v>
      </c>
      <c r="D174" s="31" t="str">
        <f>D52</f>
        <v>18 SEER/10.0 HSPF</v>
      </c>
      <c r="E174" s="340">
        <f>INDEX(L160:L167,MATCH(D170,J160:J167,-1))+$D$142+$D$143</f>
        <v>11746.099999999999</v>
      </c>
    </row>
    <row r="175" spans="2:15" ht="12.75" x14ac:dyDescent="0.2">
      <c r="B175" s="16"/>
      <c r="C175" s="30" t="s">
        <v>154</v>
      </c>
      <c r="D175" s="31" t="str">
        <f>D53</f>
        <v>20 SEER/12.0 HSPF</v>
      </c>
      <c r="E175" s="339">
        <f>INDEX(M160:M167,MATCH(D170,J160:J167,-1))+$D$142+$D$143</f>
        <v>11958.5</v>
      </c>
    </row>
    <row r="176" spans="2:15" x14ac:dyDescent="0.2">
      <c r="B176" s="16"/>
    </row>
    <row r="177" spans="2:2" x14ac:dyDescent="0.2">
      <c r="B177" s="16"/>
    </row>
    <row r="178" spans="2:2" x14ac:dyDescent="0.2">
      <c r="B178" s="16"/>
    </row>
    <row r="179" spans="2:2" x14ac:dyDescent="0.2">
      <c r="B179" s="16"/>
    </row>
    <row r="180" spans="2:2" x14ac:dyDescent="0.2">
      <c r="B180" s="16"/>
    </row>
    <row r="181" spans="2:2" x14ac:dyDescent="0.2">
      <c r="B181" s="16"/>
    </row>
    <row r="182" spans="2:2" x14ac:dyDescent="0.2">
      <c r="B182" s="16"/>
    </row>
    <row r="183" spans="2:2" x14ac:dyDescent="0.2">
      <c r="B183" s="16"/>
    </row>
    <row r="184" spans="2:2" x14ac:dyDescent="0.2">
      <c r="B184" s="16"/>
    </row>
    <row r="185" spans="2:2" x14ac:dyDescent="0.2">
      <c r="B185" s="16"/>
    </row>
    <row r="186" spans="2:2" x14ac:dyDescent="0.2">
      <c r="B186" s="16"/>
    </row>
    <row r="187" spans="2:2" x14ac:dyDescent="0.2">
      <c r="B187" s="16"/>
    </row>
  </sheetData>
  <mergeCells count="21">
    <mergeCell ref="D112:E112"/>
    <mergeCell ref="D113:E113"/>
    <mergeCell ref="D51:E51"/>
    <mergeCell ref="F51:G51"/>
    <mergeCell ref="H51:I51"/>
    <mergeCell ref="D58:G58"/>
    <mergeCell ref="D59:G59"/>
    <mergeCell ref="D60:G60"/>
    <mergeCell ref="D52:E52"/>
    <mergeCell ref="F52:G52"/>
    <mergeCell ref="H52:I52"/>
    <mergeCell ref="J51:K51"/>
    <mergeCell ref="D50:E50"/>
    <mergeCell ref="F50:G50"/>
    <mergeCell ref="H50:I50"/>
    <mergeCell ref="J50:K50"/>
    <mergeCell ref="J52:K52"/>
    <mergeCell ref="D53:E53"/>
    <mergeCell ref="F53:G53"/>
    <mergeCell ref="H53:I53"/>
    <mergeCell ref="J53:K53"/>
  </mergeCells>
  <dataValidations disablePrompts="1" count="2">
    <dataValidation type="list" allowBlank="1" showInputMessage="1" showErrorMessage="1" sqref="D9">
      <formula1>DEFINED_MEASURES</formula1>
    </dataValidation>
    <dataValidation type="list" allowBlank="1" showInputMessage="1" showErrorMessage="1" sqref="D5">
      <formula1>"1. Not Started,2. Analyzing,3. Ready"</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sheetPr>
  <dimension ref="A1:O298"/>
  <sheetViews>
    <sheetView topLeftCell="A187" workbookViewId="0">
      <selection activeCell="E205" sqref="E205"/>
    </sheetView>
  </sheetViews>
  <sheetFormatPr defaultRowHeight="11.25" x14ac:dyDescent="0.2"/>
  <cols>
    <col min="1" max="2" width="3.33203125" customWidth="1"/>
    <col min="3" max="3" width="37.6640625" customWidth="1"/>
    <col min="4" max="4" width="25.83203125" customWidth="1"/>
    <col min="5" max="5" width="17.6640625" customWidth="1"/>
    <col min="6" max="6" width="17.5" style="6" customWidth="1"/>
    <col min="7" max="7" width="14.5" customWidth="1"/>
    <col min="8" max="8" width="20.6640625" customWidth="1"/>
    <col min="9" max="9" width="3.33203125" customWidth="1"/>
    <col min="11" max="11" width="11.5" bestFit="1" customWidth="1"/>
    <col min="12" max="12" width="10.5" bestFit="1" customWidth="1"/>
    <col min="13" max="14" width="10.33203125" bestFit="1" customWidth="1"/>
    <col min="15" max="15" width="3.33203125" customWidth="1"/>
  </cols>
  <sheetData>
    <row r="1" spans="1:15" ht="17.25" thickBot="1" x14ac:dyDescent="0.3">
      <c r="A1" s="4"/>
      <c r="B1" s="4" t="s">
        <v>0</v>
      </c>
      <c r="C1" s="4"/>
      <c r="D1" s="4"/>
      <c r="E1" s="4"/>
      <c r="F1" s="4"/>
      <c r="G1" s="4"/>
      <c r="H1" s="4"/>
      <c r="I1" s="4"/>
      <c r="J1" s="4"/>
      <c r="K1" s="4"/>
      <c r="L1" s="4"/>
      <c r="M1" s="4"/>
      <c r="N1" s="4"/>
      <c r="O1" s="4"/>
    </row>
    <row r="2" spans="1:15" ht="12" thickTop="1" x14ac:dyDescent="0.2"/>
    <row r="3" spans="1:15" s="6" customFormat="1" x14ac:dyDescent="0.2">
      <c r="B3" s="1" t="s">
        <v>1642</v>
      </c>
    </row>
    <row r="4" spans="1:15" s="6" customFormat="1" x14ac:dyDescent="0.2">
      <c r="B4" s="1" t="s">
        <v>1</v>
      </c>
    </row>
    <row r="5" spans="1:15" s="6" customFormat="1" x14ac:dyDescent="0.2">
      <c r="B5" s="19" t="s">
        <v>732</v>
      </c>
    </row>
    <row r="6" spans="1:15" s="6" customFormat="1" x14ac:dyDescent="0.2">
      <c r="B6" s="19" t="s">
        <v>733</v>
      </c>
    </row>
    <row r="7" spans="1:15" s="6" customFormat="1" x14ac:dyDescent="0.2">
      <c r="B7" s="19" t="s">
        <v>685</v>
      </c>
    </row>
    <row r="8" spans="1:15" s="6" customFormat="1" x14ac:dyDescent="0.2">
      <c r="B8" s="19" t="s">
        <v>686</v>
      </c>
    </row>
    <row r="9" spans="1:15" s="6" customFormat="1" x14ac:dyDescent="0.2">
      <c r="B9" s="19" t="s">
        <v>1643</v>
      </c>
    </row>
    <row r="10" spans="1:15" s="6" customFormat="1" x14ac:dyDescent="0.2">
      <c r="B10" s="19" t="s">
        <v>734</v>
      </c>
    </row>
    <row r="11" spans="1:15" s="6" customFormat="1" x14ac:dyDescent="0.2">
      <c r="B11" s="19" t="s">
        <v>735</v>
      </c>
    </row>
    <row r="12" spans="1:15" s="6" customFormat="1" x14ac:dyDescent="0.2">
      <c r="B12" s="19" t="s">
        <v>811</v>
      </c>
    </row>
    <row r="13" spans="1:15" s="6" customFormat="1" x14ac:dyDescent="0.2">
      <c r="B13" s="19" t="s">
        <v>1644</v>
      </c>
    </row>
    <row r="14" spans="1:15" s="6" customFormat="1" x14ac:dyDescent="0.2"/>
    <row r="15" spans="1:15" ht="13.5" thickBot="1" x14ac:dyDescent="0.25">
      <c r="B15" s="9" t="s">
        <v>1141</v>
      </c>
      <c r="C15" s="9"/>
      <c r="D15" s="9"/>
      <c r="E15" s="9"/>
      <c r="F15" s="9"/>
      <c r="G15" s="9"/>
      <c r="I15" s="6"/>
      <c r="J15" s="6"/>
      <c r="K15" s="6"/>
      <c r="L15" s="6"/>
      <c r="M15" s="6"/>
      <c r="N15" s="6"/>
      <c r="O15" s="6"/>
    </row>
    <row r="16" spans="1:15" x14ac:dyDescent="0.2">
      <c r="B16" s="15"/>
      <c r="C16" s="6"/>
      <c r="I16" s="6"/>
      <c r="J16" s="6"/>
      <c r="K16" s="6"/>
      <c r="L16" s="6"/>
      <c r="M16" s="6"/>
      <c r="N16" s="6"/>
      <c r="O16" s="6"/>
    </row>
    <row r="17" spans="2:15" s="6" customFormat="1" x14ac:dyDescent="0.2">
      <c r="B17" s="16"/>
      <c r="C17" s="6" t="s">
        <v>784</v>
      </c>
    </row>
    <row r="18" spans="2:15" s="6" customFormat="1" x14ac:dyDescent="0.2">
      <c r="B18" s="16"/>
    </row>
    <row r="19" spans="2:15" ht="30" customHeight="1" thickBot="1" x14ac:dyDescent="0.25">
      <c r="B19" s="16"/>
      <c r="C19" s="13" t="s">
        <v>684</v>
      </c>
      <c r="D19" s="13" t="s">
        <v>683</v>
      </c>
      <c r="E19" s="13" t="s">
        <v>468</v>
      </c>
      <c r="F19" s="26" t="s">
        <v>132</v>
      </c>
      <c r="I19" s="6"/>
      <c r="J19" s="6"/>
      <c r="K19" s="6"/>
      <c r="L19" s="6"/>
      <c r="M19" s="6"/>
      <c r="N19" s="6"/>
      <c r="O19" s="6"/>
    </row>
    <row r="20" spans="2:15" x14ac:dyDescent="0.2">
      <c r="B20" s="16"/>
      <c r="C20" s="18" t="s">
        <v>682</v>
      </c>
      <c r="D20" s="244">
        <f>2.6*12000*419/Btu_per_MMBtu</f>
        <v>13.072800000000001</v>
      </c>
      <c r="E20" s="18" t="s">
        <v>381</v>
      </c>
      <c r="F20" s="6" t="s">
        <v>779</v>
      </c>
      <c r="I20" s="6"/>
      <c r="J20" s="6"/>
      <c r="K20" s="6"/>
      <c r="L20" s="6"/>
      <c r="M20" s="6"/>
      <c r="N20" s="6"/>
      <c r="O20" s="6"/>
    </row>
    <row r="21" spans="2:15" s="6" customFormat="1" x14ac:dyDescent="0.2">
      <c r="B21" s="16"/>
      <c r="C21" s="18" t="s">
        <v>781</v>
      </c>
      <c r="D21" s="243">
        <v>68.400000000000006</v>
      </c>
      <c r="E21" s="18" t="s">
        <v>381</v>
      </c>
      <c r="F21" s="242" t="s">
        <v>959</v>
      </c>
    </row>
    <row r="22" spans="2:15" s="6" customFormat="1" x14ac:dyDescent="0.2">
      <c r="B22" s="16"/>
      <c r="C22" s="18" t="s">
        <v>780</v>
      </c>
      <c r="D22" s="243">
        <v>76.7</v>
      </c>
      <c r="E22" s="18" t="s">
        <v>381</v>
      </c>
      <c r="F22" s="242" t="s">
        <v>960</v>
      </c>
    </row>
    <row r="23" spans="2:15" s="6" customFormat="1" x14ac:dyDescent="0.2">
      <c r="B23" s="16"/>
      <c r="C23" s="18" t="s">
        <v>782</v>
      </c>
      <c r="D23" s="244">
        <f>BOILER_TOTAL_HEATING_LOAD*(1-0.19)</f>
        <v>62.12700000000001</v>
      </c>
      <c r="E23" s="18" t="s">
        <v>381</v>
      </c>
      <c r="F23" s="242" t="s">
        <v>1142</v>
      </c>
    </row>
    <row r="24" spans="2:15" s="6" customFormat="1" x14ac:dyDescent="0.2">
      <c r="B24" s="16"/>
      <c r="C24" s="410" t="s">
        <v>1414</v>
      </c>
      <c r="D24" s="244">
        <v>13.9</v>
      </c>
      <c r="E24" s="18" t="s">
        <v>381</v>
      </c>
      <c r="F24" s="242" t="s">
        <v>1164</v>
      </c>
    </row>
    <row r="25" spans="2:15" s="6" customFormat="1" x14ac:dyDescent="0.2">
      <c r="B25" s="16"/>
      <c r="C25" s="410" t="s">
        <v>1344</v>
      </c>
      <c r="D25" s="244">
        <v>11.3</v>
      </c>
      <c r="E25" s="18" t="s">
        <v>381</v>
      </c>
      <c r="F25" s="242" t="s">
        <v>1164</v>
      </c>
    </row>
    <row r="26" spans="2:15" s="6" customFormat="1" x14ac:dyDescent="0.2">
      <c r="B26" s="16"/>
      <c r="C26" s="410" t="s">
        <v>1345</v>
      </c>
      <c r="D26" s="244">
        <v>8</v>
      </c>
      <c r="E26" s="18" t="s">
        <v>381</v>
      </c>
      <c r="F26" s="242" t="s">
        <v>1164</v>
      </c>
    </row>
    <row r="27" spans="2:15" s="6" customFormat="1" x14ac:dyDescent="0.2">
      <c r="B27" s="16"/>
    </row>
    <row r="28" spans="2:15" x14ac:dyDescent="0.2">
      <c r="B28" s="6"/>
      <c r="C28" s="6"/>
      <c r="D28" s="6"/>
      <c r="E28" s="6"/>
      <c r="G28" s="6"/>
      <c r="I28" s="6"/>
      <c r="J28" s="6"/>
      <c r="K28" s="6"/>
      <c r="L28" s="6"/>
      <c r="M28" s="6"/>
      <c r="N28" s="6"/>
      <c r="O28" s="6"/>
    </row>
    <row r="29" spans="2:15" s="6" customFormat="1" ht="13.5" thickBot="1" x14ac:dyDescent="0.25">
      <c r="B29" s="9" t="s">
        <v>475</v>
      </c>
      <c r="C29" s="9"/>
      <c r="D29" s="9"/>
      <c r="E29" s="9"/>
      <c r="F29" s="9"/>
      <c r="G29" s="9"/>
    </row>
    <row r="30" spans="2:15" s="6" customFormat="1" x14ac:dyDescent="0.2">
      <c r="B30" s="16"/>
    </row>
    <row r="31" spans="2:15" s="6" customFormat="1" ht="12" thickBot="1" x14ac:dyDescent="0.25">
      <c r="B31" s="16"/>
      <c r="C31" s="132" t="s">
        <v>260</v>
      </c>
      <c r="D31" s="132" t="s">
        <v>468</v>
      </c>
      <c r="E31" s="132" t="s">
        <v>471</v>
      </c>
      <c r="F31" s="132" t="s">
        <v>472</v>
      </c>
      <c r="G31" s="132" t="s">
        <v>473</v>
      </c>
      <c r="H31" s="132" t="s">
        <v>474</v>
      </c>
    </row>
    <row r="32" spans="2:15" s="6" customFormat="1" x14ac:dyDescent="0.2">
      <c r="B32" s="16"/>
      <c r="C32" s="18" t="s">
        <v>467</v>
      </c>
      <c r="D32" s="18" t="s">
        <v>469</v>
      </c>
      <c r="E32" s="157">
        <v>3.1150000000000002</v>
      </c>
      <c r="F32" s="159">
        <v>138690</v>
      </c>
      <c r="G32" s="158">
        <f>Btu_per_MMBtu*E32/F32</f>
        <v>22.460162953349197</v>
      </c>
      <c r="H32" s="6" t="s">
        <v>1634</v>
      </c>
    </row>
    <row r="33" spans="2:10" s="6" customFormat="1" x14ac:dyDescent="0.2">
      <c r="B33" s="16"/>
      <c r="C33" s="18" t="s">
        <v>178</v>
      </c>
      <c r="D33" s="18" t="s">
        <v>365</v>
      </c>
      <c r="E33" s="157">
        <v>0.1978</v>
      </c>
      <c r="F33" s="159">
        <v>3412</v>
      </c>
      <c r="G33" s="158">
        <f>Btu_per_MMBtu*E33/F33</f>
        <v>57.971864009378663</v>
      </c>
      <c r="H33" s="6" t="s">
        <v>1637</v>
      </c>
    </row>
    <row r="34" spans="2:10" s="6" customFormat="1" x14ac:dyDescent="0.2">
      <c r="B34" s="16"/>
      <c r="C34" s="18" t="s">
        <v>55</v>
      </c>
      <c r="D34" s="18" t="s">
        <v>470</v>
      </c>
      <c r="E34" s="157">
        <v>1.6130000000000002</v>
      </c>
      <c r="F34" s="159">
        <v>100000</v>
      </c>
      <c r="G34" s="158">
        <f>Btu_per_MMBtu*E34/F34</f>
        <v>16.130000000000003</v>
      </c>
      <c r="H34" s="6" t="s">
        <v>1636</v>
      </c>
    </row>
    <row r="35" spans="2:10" s="6" customFormat="1" x14ac:dyDescent="0.2">
      <c r="B35" s="16"/>
      <c r="C35" s="18" t="s">
        <v>28</v>
      </c>
      <c r="D35" s="18" t="s">
        <v>469</v>
      </c>
      <c r="E35" s="157">
        <v>3.2829999999999999</v>
      </c>
      <c r="F35" s="159">
        <v>91333</v>
      </c>
      <c r="G35" s="158">
        <f>Btu_per_MMBtu*E35/F35</f>
        <v>35.945386661995116</v>
      </c>
      <c r="H35" s="6" t="s">
        <v>1635</v>
      </c>
    </row>
    <row r="36" spans="2:10" s="6" customFormat="1" x14ac:dyDescent="0.2">
      <c r="B36" s="16"/>
    </row>
    <row r="37" spans="2:10" s="6" customFormat="1" x14ac:dyDescent="0.2"/>
    <row r="38" spans="2:10" s="6" customFormat="1" ht="13.5" thickBot="1" x14ac:dyDescent="0.25">
      <c r="B38" s="9" t="s">
        <v>476</v>
      </c>
      <c r="C38" s="9"/>
      <c r="D38" s="9"/>
      <c r="E38" s="9"/>
      <c r="F38" s="9"/>
      <c r="G38" s="9"/>
    </row>
    <row r="39" spans="2:10" s="6" customFormat="1" x14ac:dyDescent="0.2">
      <c r="B39" s="16"/>
    </row>
    <row r="40" spans="2:10" s="6" customFormat="1" ht="12" thickBot="1" x14ac:dyDescent="0.25">
      <c r="B40" s="16"/>
      <c r="C40" s="132" t="s">
        <v>477</v>
      </c>
      <c r="D40" s="132" t="s">
        <v>478</v>
      </c>
      <c r="E40" s="132" t="s">
        <v>479</v>
      </c>
    </row>
    <row r="41" spans="2:10" s="6" customFormat="1" x14ac:dyDescent="0.2">
      <c r="B41" s="16"/>
      <c r="C41" s="18" t="s">
        <v>480</v>
      </c>
      <c r="D41" s="18" t="s">
        <v>481</v>
      </c>
      <c r="E41" s="159">
        <v>1000000</v>
      </c>
    </row>
    <row r="42" spans="2:10" s="6" customFormat="1" x14ac:dyDescent="0.2">
      <c r="B42" s="16"/>
      <c r="C42" s="18" t="s">
        <v>470</v>
      </c>
      <c r="D42" s="18" t="s">
        <v>481</v>
      </c>
      <c r="E42" s="159">
        <v>10</v>
      </c>
    </row>
    <row r="43" spans="2:10" s="6" customFormat="1" x14ac:dyDescent="0.2">
      <c r="B43" s="16"/>
      <c r="C43" s="18" t="s">
        <v>480</v>
      </c>
      <c r="D43" s="18" t="s">
        <v>365</v>
      </c>
      <c r="E43" s="159">
        <v>3412</v>
      </c>
    </row>
    <row r="44" spans="2:10" s="6" customFormat="1" x14ac:dyDescent="0.2">
      <c r="B44" s="16"/>
      <c r="C44" s="18" t="s">
        <v>697</v>
      </c>
      <c r="D44" s="18" t="s">
        <v>698</v>
      </c>
      <c r="E44" s="246">
        <v>5.0000000000000001E-4</v>
      </c>
    </row>
    <row r="45" spans="2:10" s="6" customFormat="1" x14ac:dyDescent="0.2">
      <c r="B45" s="16"/>
      <c r="C45" s="18" t="s">
        <v>365</v>
      </c>
      <c r="D45" s="18" t="s">
        <v>688</v>
      </c>
      <c r="E45" s="159">
        <v>1000</v>
      </c>
    </row>
    <row r="46" spans="2:10" s="6" customFormat="1" x14ac:dyDescent="0.2">
      <c r="B46" s="16"/>
    </row>
    <row r="47" spans="2:10" s="6" customFormat="1" x14ac:dyDescent="0.2"/>
    <row r="48" spans="2:10" s="6" customFormat="1" ht="13.5" thickBot="1" x14ac:dyDescent="0.25">
      <c r="B48" s="9" t="s">
        <v>179</v>
      </c>
      <c r="C48" s="9"/>
      <c r="D48" s="9"/>
      <c r="E48" s="9"/>
      <c r="F48" s="9"/>
      <c r="G48" s="9"/>
      <c r="H48" s="9"/>
      <c r="I48"/>
      <c r="J48"/>
    </row>
    <row r="49" spans="2:14" s="6" customFormat="1" x14ac:dyDescent="0.2">
      <c r="B49" s="15"/>
      <c r="H49"/>
      <c r="I49"/>
      <c r="J49"/>
    </row>
    <row r="50" spans="2:14" s="6" customFormat="1" x14ac:dyDescent="0.2">
      <c r="B50" s="16"/>
      <c r="C50" s="8" t="s">
        <v>924</v>
      </c>
    </row>
    <row r="51" spans="2:14" s="6" customFormat="1" x14ac:dyDescent="0.2">
      <c r="B51" s="16"/>
      <c r="C51" s="8" t="s">
        <v>928</v>
      </c>
    </row>
    <row r="52" spans="2:14" s="6" customFormat="1" x14ac:dyDescent="0.2">
      <c r="B52" s="16"/>
      <c r="C52" s="8" t="s">
        <v>927</v>
      </c>
    </row>
    <row r="53" spans="2:14" s="6" customFormat="1" x14ac:dyDescent="0.2">
      <c r="B53" s="16"/>
      <c r="C53" s="8" t="s">
        <v>1609</v>
      </c>
    </row>
    <row r="54" spans="2:14" s="6" customFormat="1" x14ac:dyDescent="0.2">
      <c r="B54" s="16"/>
      <c r="C54" s="8" t="s">
        <v>1610</v>
      </c>
    </row>
    <row r="55" spans="2:14" s="6" customFormat="1" x14ac:dyDescent="0.2">
      <c r="B55" s="16"/>
      <c r="C55" s="8" t="s">
        <v>1611</v>
      </c>
    </row>
    <row r="56" spans="2:14" s="6" customFormat="1" x14ac:dyDescent="0.2">
      <c r="B56" s="16"/>
    </row>
    <row r="57" spans="2:14" s="6" customFormat="1" ht="12.75" x14ac:dyDescent="0.2">
      <c r="B57" s="16"/>
      <c r="C57" s="10" t="s">
        <v>932</v>
      </c>
      <c r="D57" s="10"/>
    </row>
    <row r="58" spans="2:14" s="6" customFormat="1" ht="12.75" x14ac:dyDescent="0.2">
      <c r="B58" s="16"/>
      <c r="C58" s="30" t="s">
        <v>925</v>
      </c>
      <c r="D58" s="30"/>
      <c r="E58" s="670" t="s">
        <v>171</v>
      </c>
      <c r="F58" s="667"/>
      <c r="G58" s="614" t="s">
        <v>1572</v>
      </c>
      <c r="H58" s="615"/>
      <c r="I58" s="615"/>
      <c r="J58" s="615"/>
      <c r="K58" s="615"/>
      <c r="L58" s="615"/>
      <c r="M58" s="615"/>
      <c r="N58" s="615"/>
    </row>
    <row r="59" spans="2:14" s="6" customFormat="1" x14ac:dyDescent="0.2">
      <c r="B59" s="16"/>
      <c r="G59" s="615"/>
      <c r="H59" s="615"/>
      <c r="I59" s="615"/>
      <c r="J59" s="615"/>
      <c r="K59" s="615"/>
      <c r="L59" s="615"/>
      <c r="M59" s="615"/>
      <c r="N59" s="615"/>
    </row>
    <row r="60" spans="2:14" s="6" customFormat="1" ht="12.75" x14ac:dyDescent="0.2">
      <c r="B60" s="16"/>
      <c r="C60" s="30" t="s">
        <v>1580</v>
      </c>
      <c r="E60" s="666" t="s">
        <v>1583</v>
      </c>
      <c r="F60" s="667"/>
      <c r="G60" s="615" t="s">
        <v>1582</v>
      </c>
      <c r="H60" s="615"/>
      <c r="I60" s="615"/>
      <c r="J60" s="615"/>
      <c r="K60" s="615"/>
      <c r="L60" s="615"/>
      <c r="M60" s="615"/>
      <c r="N60" s="616" t="s">
        <v>1586</v>
      </c>
    </row>
    <row r="61" spans="2:14" s="6" customFormat="1" ht="12.75" x14ac:dyDescent="0.2">
      <c r="B61" s="16"/>
      <c r="C61" s="30" t="s">
        <v>1581</v>
      </c>
      <c r="E61" s="666" t="s">
        <v>1583</v>
      </c>
      <c r="F61" s="667"/>
      <c r="G61" s="615" t="s">
        <v>1584</v>
      </c>
      <c r="H61" s="615"/>
      <c r="I61" s="615"/>
      <c r="J61" s="615"/>
      <c r="K61" s="615"/>
      <c r="L61" s="615"/>
      <c r="M61" s="615"/>
      <c r="N61" s="616" t="s">
        <v>1587</v>
      </c>
    </row>
    <row r="62" spans="2:14" s="6" customFormat="1" x14ac:dyDescent="0.2">
      <c r="B62" s="16"/>
      <c r="G62" s="615"/>
      <c r="H62" s="615"/>
      <c r="I62" s="615"/>
      <c r="J62" s="615"/>
      <c r="K62" s="615"/>
      <c r="L62" s="615"/>
      <c r="M62" s="615"/>
      <c r="N62" s="616"/>
    </row>
    <row r="63" spans="2:14" s="6" customFormat="1" ht="12.75" x14ac:dyDescent="0.2">
      <c r="B63" s="16"/>
      <c r="C63" s="30" t="s">
        <v>1573</v>
      </c>
      <c r="E63" s="666" t="s">
        <v>1613</v>
      </c>
      <c r="F63" s="667"/>
      <c r="G63" s="615" t="s">
        <v>1577</v>
      </c>
      <c r="H63" s="615"/>
      <c r="I63" s="615"/>
      <c r="J63" s="615"/>
      <c r="K63" s="615"/>
      <c r="L63" s="615"/>
      <c r="M63" s="615"/>
      <c r="N63" s="616" t="s">
        <v>1588</v>
      </c>
    </row>
    <row r="64" spans="2:14" s="6" customFormat="1" ht="12.75" x14ac:dyDescent="0.2">
      <c r="B64" s="16"/>
      <c r="C64" s="30" t="s">
        <v>1574</v>
      </c>
      <c r="E64" s="666" t="s">
        <v>1613</v>
      </c>
      <c r="F64" s="667"/>
      <c r="G64" s="615" t="s">
        <v>1585</v>
      </c>
      <c r="H64" s="615"/>
      <c r="I64" s="615"/>
      <c r="J64" s="615"/>
      <c r="K64" s="615"/>
      <c r="L64" s="615"/>
      <c r="M64" s="615"/>
      <c r="N64" s="616" t="s">
        <v>1589</v>
      </c>
    </row>
    <row r="65" spans="2:14" s="6" customFormat="1" x14ac:dyDescent="0.2">
      <c r="B65" s="16"/>
      <c r="G65" s="615"/>
      <c r="H65" s="615"/>
      <c r="I65" s="615"/>
      <c r="J65" s="615"/>
      <c r="K65" s="615"/>
      <c r="L65" s="615"/>
      <c r="M65" s="615"/>
      <c r="N65" s="616"/>
    </row>
    <row r="66" spans="2:14" s="6" customFormat="1" ht="12.75" x14ac:dyDescent="0.2">
      <c r="B66" s="16"/>
      <c r="C66" s="30" t="s">
        <v>1578</v>
      </c>
      <c r="E66" s="666" t="s">
        <v>1607</v>
      </c>
      <c r="F66" s="667"/>
      <c r="G66" s="615" t="s">
        <v>1582</v>
      </c>
      <c r="H66" s="615"/>
      <c r="I66" s="615"/>
      <c r="J66" s="615"/>
      <c r="K66" s="615"/>
      <c r="L66" s="615"/>
      <c r="M66" s="615"/>
      <c r="N66" s="616" t="s">
        <v>1590</v>
      </c>
    </row>
    <row r="67" spans="2:14" s="6" customFormat="1" ht="12.75" x14ac:dyDescent="0.2">
      <c r="B67" s="16"/>
      <c r="C67" s="30" t="s">
        <v>1579</v>
      </c>
      <c r="E67" s="666" t="s">
        <v>1607</v>
      </c>
      <c r="F67" s="667"/>
      <c r="G67" s="615" t="s">
        <v>1584</v>
      </c>
      <c r="H67" s="615"/>
      <c r="I67" s="615"/>
      <c r="J67" s="615"/>
      <c r="K67" s="615"/>
      <c r="L67" s="615"/>
      <c r="M67" s="615"/>
      <c r="N67" s="616" t="s">
        <v>1591</v>
      </c>
    </row>
    <row r="68" spans="2:14" s="6" customFormat="1" x14ac:dyDescent="0.2">
      <c r="B68" s="16"/>
      <c r="G68" s="615"/>
      <c r="H68" s="615"/>
      <c r="I68" s="615"/>
      <c r="J68" s="615"/>
      <c r="K68" s="615"/>
      <c r="L68" s="615"/>
      <c r="M68" s="615"/>
      <c r="N68" s="616"/>
    </row>
    <row r="69" spans="2:14" s="6" customFormat="1" ht="12.75" x14ac:dyDescent="0.2">
      <c r="B69" s="16"/>
      <c r="C69" s="30" t="s">
        <v>1575</v>
      </c>
      <c r="E69" s="666" t="s">
        <v>1608</v>
      </c>
      <c r="F69" s="667"/>
      <c r="G69" s="615" t="s">
        <v>1577</v>
      </c>
      <c r="H69" s="615"/>
      <c r="I69" s="615"/>
      <c r="J69" s="615"/>
      <c r="K69" s="615"/>
      <c r="L69" s="615"/>
      <c r="M69" s="615"/>
      <c r="N69" s="616" t="s">
        <v>1592</v>
      </c>
    </row>
    <row r="70" spans="2:14" s="6" customFormat="1" ht="12.75" x14ac:dyDescent="0.2">
      <c r="B70" s="16"/>
      <c r="C70" s="30" t="s">
        <v>1576</v>
      </c>
      <c r="E70" s="666" t="s">
        <v>1608</v>
      </c>
      <c r="F70" s="667"/>
      <c r="G70" s="615" t="s">
        <v>1585</v>
      </c>
      <c r="H70" s="615"/>
      <c r="I70" s="615"/>
      <c r="J70" s="615"/>
      <c r="K70" s="615"/>
      <c r="L70" s="615"/>
      <c r="M70" s="615"/>
      <c r="N70" s="616" t="s">
        <v>1593</v>
      </c>
    </row>
    <row r="71" spans="2:14" s="6" customFormat="1" x14ac:dyDescent="0.2">
      <c r="B71" s="16"/>
    </row>
    <row r="72" spans="2:14" s="6" customFormat="1" x14ac:dyDescent="0.2">
      <c r="B72" s="16"/>
    </row>
    <row r="73" spans="2:14" s="6" customFormat="1" x14ac:dyDescent="0.2"/>
    <row r="74" spans="2:14" s="6" customFormat="1" ht="13.5" thickBot="1" x14ac:dyDescent="0.25">
      <c r="B74" s="9" t="s">
        <v>1415</v>
      </c>
      <c r="C74" s="9"/>
      <c r="D74" s="9"/>
      <c r="E74" s="9"/>
      <c r="F74" s="9"/>
      <c r="G74" s="9"/>
    </row>
    <row r="75" spans="2:14" s="6" customFormat="1" ht="15" customHeight="1" x14ac:dyDescent="0.2">
      <c r="B75" s="15"/>
    </row>
    <row r="76" spans="2:14" s="6" customFormat="1" ht="15" customHeight="1" x14ac:dyDescent="0.2">
      <c r="B76" s="16"/>
      <c r="C76" s="8" t="s">
        <v>1416</v>
      </c>
    </row>
    <row r="77" spans="2:14" s="6" customFormat="1" ht="15" customHeight="1" x14ac:dyDescent="0.2">
      <c r="B77" s="16"/>
      <c r="C77" s="8" t="s">
        <v>1417</v>
      </c>
    </row>
    <row r="78" spans="2:14" s="6" customFormat="1" ht="15" customHeight="1" x14ac:dyDescent="0.2">
      <c r="B78" s="16"/>
      <c r="C78" s="8" t="s">
        <v>1422</v>
      </c>
    </row>
    <row r="79" spans="2:14" s="6" customFormat="1" ht="15" customHeight="1" x14ac:dyDescent="0.2">
      <c r="B79" s="16"/>
      <c r="C79" s="8" t="s">
        <v>1432</v>
      </c>
    </row>
    <row r="80" spans="2:14" s="6" customFormat="1" ht="15" customHeight="1" x14ac:dyDescent="0.2">
      <c r="B80" s="16"/>
      <c r="C80" s="8"/>
    </row>
    <row r="81" spans="2:7" s="6" customFormat="1" ht="15" customHeight="1" x14ac:dyDescent="0.2">
      <c r="B81" s="16"/>
      <c r="C81" s="10" t="s">
        <v>1421</v>
      </c>
      <c r="D81" s="10"/>
    </row>
    <row r="82" spans="2:7" s="6" customFormat="1" ht="15" customHeight="1" x14ac:dyDescent="0.2">
      <c r="B82" s="16"/>
      <c r="C82" s="30" t="s">
        <v>1418</v>
      </c>
      <c r="D82" s="30"/>
      <c r="E82" s="664">
        <f>(4.4+6.4+35.6)/100</f>
        <v>0.46400000000000008</v>
      </c>
      <c r="F82" s="8" t="s">
        <v>1650</v>
      </c>
    </row>
    <row r="83" spans="2:7" s="6" customFormat="1" ht="15" customHeight="1" x14ac:dyDescent="0.2">
      <c r="B83" s="16"/>
      <c r="C83" s="30" t="s">
        <v>1419</v>
      </c>
      <c r="D83" s="30"/>
      <c r="E83" s="664">
        <f>(31.9+1.4)/100</f>
        <v>0.33299999999999996</v>
      </c>
      <c r="F83" s="8" t="s">
        <v>1649</v>
      </c>
    </row>
    <row r="84" spans="2:7" s="6" customFormat="1" ht="15" customHeight="1" x14ac:dyDescent="0.2">
      <c r="B84" s="16"/>
      <c r="C84" s="30" t="s">
        <v>1420</v>
      </c>
      <c r="D84" s="30"/>
      <c r="E84" s="664">
        <v>0.20299999999999996</v>
      </c>
      <c r="F84" s="8" t="s">
        <v>1648</v>
      </c>
    </row>
    <row r="85" spans="2:7" s="6" customFormat="1" ht="15" customHeight="1" x14ac:dyDescent="0.2">
      <c r="B85" s="16"/>
      <c r="C85" s="8"/>
    </row>
    <row r="86" spans="2:7" s="6" customFormat="1" ht="12.75" x14ac:dyDescent="0.2">
      <c r="B86" s="16"/>
      <c r="C86" s="10" t="s">
        <v>931</v>
      </c>
      <c r="D86" s="10"/>
    </row>
    <row r="87" spans="2:7" s="6" customFormat="1" ht="12.75" x14ac:dyDescent="0.2">
      <c r="B87" s="16"/>
      <c r="C87" s="30" t="s">
        <v>926</v>
      </c>
      <c r="D87" s="30"/>
      <c r="E87" s="561">
        <v>12</v>
      </c>
      <c r="F87" s="8" t="s">
        <v>632</v>
      </c>
    </row>
    <row r="88" spans="2:7" s="6" customFormat="1" ht="12.75" x14ac:dyDescent="0.2">
      <c r="B88" s="16"/>
      <c r="C88" s="30" t="s">
        <v>633</v>
      </c>
      <c r="D88" s="30"/>
      <c r="E88" s="561">
        <v>348</v>
      </c>
      <c r="F88" s="45" t="s">
        <v>778</v>
      </c>
    </row>
    <row r="89" spans="2:7" s="6" customFormat="1" ht="12.75" x14ac:dyDescent="0.2">
      <c r="B89" s="16"/>
      <c r="C89" s="30" t="s">
        <v>631</v>
      </c>
      <c r="D89" s="30"/>
      <c r="E89" s="612">
        <f>ROUNDUP(TOTAL_COOLING_LOAD/INPUT_RAC_EFLH*1000/INPUT_RAC_SIZE,0)</f>
        <v>4</v>
      </c>
      <c r="F89" s="8" t="s">
        <v>1535</v>
      </c>
    </row>
    <row r="90" spans="2:7" s="6" customFormat="1" ht="12.75" x14ac:dyDescent="0.2">
      <c r="B90" s="16"/>
      <c r="C90" s="30" t="s">
        <v>933</v>
      </c>
      <c r="D90" s="30"/>
      <c r="E90" s="562">
        <v>300</v>
      </c>
      <c r="F90" s="45" t="s">
        <v>929</v>
      </c>
    </row>
    <row r="91" spans="2:7" s="6" customFormat="1" ht="12.75" x14ac:dyDescent="0.2">
      <c r="B91" s="16"/>
      <c r="C91" s="423" t="s">
        <v>1438</v>
      </c>
      <c r="D91" s="423"/>
      <c r="E91" s="44">
        <v>0.46</v>
      </c>
      <c r="F91" s="45" t="s">
        <v>953</v>
      </c>
      <c r="G91" s="45"/>
    </row>
    <row r="92" spans="2:7" s="6" customFormat="1" ht="15" customHeight="1" x14ac:dyDescent="0.2">
      <c r="B92" s="16"/>
      <c r="C92" s="423" t="s">
        <v>1433</v>
      </c>
      <c r="D92" s="423"/>
      <c r="E92" s="425" t="s">
        <v>625</v>
      </c>
    </row>
    <row r="93" spans="2:7" s="6" customFormat="1" ht="15" customHeight="1" x14ac:dyDescent="0.2">
      <c r="B93" s="16"/>
      <c r="C93" s="423" t="s">
        <v>157</v>
      </c>
      <c r="D93" s="423"/>
      <c r="E93" s="37" t="str">
        <f>INDEX(Tbl_EquipmentDefinitions[Electricity Baseline Efficiency],MATCH(E92,Tbl_EquipmentDefinitions[Equipment ID],0))</f>
        <v>8 EER</v>
      </c>
      <c r="F93" s="46" t="str">
        <f>LEFT(E93,SEARCH(" EER",E93,1)-1)</f>
        <v>8</v>
      </c>
      <c r="G93" s="6" t="s">
        <v>175</v>
      </c>
    </row>
    <row r="94" spans="2:7" s="6" customFormat="1" ht="15" customHeight="1" x14ac:dyDescent="0.2">
      <c r="B94" s="16"/>
      <c r="C94" s="423" t="s">
        <v>159</v>
      </c>
      <c r="D94" s="423"/>
      <c r="E94" s="46" t="str">
        <f>INDEX(Tbl_EquipmentDefinitions[Electricity Code Efficiency],MATCH(E92,Tbl_EquipmentDefinitions[Equipment ID],0))</f>
        <v>10 EER</v>
      </c>
      <c r="F94" s="37" t="str">
        <f>LEFT(E94,SEARCH(" EER",E94,1)-1)</f>
        <v>10</v>
      </c>
      <c r="G94" s="6" t="s">
        <v>175</v>
      </c>
    </row>
    <row r="95" spans="2:7" s="6" customFormat="1" ht="15" customHeight="1" x14ac:dyDescent="0.2">
      <c r="B95" s="16"/>
      <c r="C95" s="423" t="s">
        <v>930</v>
      </c>
      <c r="D95" s="423"/>
      <c r="E95" s="339">
        <f>INPUT_RAC_COSTPERUNIT*INPUT_RAC_NUMBER</f>
        <v>1200</v>
      </c>
      <c r="F95" s="188" t="s">
        <v>164</v>
      </c>
    </row>
    <row r="96" spans="2:7" s="6" customFormat="1" ht="15" customHeight="1" x14ac:dyDescent="0.2">
      <c r="B96" s="16"/>
      <c r="C96" s="423" t="s">
        <v>1495</v>
      </c>
      <c r="D96" s="423"/>
      <c r="E96" s="41">
        <f>INDEX(Tbl_EquipmentDefinitions[New Unit Equipment Life (years)],MATCH(E92,Tbl_EquipmentDefinitions[Equipment ID],0))</f>
        <v>9</v>
      </c>
      <c r="F96" s="6" t="s">
        <v>376</v>
      </c>
    </row>
    <row r="97" spans="2:9" s="6" customFormat="1" ht="15" customHeight="1" x14ac:dyDescent="0.2">
      <c r="B97" s="16"/>
      <c r="C97" s="423" t="s">
        <v>1496</v>
      </c>
      <c r="D97" s="423"/>
      <c r="E97" s="41">
        <f>INDEX(Tbl_EquipmentDefinitions[Remaining Life for Early Replacement (years)],MATCH(E92,Tbl_EquipmentDefinitions[Equipment ID],0))</f>
        <v>3</v>
      </c>
      <c r="F97" s="6" t="s">
        <v>376</v>
      </c>
    </row>
    <row r="98" spans="2:9" s="6" customFormat="1" ht="15" customHeight="1" x14ac:dyDescent="0.2">
      <c r="B98" s="16"/>
      <c r="C98" s="423" t="s">
        <v>160</v>
      </c>
      <c r="D98" s="423"/>
      <c r="E98" s="288">
        <f>INPUT_RAC_NUMBER*INPUT_RAC_EFLH*INPUT_RAC_SIZE/F93</f>
        <v>2088</v>
      </c>
      <c r="F98" s="6" t="s">
        <v>170</v>
      </c>
    </row>
    <row r="99" spans="2:9" s="6" customFormat="1" ht="15" customHeight="1" x14ac:dyDescent="0.2">
      <c r="B99" s="16"/>
      <c r="C99" s="423" t="s">
        <v>161</v>
      </c>
      <c r="D99" s="423"/>
      <c r="E99" s="288">
        <f>INPUT_RAC_NUMBER*INPUT_RAC_EFLH*INPUT_RAC_SIZE/F94</f>
        <v>1670.4</v>
      </c>
      <c r="F99" s="6" t="s">
        <v>170</v>
      </c>
    </row>
    <row r="100" spans="2:9" s="6" customFormat="1" ht="15" customHeight="1" x14ac:dyDescent="0.2">
      <c r="B100" s="16"/>
      <c r="C100" s="423" t="s">
        <v>162</v>
      </c>
      <c r="D100" s="423"/>
      <c r="E100" s="339">
        <f>E98*PRICE_PER_KWH_2018_ELECTRICITY</f>
        <v>413.00639999999999</v>
      </c>
      <c r="F100" s="6" t="s">
        <v>164</v>
      </c>
    </row>
    <row r="101" spans="2:9" s="6" customFormat="1" ht="15" customHeight="1" x14ac:dyDescent="0.2">
      <c r="B101" s="16"/>
      <c r="C101" s="423" t="s">
        <v>163</v>
      </c>
      <c r="D101" s="423"/>
      <c r="E101" s="339">
        <f>E99*PRICE_PER_KWH_2018_ELECTRICITY</f>
        <v>330.40512000000001</v>
      </c>
      <c r="F101" s="6" t="s">
        <v>164</v>
      </c>
    </row>
    <row r="102" spans="2:9" s="6" customFormat="1" ht="15" customHeight="1" x14ac:dyDescent="0.2">
      <c r="B102" s="16"/>
      <c r="C102" s="423" t="s">
        <v>742</v>
      </c>
      <c r="D102" s="423"/>
      <c r="E102" s="37">
        <f>E91*INPUT_RAC_NUMBER*INPUT_RAC_SIZE/F93</f>
        <v>2.7600000000000002</v>
      </c>
      <c r="F102" s="137" t="s">
        <v>176</v>
      </c>
    </row>
    <row r="103" spans="2:9" s="6" customFormat="1" ht="15" customHeight="1" x14ac:dyDescent="0.2">
      <c r="B103" s="16"/>
      <c r="C103" s="423" t="s">
        <v>743</v>
      </c>
      <c r="D103" s="423"/>
      <c r="E103" s="37">
        <f>E91*INPUT_RAC_NUMBER*INPUT_RAC_SIZE/F94</f>
        <v>2.2080000000000002</v>
      </c>
      <c r="F103" s="137" t="s">
        <v>176</v>
      </c>
    </row>
    <row r="104" spans="2:9" s="6" customFormat="1" ht="15" customHeight="1" x14ac:dyDescent="0.2">
      <c r="B104" s="16"/>
      <c r="C104" s="8"/>
      <c r="F104" s="137"/>
    </row>
    <row r="105" spans="2:9" s="6" customFormat="1" ht="15" customHeight="1" x14ac:dyDescent="0.2">
      <c r="B105" s="16"/>
      <c r="C105" s="10" t="s">
        <v>1434</v>
      </c>
      <c r="D105" s="10"/>
      <c r="E105" s="10"/>
    </row>
    <row r="106" spans="2:9" s="6" customFormat="1" ht="15" customHeight="1" x14ac:dyDescent="0.2">
      <c r="B106" s="16"/>
      <c r="C106" s="30" t="s">
        <v>172</v>
      </c>
      <c r="D106" s="30"/>
      <c r="E106" s="41" t="str">
        <f>LEFT(INPUT_CAC_SIZE_TONS,SEARCH("ton",INPUT_CAC_SIZE_TONS,1)-2)</f>
        <v>2.6</v>
      </c>
      <c r="F106" s="6" t="s">
        <v>1437</v>
      </c>
    </row>
    <row r="107" spans="2:9" s="6" customFormat="1" ht="15" customHeight="1" x14ac:dyDescent="0.2">
      <c r="B107" s="16"/>
      <c r="C107" s="423" t="s">
        <v>1439</v>
      </c>
      <c r="D107" s="423"/>
      <c r="E107" s="44">
        <v>0.5</v>
      </c>
      <c r="F107" s="45" t="s">
        <v>953</v>
      </c>
    </row>
    <row r="108" spans="2:9" s="6" customFormat="1" ht="15" customHeight="1" x14ac:dyDescent="0.2">
      <c r="B108" s="16"/>
      <c r="C108" s="423" t="s">
        <v>1435</v>
      </c>
      <c r="D108" s="423"/>
      <c r="E108" s="44" t="s">
        <v>943</v>
      </c>
    </row>
    <row r="109" spans="2:9" s="6" customFormat="1" ht="15" customHeight="1" x14ac:dyDescent="0.2">
      <c r="B109" s="16"/>
      <c r="C109" s="423" t="s">
        <v>157</v>
      </c>
      <c r="D109" s="423"/>
      <c r="E109" s="37" t="str">
        <f>INDEX(Tbl_EquipmentDefinitions[Electricity Baseline Efficiency],MATCH(E108,Tbl_EquipmentDefinitions[Equipment ID],0))</f>
        <v>10 SEER/8.5 EER</v>
      </c>
      <c r="F109" s="46" t="str">
        <f>LEFT(E109,SEARCH(" SEER",E109,1)-1)</f>
        <v>10</v>
      </c>
      <c r="G109" s="6" t="s">
        <v>169</v>
      </c>
      <c r="H109" s="46" t="str">
        <f>MID(E109,SEARCH("/",E109,1)+1,SEARCH(" EER",E109,1)-SEARCH("/",E109,1))</f>
        <v xml:space="preserve">8.5 </v>
      </c>
      <c r="I109" s="6" t="s">
        <v>175</v>
      </c>
    </row>
    <row r="110" spans="2:9" s="6" customFormat="1" ht="15" customHeight="1" x14ac:dyDescent="0.2">
      <c r="B110" s="16"/>
      <c r="C110" s="423" t="s">
        <v>159</v>
      </c>
      <c r="D110" s="423"/>
      <c r="E110" s="46" t="str">
        <f>INDEX(Tbl_EquipmentDefinitions[Electricity Code Efficiency],MATCH(E108,Tbl_EquipmentDefinitions[Equipment ID],0))</f>
        <v>13 SEER/11 EER</v>
      </c>
      <c r="F110" s="37" t="str">
        <f>LEFT(E110,SEARCH(" SEER",E110,1)-1)</f>
        <v>13</v>
      </c>
      <c r="G110" s="6" t="s">
        <v>169</v>
      </c>
      <c r="H110" s="37" t="str">
        <f>MID(E110,SEARCH("/",E110,1)+1,SEARCH(" EER",E110,1)-SEARCH("/",E110,1))</f>
        <v xml:space="preserve">11 </v>
      </c>
      <c r="I110" s="6" t="s">
        <v>175</v>
      </c>
    </row>
    <row r="111" spans="2:9" s="6" customFormat="1" ht="15" customHeight="1" x14ac:dyDescent="0.2">
      <c r="B111" s="16"/>
      <c r="C111" s="30" t="s">
        <v>1440</v>
      </c>
      <c r="D111" s="30"/>
      <c r="E111" s="406">
        <f>COST_AC_REPLACEMENT*E106</f>
        <v>10592.4</v>
      </c>
      <c r="F111" s="5" t="s">
        <v>164</v>
      </c>
    </row>
    <row r="112" spans="2:9" s="6" customFormat="1" ht="15" customHeight="1" x14ac:dyDescent="0.2">
      <c r="B112" s="16"/>
      <c r="C112" s="423" t="s">
        <v>1497</v>
      </c>
      <c r="D112" s="423"/>
      <c r="E112" s="41">
        <f>INDEX(Tbl_EquipmentDefinitions[New Unit Equipment Life (years)],MATCH(E108,Tbl_EquipmentDefinitions[Equipment ID],0))</f>
        <v>16</v>
      </c>
      <c r="F112" s="6" t="s">
        <v>376</v>
      </c>
    </row>
    <row r="113" spans="2:6" s="6" customFormat="1" ht="15" customHeight="1" x14ac:dyDescent="0.2">
      <c r="B113" s="16"/>
      <c r="C113" s="423" t="s">
        <v>1498</v>
      </c>
      <c r="D113" s="423"/>
      <c r="E113" s="41">
        <f>INDEX(Tbl_EquipmentDefinitions[Remaining Life for Early Replacement (years)],MATCH(E108,Tbl_EquipmentDefinitions[Equipment ID],0))</f>
        <v>5</v>
      </c>
      <c r="F113" s="6" t="s">
        <v>376</v>
      </c>
    </row>
    <row r="114" spans="2:6" s="6" customFormat="1" ht="15" customHeight="1" x14ac:dyDescent="0.2">
      <c r="B114" s="16"/>
      <c r="C114" s="55" t="s">
        <v>160</v>
      </c>
      <c r="D114" s="55"/>
      <c r="E114" s="288">
        <f>1000*TOTAL_COOLING_LOAD/F109</f>
        <v>1307.2800000000002</v>
      </c>
      <c r="F114" s="6" t="s">
        <v>170</v>
      </c>
    </row>
    <row r="115" spans="2:6" s="6" customFormat="1" ht="15" customHeight="1" x14ac:dyDescent="0.2">
      <c r="B115" s="16"/>
      <c r="C115" s="55" t="s">
        <v>161</v>
      </c>
      <c r="D115" s="55"/>
      <c r="E115" s="288">
        <f>1000*TOTAL_COOLING_LOAD/F110</f>
        <v>1005.6000000000001</v>
      </c>
      <c r="F115" s="6" t="s">
        <v>170</v>
      </c>
    </row>
    <row r="116" spans="2:6" s="6" customFormat="1" ht="15" customHeight="1" x14ac:dyDescent="0.2">
      <c r="B116" s="16"/>
      <c r="C116" s="55" t="s">
        <v>162</v>
      </c>
      <c r="D116" s="55"/>
      <c r="E116" s="42">
        <f>E114*PRICE_PER_KWH_2018_ELECTRICITY</f>
        <v>258.57998400000002</v>
      </c>
      <c r="F116" s="6" t="s">
        <v>164</v>
      </c>
    </row>
    <row r="117" spans="2:6" s="6" customFormat="1" ht="15" customHeight="1" x14ac:dyDescent="0.2">
      <c r="B117" s="16"/>
      <c r="C117" s="55" t="s">
        <v>163</v>
      </c>
      <c r="D117" s="55"/>
      <c r="E117" s="42">
        <f>E115*PRICE_PER_KWH_2018_ELECTRICITY</f>
        <v>198.90768000000003</v>
      </c>
      <c r="F117" s="6" t="s">
        <v>164</v>
      </c>
    </row>
    <row r="118" spans="2:6" s="6" customFormat="1" ht="15" customHeight="1" x14ac:dyDescent="0.2">
      <c r="B118" s="16"/>
      <c r="C118" s="423" t="s">
        <v>742</v>
      </c>
      <c r="D118" s="423"/>
      <c r="E118" s="37">
        <f>E107*E106*12/H109</f>
        <v>1.835294117647059</v>
      </c>
      <c r="F118" s="6" t="s">
        <v>176</v>
      </c>
    </row>
    <row r="119" spans="2:6" s="6" customFormat="1" ht="15" customHeight="1" x14ac:dyDescent="0.2">
      <c r="B119" s="16"/>
      <c r="C119" s="423" t="s">
        <v>743</v>
      </c>
      <c r="D119" s="423"/>
      <c r="E119" s="37">
        <f>E107*E106*12/H110</f>
        <v>1.4181818181818182</v>
      </c>
      <c r="F119" s="6" t="s">
        <v>176</v>
      </c>
    </row>
    <row r="120" spans="2:6" s="6" customFormat="1" ht="15" customHeight="1" x14ac:dyDescent="0.2">
      <c r="B120" s="16"/>
      <c r="C120" s="5"/>
      <c r="D120" s="5"/>
      <c r="E120" s="5"/>
    </row>
    <row r="121" spans="2:6" s="6" customFormat="1" ht="15" customHeight="1" x14ac:dyDescent="0.2">
      <c r="B121" s="16"/>
      <c r="C121" s="10" t="s">
        <v>1446</v>
      </c>
      <c r="D121" s="10"/>
      <c r="E121" s="10"/>
    </row>
    <row r="122" spans="2:6" s="6" customFormat="1" ht="15" customHeight="1" x14ac:dyDescent="0.2">
      <c r="B122" s="16"/>
      <c r="C122" s="30" t="s">
        <v>1440</v>
      </c>
      <c r="D122" s="30"/>
      <c r="E122" s="570">
        <v>0</v>
      </c>
      <c r="F122" s="5" t="s">
        <v>164</v>
      </c>
    </row>
    <row r="123" spans="2:6" s="6" customFormat="1" ht="15" customHeight="1" x14ac:dyDescent="0.2">
      <c r="B123" s="16"/>
      <c r="C123" s="30" t="s">
        <v>1499</v>
      </c>
      <c r="D123" s="30"/>
      <c r="E123" s="571">
        <v>0</v>
      </c>
      <c r="F123" s="5" t="s">
        <v>376</v>
      </c>
    </row>
    <row r="124" spans="2:6" s="6" customFormat="1" ht="15" customHeight="1" x14ac:dyDescent="0.2">
      <c r="B124" s="16"/>
      <c r="C124" s="30" t="s">
        <v>1500</v>
      </c>
      <c r="D124" s="30"/>
      <c r="E124" s="571">
        <v>0</v>
      </c>
      <c r="F124" s="5" t="s">
        <v>376</v>
      </c>
    </row>
    <row r="125" spans="2:6" s="6" customFormat="1" ht="15" customHeight="1" x14ac:dyDescent="0.2">
      <c r="B125" s="16"/>
      <c r="C125" s="55" t="s">
        <v>160</v>
      </c>
      <c r="D125" s="55"/>
      <c r="E125" s="571">
        <v>0</v>
      </c>
      <c r="F125" s="6" t="s">
        <v>170</v>
      </c>
    </row>
    <row r="126" spans="2:6" s="6" customFormat="1" ht="15" customHeight="1" x14ac:dyDescent="0.2">
      <c r="B126" s="16"/>
      <c r="C126" s="55" t="s">
        <v>161</v>
      </c>
      <c r="D126" s="55"/>
      <c r="E126" s="571">
        <v>0</v>
      </c>
      <c r="F126" s="6" t="s">
        <v>170</v>
      </c>
    </row>
    <row r="127" spans="2:6" s="6" customFormat="1" ht="15" customHeight="1" x14ac:dyDescent="0.2">
      <c r="B127" s="16"/>
      <c r="C127" s="55" t="s">
        <v>162</v>
      </c>
      <c r="D127" s="55"/>
      <c r="E127" s="572">
        <v>0</v>
      </c>
      <c r="F127" s="6" t="s">
        <v>164</v>
      </c>
    </row>
    <row r="128" spans="2:6" s="6" customFormat="1" ht="15" customHeight="1" x14ac:dyDescent="0.2">
      <c r="B128" s="16"/>
      <c r="C128" s="55" t="s">
        <v>163</v>
      </c>
      <c r="D128" s="55"/>
      <c r="E128" s="572">
        <v>0</v>
      </c>
      <c r="F128" s="6" t="s">
        <v>164</v>
      </c>
    </row>
    <row r="129" spans="2:7" s="6" customFormat="1" ht="15" customHeight="1" x14ac:dyDescent="0.2">
      <c r="B129" s="16"/>
      <c r="C129" s="423" t="s">
        <v>742</v>
      </c>
      <c r="D129" s="423"/>
      <c r="E129" s="573">
        <v>0</v>
      </c>
      <c r="F129" s="6" t="s">
        <v>176</v>
      </c>
    </row>
    <row r="130" spans="2:7" s="6" customFormat="1" ht="15" customHeight="1" x14ac:dyDescent="0.2">
      <c r="B130" s="16"/>
      <c r="C130" s="423" t="s">
        <v>743</v>
      </c>
      <c r="D130" s="423"/>
      <c r="E130" s="573">
        <v>0</v>
      </c>
      <c r="F130" s="6" t="s">
        <v>176</v>
      </c>
    </row>
    <row r="131" spans="2:7" s="6" customFormat="1" ht="15" customHeight="1" x14ac:dyDescent="0.2">
      <c r="B131" s="16"/>
      <c r="C131" s="5"/>
      <c r="D131" s="5"/>
      <c r="E131" s="5"/>
    </row>
    <row r="132" spans="2:7" s="6" customFormat="1" ht="25.5" x14ac:dyDescent="0.2">
      <c r="B132" s="16"/>
      <c r="C132" s="10" t="s">
        <v>1485</v>
      </c>
      <c r="D132" s="10"/>
      <c r="E132" s="580" t="s">
        <v>1486</v>
      </c>
      <c r="F132" s="580" t="s">
        <v>1487</v>
      </c>
      <c r="G132" s="45" t="s">
        <v>1488</v>
      </c>
    </row>
    <row r="133" spans="2:7" s="6" customFormat="1" ht="15" customHeight="1" x14ac:dyDescent="0.2">
      <c r="B133" s="16"/>
      <c r="C133" s="30" t="s">
        <v>1440</v>
      </c>
      <c r="D133" s="30"/>
      <c r="E133" s="406">
        <f>(INPUT_ROOM_AC_SATURATION*E95+INPUT_NO_AC_SATURATION*E122)/(INPUT_ROOM_AC_SATURATION+INPUT_NO_AC_SATURATION)</f>
        <v>834.78260869565224</v>
      </c>
      <c r="F133" s="406">
        <f>(INPUT_ROOM_AC_SATURATION*E95+INPUT_CAC_SATURATION*E111+INPUT_NO_AC_SATURATION*E122)/(INPUT_ROOM_AC_SATURATION+INPUT_CAC_SATURATION+INPUT_NO_AC_SATURATION)</f>
        <v>4084.0691999999995</v>
      </c>
      <c r="G133" s="5" t="s">
        <v>164</v>
      </c>
    </row>
    <row r="134" spans="2:7" s="6" customFormat="1" ht="15" customHeight="1" x14ac:dyDescent="0.2">
      <c r="B134" s="16"/>
      <c r="C134" s="30" t="s">
        <v>1499</v>
      </c>
      <c r="D134" s="30"/>
      <c r="E134" s="41">
        <f>ROUND((INPUT_ROOM_AC_SATURATION*E96+INPUT_NO_AC_SATURATION*E123)/(INPUT_ROOM_AC_SATURATION+INPUT_NO_AC_SATURATION),0)</f>
        <v>6</v>
      </c>
      <c r="F134" s="41">
        <f>ROUND((INPUT_ROOM_AC_SATURATION*E96+INPUT_CAC_SATURATION*E112+INPUT_NO_AC_SATURATION*E123)/(INPUT_ROOM_AC_SATURATION+INPUT_CAC_SATURATION+INPUT_NO_AC_SATURATION),0)</f>
        <v>10</v>
      </c>
      <c r="G134" s="5" t="s">
        <v>376</v>
      </c>
    </row>
    <row r="135" spans="2:7" s="6" customFormat="1" ht="15" customHeight="1" x14ac:dyDescent="0.2">
      <c r="B135" s="16"/>
      <c r="C135" s="30" t="s">
        <v>1500</v>
      </c>
      <c r="D135" s="30"/>
      <c r="E135" s="41">
        <f>ROUND((INPUT_ROOM_AC_SATURATION*E97+INPUT_NO_AC_SATURATION*E124)/(INPUT_ROOM_AC_SATURATION+INPUT_NO_AC_SATURATION),0)</f>
        <v>2</v>
      </c>
      <c r="F135" s="41">
        <f>ROUND((INPUT_ROOM_AC_SATURATION*E97+INPUT_CAC_SATURATION*E113+INPUT_NO_AC_SATURATION*E124)/(INPUT_ROOM_AC_SATURATION+INPUT_CAC_SATURATION+INPUT_NO_AC_SATURATION),0)</f>
        <v>3</v>
      </c>
      <c r="G135" s="5" t="s">
        <v>376</v>
      </c>
    </row>
    <row r="136" spans="2:7" s="6" customFormat="1" ht="15" customHeight="1" x14ac:dyDescent="0.2">
      <c r="B136" s="16"/>
      <c r="C136" s="55" t="s">
        <v>160</v>
      </c>
      <c r="D136" s="55"/>
      <c r="E136" s="288">
        <f t="shared" ref="E136:E141" si="0">(INPUT_ROOM_AC_SATURATION*E98+INPUT_NO_AC_SATURATION*E125)/(INPUT_ROOM_AC_SATURATION+INPUT_NO_AC_SATURATION)</f>
        <v>1452.521739130435</v>
      </c>
      <c r="F136" s="288">
        <f t="shared" ref="F136:F141" si="1">(INPUT_ROOM_AC_SATURATION*E98+INPUT_CAC_SATURATION*E114+INPUT_NO_AC_SATURATION*E125)/(INPUT_ROOM_AC_SATURATION+INPUT_CAC_SATURATION+INPUT_NO_AC_SATURATION)</f>
        <v>1404.1562400000003</v>
      </c>
      <c r="G136" s="6" t="s">
        <v>170</v>
      </c>
    </row>
    <row r="137" spans="2:7" s="6" customFormat="1" ht="15" customHeight="1" x14ac:dyDescent="0.2">
      <c r="B137" s="16"/>
      <c r="C137" s="55" t="s">
        <v>161</v>
      </c>
      <c r="D137" s="55"/>
      <c r="E137" s="288">
        <f t="shared" si="0"/>
        <v>1162.0173913043479</v>
      </c>
      <c r="F137" s="288">
        <f t="shared" si="1"/>
        <v>1109.9304000000002</v>
      </c>
      <c r="G137" s="6" t="s">
        <v>170</v>
      </c>
    </row>
    <row r="138" spans="2:7" s="6" customFormat="1" ht="15" customHeight="1" x14ac:dyDescent="0.2">
      <c r="B138" s="16"/>
      <c r="C138" s="55" t="s">
        <v>162</v>
      </c>
      <c r="D138" s="55"/>
      <c r="E138" s="42">
        <f t="shared" si="0"/>
        <v>287.30880000000002</v>
      </c>
      <c r="F138" s="42">
        <f t="shared" si="1"/>
        <v>277.74210427200001</v>
      </c>
      <c r="G138" s="6" t="s">
        <v>164</v>
      </c>
    </row>
    <row r="139" spans="2:7" s="6" customFormat="1" ht="15" customHeight="1" x14ac:dyDescent="0.2">
      <c r="B139" s="16"/>
      <c r="C139" s="55" t="s">
        <v>163</v>
      </c>
      <c r="D139" s="55"/>
      <c r="E139" s="42">
        <f t="shared" si="0"/>
        <v>229.84704000000002</v>
      </c>
      <c r="F139" s="42">
        <f t="shared" si="1"/>
        <v>219.54423312000003</v>
      </c>
      <c r="G139" s="6" t="s">
        <v>164</v>
      </c>
    </row>
    <row r="140" spans="2:7" s="6" customFormat="1" ht="15" customHeight="1" x14ac:dyDescent="0.2">
      <c r="B140" s="16"/>
      <c r="C140" s="423" t="s">
        <v>742</v>
      </c>
      <c r="D140" s="423"/>
      <c r="E140" s="37">
        <f t="shared" si="0"/>
        <v>1.9200000000000002</v>
      </c>
      <c r="F140" s="37">
        <f t="shared" si="1"/>
        <v>1.8917929411764707</v>
      </c>
      <c r="G140" s="6" t="s">
        <v>176</v>
      </c>
    </row>
    <row r="141" spans="2:7" s="6" customFormat="1" ht="15" customHeight="1" x14ac:dyDescent="0.2">
      <c r="B141" s="16"/>
      <c r="C141" s="423" t="s">
        <v>743</v>
      </c>
      <c r="D141" s="423"/>
      <c r="E141" s="37">
        <f t="shared" si="0"/>
        <v>1.5360000000000005</v>
      </c>
      <c r="F141" s="37">
        <f t="shared" si="1"/>
        <v>1.4967665454545458</v>
      </c>
      <c r="G141" s="6" t="s">
        <v>176</v>
      </c>
    </row>
    <row r="142" spans="2:7" s="6" customFormat="1" ht="15" customHeight="1" x14ac:dyDescent="0.2">
      <c r="B142" s="16"/>
      <c r="C142" s="5"/>
      <c r="D142" s="5"/>
      <c r="E142" s="5"/>
    </row>
    <row r="143" spans="2:7" s="6" customFormat="1" ht="15" customHeight="1" x14ac:dyDescent="0.2">
      <c r="B143" s="16"/>
      <c r="C143" s="5"/>
      <c r="D143" s="5"/>
      <c r="E143" s="5"/>
    </row>
    <row r="144" spans="2:7" s="6" customFormat="1" x14ac:dyDescent="0.2"/>
    <row r="145" spans="2:7" s="6" customFormat="1" ht="13.5" thickBot="1" x14ac:dyDescent="0.25">
      <c r="B145" s="9" t="s">
        <v>757</v>
      </c>
      <c r="C145" s="9"/>
      <c r="D145" s="9"/>
      <c r="E145" s="9"/>
      <c r="F145" s="9"/>
      <c r="G145" s="9"/>
    </row>
    <row r="146" spans="2:7" s="6" customFormat="1" ht="15" customHeight="1" x14ac:dyDescent="0.2">
      <c r="B146" s="15"/>
    </row>
    <row r="147" spans="2:7" s="6" customFormat="1" ht="15" customHeight="1" x14ac:dyDescent="0.2">
      <c r="B147" s="16"/>
      <c r="C147" s="390" t="s">
        <v>1049</v>
      </c>
    </row>
    <row r="148" spans="2:7" s="6" customFormat="1" ht="15" customHeight="1" x14ac:dyDescent="0.2">
      <c r="B148" s="16"/>
      <c r="C148" s="8" t="s">
        <v>1038</v>
      </c>
    </row>
    <row r="149" spans="2:7" s="6" customFormat="1" ht="15" customHeight="1" x14ac:dyDescent="0.2">
      <c r="B149" s="16"/>
      <c r="C149" s="8" t="s">
        <v>1040</v>
      </c>
    </row>
    <row r="150" spans="2:7" s="6" customFormat="1" ht="15" customHeight="1" x14ac:dyDescent="0.2">
      <c r="B150" s="16"/>
      <c r="C150" s="8" t="s">
        <v>1042</v>
      </c>
    </row>
    <row r="151" spans="2:7" s="6" customFormat="1" ht="15" customHeight="1" x14ac:dyDescent="0.2">
      <c r="B151" s="16"/>
      <c r="C151" s="8" t="s">
        <v>1041</v>
      </c>
    </row>
    <row r="152" spans="2:7" s="6" customFormat="1" ht="15" customHeight="1" x14ac:dyDescent="0.2">
      <c r="B152" s="16"/>
      <c r="C152" s="8" t="s">
        <v>1046</v>
      </c>
    </row>
    <row r="153" spans="2:7" s="6" customFormat="1" ht="15" customHeight="1" x14ac:dyDescent="0.2">
      <c r="B153" s="16"/>
      <c r="C153" s="8" t="s">
        <v>1043</v>
      </c>
    </row>
    <row r="154" spans="2:7" s="6" customFormat="1" ht="15" customHeight="1" x14ac:dyDescent="0.2">
      <c r="B154" s="16"/>
      <c r="C154" s="8" t="s">
        <v>1044</v>
      </c>
    </row>
    <row r="155" spans="2:7" s="6" customFormat="1" ht="15" customHeight="1" x14ac:dyDescent="0.2">
      <c r="B155" s="16"/>
      <c r="C155" s="8" t="s">
        <v>1047</v>
      </c>
    </row>
    <row r="156" spans="2:7" s="6" customFormat="1" ht="15" customHeight="1" x14ac:dyDescent="0.2">
      <c r="B156" s="16"/>
      <c r="C156" s="8" t="s">
        <v>1048</v>
      </c>
    </row>
    <row r="157" spans="2:7" s="6" customFormat="1" ht="15" customHeight="1" x14ac:dyDescent="0.2">
      <c r="B157" s="16"/>
      <c r="C157" s="8" t="s">
        <v>1045</v>
      </c>
    </row>
    <row r="158" spans="2:7" s="6" customFormat="1" ht="15" customHeight="1" x14ac:dyDescent="0.2">
      <c r="B158" s="16"/>
      <c r="C158" s="8"/>
    </row>
    <row r="159" spans="2:7" s="6" customFormat="1" ht="15" customHeight="1" x14ac:dyDescent="0.2">
      <c r="B159" s="16"/>
      <c r="C159" s="390" t="s">
        <v>1050</v>
      </c>
    </row>
    <row r="160" spans="2:7" s="6" customFormat="1" ht="15" customHeight="1" x14ac:dyDescent="0.2">
      <c r="B160" s="16"/>
      <c r="C160" s="8" t="s">
        <v>1051</v>
      </c>
    </row>
    <row r="161" spans="2:7" s="6" customFormat="1" ht="15" customHeight="1" x14ac:dyDescent="0.2">
      <c r="B161" s="16"/>
      <c r="C161" s="8" t="s">
        <v>1053</v>
      </c>
    </row>
    <row r="162" spans="2:7" s="6" customFormat="1" ht="15" customHeight="1" x14ac:dyDescent="0.2">
      <c r="B162" s="16"/>
      <c r="C162" s="8" t="s">
        <v>1054</v>
      </c>
    </row>
    <row r="163" spans="2:7" s="6" customFormat="1" ht="15" customHeight="1" x14ac:dyDescent="0.2">
      <c r="B163" s="16"/>
      <c r="C163" s="391" t="s">
        <v>1052</v>
      </c>
    </row>
    <row r="164" spans="2:7" s="6" customFormat="1" ht="15" customHeight="1" x14ac:dyDescent="0.2">
      <c r="B164" s="16"/>
      <c r="C164" s="8"/>
    </row>
    <row r="165" spans="2:7" s="6" customFormat="1" ht="15" customHeight="1" x14ac:dyDescent="0.2">
      <c r="B165" s="16"/>
      <c r="C165" s="8" t="s">
        <v>1039</v>
      </c>
    </row>
    <row r="166" spans="2:7" s="6" customFormat="1" ht="15" customHeight="1" x14ac:dyDescent="0.2">
      <c r="B166" s="16"/>
      <c r="C166" s="389" t="s">
        <v>1055</v>
      </c>
    </row>
    <row r="167" spans="2:7" s="6" customFormat="1" ht="15" customHeight="1" x14ac:dyDescent="0.2">
      <c r="B167" s="16"/>
      <c r="C167" s="389" t="s">
        <v>1056</v>
      </c>
    </row>
    <row r="168" spans="2:7" s="6" customFormat="1" ht="15" customHeight="1" x14ac:dyDescent="0.2">
      <c r="B168" s="16"/>
      <c r="C168" s="389" t="s">
        <v>1057</v>
      </c>
    </row>
    <row r="169" spans="2:7" s="6" customFormat="1" ht="15" customHeight="1" x14ac:dyDescent="0.2">
      <c r="B169" s="16"/>
      <c r="C169" s="389" t="s">
        <v>1058</v>
      </c>
    </row>
    <row r="170" spans="2:7" s="6" customFormat="1" ht="15" customHeight="1" x14ac:dyDescent="0.2">
      <c r="B170" s="16"/>
      <c r="C170" s="389" t="s">
        <v>1063</v>
      </c>
    </row>
    <row r="171" spans="2:7" s="6" customFormat="1" ht="15" customHeight="1" x14ac:dyDescent="0.2">
      <c r="B171" s="16"/>
      <c r="C171" s="392" t="s">
        <v>1061</v>
      </c>
    </row>
    <row r="172" spans="2:7" s="6" customFormat="1" ht="15" customHeight="1" x14ac:dyDescent="0.2">
      <c r="B172" s="16"/>
      <c r="C172" s="389"/>
    </row>
    <row r="173" spans="2:7" s="6" customFormat="1" ht="12.75" x14ac:dyDescent="0.2">
      <c r="B173" s="16"/>
      <c r="C173" s="297" t="s">
        <v>858</v>
      </c>
      <c r="D173" s="297"/>
      <c r="E173" s="28">
        <v>50</v>
      </c>
      <c r="F173" s="6" t="s">
        <v>1059</v>
      </c>
      <c r="G173" s="8" t="s">
        <v>758</v>
      </c>
    </row>
    <row r="174" spans="2:7" s="6" customFormat="1" ht="12.75" x14ac:dyDescent="0.2">
      <c r="B174" s="16"/>
      <c r="C174" s="297" t="s">
        <v>859</v>
      </c>
      <c r="D174" s="297"/>
      <c r="E174" s="28">
        <v>25</v>
      </c>
      <c r="F174" s="6" t="s">
        <v>1059</v>
      </c>
      <c r="G174" s="8" t="s">
        <v>758</v>
      </c>
    </row>
    <row r="175" spans="2:7" s="6" customFormat="1" ht="12.75" x14ac:dyDescent="0.2">
      <c r="B175" s="16"/>
      <c r="C175" s="297" t="s">
        <v>860</v>
      </c>
      <c r="D175" s="297"/>
      <c r="E175" s="28">
        <v>15</v>
      </c>
      <c r="F175" s="6" t="s">
        <v>1059</v>
      </c>
      <c r="G175" s="8" t="s">
        <v>758</v>
      </c>
    </row>
    <row r="176" spans="2:7" s="6" customFormat="1" ht="12.75" x14ac:dyDescent="0.2">
      <c r="B176" s="16"/>
      <c r="C176" s="297" t="s">
        <v>890</v>
      </c>
      <c r="D176" s="297"/>
      <c r="E176" s="28">
        <v>15</v>
      </c>
      <c r="F176" s="6" t="s">
        <v>1059</v>
      </c>
      <c r="G176" s="8" t="s">
        <v>758</v>
      </c>
    </row>
    <row r="177" spans="1:14" s="6" customFormat="1" ht="15" customHeight="1" x14ac:dyDescent="0.2">
      <c r="B177" s="16"/>
      <c r="C177" s="668" t="s">
        <v>759</v>
      </c>
      <c r="D177" s="669"/>
      <c r="E177" s="28">
        <v>0</v>
      </c>
      <c r="F177" s="6" t="s">
        <v>1059</v>
      </c>
      <c r="G177" s="8" t="s">
        <v>760</v>
      </c>
    </row>
    <row r="178" spans="1:14" s="6" customFormat="1" ht="15" customHeight="1" x14ac:dyDescent="0.2">
      <c r="B178" s="16"/>
      <c r="C178" s="668" t="s">
        <v>761</v>
      </c>
      <c r="D178" s="669"/>
      <c r="E178" s="299">
        <v>1.1000000000000001</v>
      </c>
      <c r="F178" s="8" t="s">
        <v>763</v>
      </c>
      <c r="G178" s="8"/>
    </row>
    <row r="179" spans="1:14" s="6" customFormat="1" ht="15" customHeight="1" x14ac:dyDescent="0.2">
      <c r="B179" s="16"/>
      <c r="C179" s="668" t="s">
        <v>762</v>
      </c>
      <c r="D179" s="669"/>
      <c r="E179" s="299">
        <v>1.1000000000000001</v>
      </c>
      <c r="F179" s="8" t="s">
        <v>764</v>
      </c>
      <c r="G179" s="8"/>
    </row>
    <row r="180" spans="1:14" s="6" customFormat="1" x14ac:dyDescent="0.2">
      <c r="B180" s="16"/>
      <c r="F180" s="8" t="s">
        <v>1491</v>
      </c>
    </row>
    <row r="181" spans="1:14" s="6" customFormat="1" x14ac:dyDescent="0.2">
      <c r="B181" s="16"/>
      <c r="F181" s="8" t="s">
        <v>1490</v>
      </c>
    </row>
    <row r="182" spans="1:14" s="6" customFormat="1" ht="15" customHeight="1" x14ac:dyDescent="0.2">
      <c r="B182" s="16"/>
      <c r="C182" s="668" t="s">
        <v>1062</v>
      </c>
      <c r="D182" s="669"/>
      <c r="E182" s="299">
        <v>1</v>
      </c>
      <c r="F182" s="8" t="s">
        <v>1064</v>
      </c>
      <c r="G182" s="8"/>
    </row>
    <row r="183" spans="1:14" s="6" customFormat="1" ht="15" customHeight="1" x14ac:dyDescent="0.2">
      <c r="B183" s="16"/>
      <c r="C183" s="668" t="s">
        <v>1205</v>
      </c>
      <c r="D183" s="669"/>
      <c r="E183" s="419">
        <v>400</v>
      </c>
      <c r="F183" s="6" t="s">
        <v>1180</v>
      </c>
      <c r="G183" s="8" t="s">
        <v>1206</v>
      </c>
    </row>
    <row r="184" spans="1:14" x14ac:dyDescent="0.2">
      <c r="B184" s="6"/>
      <c r="I184" s="6"/>
      <c r="J184" s="6"/>
      <c r="K184" s="6"/>
      <c r="L184" s="6"/>
      <c r="M184" s="6"/>
      <c r="N184" s="6"/>
    </row>
    <row r="185" spans="1:14" s="6" customFormat="1" ht="13.5" thickBot="1" x14ac:dyDescent="0.25">
      <c r="A185" s="137"/>
      <c r="B185" s="9" t="s">
        <v>375</v>
      </c>
      <c r="C185" s="9"/>
      <c r="D185" s="9"/>
      <c r="E185" s="9"/>
      <c r="F185" s="9"/>
      <c r="G185" s="9"/>
    </row>
    <row r="186" spans="1:14" s="6" customFormat="1" x14ac:dyDescent="0.2">
      <c r="A186" s="137"/>
      <c r="B186" s="15"/>
      <c r="C186" s="136"/>
      <c r="D186" s="137"/>
    </row>
    <row r="187" spans="1:14" s="6" customFormat="1" x14ac:dyDescent="0.2">
      <c r="A187" s="137"/>
      <c r="B187" s="16"/>
      <c r="C187" s="18" t="s">
        <v>1658</v>
      </c>
      <c r="D187" s="143">
        <v>2.8400000000000002E-2</v>
      </c>
      <c r="G187" s="6" t="s">
        <v>1657</v>
      </c>
    </row>
    <row r="188" spans="1:14" x14ac:dyDescent="0.2">
      <c r="A188" s="137"/>
      <c r="B188" s="16"/>
    </row>
    <row r="189" spans="1:14" x14ac:dyDescent="0.2">
      <c r="A189" s="137"/>
    </row>
    <row r="190" spans="1:14" s="6" customFormat="1" ht="13.5" thickBot="1" x14ac:dyDescent="0.25">
      <c r="A190" s="137"/>
      <c r="B190" s="9" t="s">
        <v>1155</v>
      </c>
      <c r="C190" s="9"/>
      <c r="D190" s="9"/>
      <c r="E190" s="9"/>
      <c r="F190" s="9"/>
      <c r="G190" s="9"/>
    </row>
    <row r="191" spans="1:14" s="6" customFormat="1" x14ac:dyDescent="0.2">
      <c r="A191" s="137"/>
      <c r="B191" s="15"/>
      <c r="C191" s="136"/>
      <c r="D191" s="137"/>
    </row>
    <row r="192" spans="1:14" s="6" customFormat="1" x14ac:dyDescent="0.2">
      <c r="A192" s="137"/>
      <c r="B192" s="16"/>
      <c r="C192" s="8" t="s">
        <v>1334</v>
      </c>
      <c r="D192" s="137"/>
    </row>
    <row r="193" spans="1:10" s="6" customFormat="1" x14ac:dyDescent="0.2">
      <c r="A193" s="137"/>
      <c r="B193" s="16"/>
      <c r="C193" s="8" t="s">
        <v>1336</v>
      </c>
      <c r="D193" s="137"/>
    </row>
    <row r="194" spans="1:10" s="6" customFormat="1" x14ac:dyDescent="0.2">
      <c r="A194" s="137"/>
      <c r="B194" s="16"/>
      <c r="C194" s="8" t="s">
        <v>1335</v>
      </c>
      <c r="D194" s="137"/>
    </row>
    <row r="195" spans="1:10" s="6" customFormat="1" x14ac:dyDescent="0.2">
      <c r="A195" s="137"/>
      <c r="B195" s="16"/>
      <c r="C195" s="136"/>
      <c r="D195" s="137"/>
    </row>
    <row r="196" spans="1:10" s="6" customFormat="1" x14ac:dyDescent="0.2">
      <c r="A196" s="137"/>
      <c r="B196" s="16"/>
      <c r="C196" s="136"/>
      <c r="D196" s="137" t="s">
        <v>1160</v>
      </c>
      <c r="E196" s="6" t="s">
        <v>1159</v>
      </c>
    </row>
    <row r="197" spans="1:10" s="6" customFormat="1" x14ac:dyDescent="0.2">
      <c r="A197" s="137"/>
      <c r="B197" s="16"/>
      <c r="C197" s="18" t="s">
        <v>1158</v>
      </c>
      <c r="D197" s="408">
        <v>4074</v>
      </c>
      <c r="E197" s="408">
        <v>4156</v>
      </c>
      <c r="F197" s="6" t="s">
        <v>1161</v>
      </c>
      <c r="G197" s="8" t="s">
        <v>1162</v>
      </c>
    </row>
    <row r="198" spans="1:10" s="6" customFormat="1" x14ac:dyDescent="0.2">
      <c r="A198" s="137"/>
      <c r="B198" s="16"/>
      <c r="C198" s="18" t="s">
        <v>1156</v>
      </c>
      <c r="D198" s="408">
        <v>4685</v>
      </c>
      <c r="E198" s="408">
        <v>5121</v>
      </c>
      <c r="F198" s="6" t="s">
        <v>1161</v>
      </c>
      <c r="G198" s="8" t="s">
        <v>1162</v>
      </c>
    </row>
    <row r="199" spans="1:10" s="6" customFormat="1" x14ac:dyDescent="0.2">
      <c r="A199" s="137"/>
      <c r="B199" s="16"/>
      <c r="C199" s="18" t="s">
        <v>1157</v>
      </c>
      <c r="D199" s="408">
        <v>5033</v>
      </c>
      <c r="E199" s="408">
        <v>5259</v>
      </c>
      <c r="F199" s="6" t="s">
        <v>1161</v>
      </c>
      <c r="G199" s="8" t="s">
        <v>1162</v>
      </c>
    </row>
    <row r="200" spans="1:10" s="6" customFormat="1" x14ac:dyDescent="0.2">
      <c r="A200" s="137"/>
      <c r="B200" s="16"/>
      <c r="G200" s="8"/>
    </row>
    <row r="201" spans="1:10" s="6" customFormat="1" x14ac:dyDescent="0.2">
      <c r="A201" s="137"/>
      <c r="B201" s="16"/>
    </row>
    <row r="202" spans="1:10" s="6" customFormat="1" x14ac:dyDescent="0.2">
      <c r="A202" s="137"/>
    </row>
    <row r="203" spans="1:10" ht="13.5" thickBot="1" x14ac:dyDescent="0.25">
      <c r="A203" s="137"/>
      <c r="B203" s="9" t="s">
        <v>689</v>
      </c>
      <c r="C203" s="9"/>
      <c r="D203" s="9"/>
      <c r="E203" s="9"/>
      <c r="F203" s="9"/>
      <c r="G203" s="9"/>
    </row>
    <row r="204" spans="1:10" x14ac:dyDescent="0.2">
      <c r="A204" s="137"/>
      <c r="B204" s="15"/>
      <c r="C204" s="136"/>
      <c r="D204" s="137"/>
      <c r="E204" s="6"/>
      <c r="G204" s="6"/>
    </row>
    <row r="205" spans="1:10" ht="12" thickBot="1" x14ac:dyDescent="0.25">
      <c r="A205" s="6"/>
      <c r="B205" s="16"/>
      <c r="C205" s="227" t="s">
        <v>7</v>
      </c>
      <c r="D205" s="227" t="s">
        <v>468</v>
      </c>
      <c r="E205" s="227" t="s">
        <v>687</v>
      </c>
      <c r="F205" s="227" t="s">
        <v>132</v>
      </c>
    </row>
    <row r="206" spans="1:10" x14ac:dyDescent="0.2">
      <c r="A206" s="6"/>
      <c r="B206" s="16"/>
      <c r="C206" t="s">
        <v>467</v>
      </c>
      <c r="D206" t="s">
        <v>481</v>
      </c>
      <c r="E206" s="245">
        <v>161.30000000000001</v>
      </c>
      <c r="F206" s="137" t="s">
        <v>691</v>
      </c>
      <c r="J206" s="94" t="s">
        <v>690</v>
      </c>
    </row>
    <row r="207" spans="1:10" x14ac:dyDescent="0.2">
      <c r="A207" s="6"/>
      <c r="B207" s="16"/>
      <c r="C207" t="s">
        <v>1090</v>
      </c>
      <c r="D207" t="s">
        <v>688</v>
      </c>
      <c r="E207" s="245">
        <v>654</v>
      </c>
      <c r="F207" s="137" t="s">
        <v>1652</v>
      </c>
      <c r="J207" s="94" t="s">
        <v>1651</v>
      </c>
    </row>
    <row r="208" spans="1:10" s="6" customFormat="1" x14ac:dyDescent="0.2">
      <c r="B208" s="16"/>
      <c r="C208" s="6" t="s">
        <v>1092</v>
      </c>
      <c r="D208" s="6" t="s">
        <v>1091</v>
      </c>
      <c r="E208" s="399">
        <f>E207*E217</f>
        <v>706.32</v>
      </c>
      <c r="F208" s="137" t="s">
        <v>1093</v>
      </c>
      <c r="J208" s="94"/>
    </row>
    <row r="209" spans="1:10" x14ac:dyDescent="0.2">
      <c r="A209" s="6"/>
      <c r="B209" s="16"/>
      <c r="C209" t="s">
        <v>55</v>
      </c>
      <c r="D209" t="s">
        <v>470</v>
      </c>
      <c r="E209" s="245">
        <v>11.7</v>
      </c>
      <c r="F209" s="137" t="s">
        <v>691</v>
      </c>
      <c r="J209" s="94" t="s">
        <v>690</v>
      </c>
    </row>
    <row r="210" spans="1:10" x14ac:dyDescent="0.2">
      <c r="A210" s="6"/>
      <c r="B210" s="16"/>
      <c r="C210" t="s">
        <v>28</v>
      </c>
      <c r="D210" t="s">
        <v>481</v>
      </c>
      <c r="E210" s="245">
        <v>139</v>
      </c>
      <c r="F210" s="137" t="s">
        <v>691</v>
      </c>
      <c r="J210" s="94" t="s">
        <v>690</v>
      </c>
    </row>
    <row r="211" spans="1:10" x14ac:dyDescent="0.2">
      <c r="A211" s="6"/>
      <c r="B211" s="16"/>
    </row>
    <row r="212" spans="1:10" x14ac:dyDescent="0.2">
      <c r="A212" s="6"/>
      <c r="B212" s="16"/>
    </row>
    <row r="214" spans="1:10" s="6" customFormat="1" ht="13.5" thickBot="1" x14ac:dyDescent="0.25">
      <c r="A214" s="137"/>
      <c r="B214" s="9" t="s">
        <v>957</v>
      </c>
      <c r="C214" s="9"/>
      <c r="D214" s="9"/>
      <c r="E214" s="9"/>
      <c r="F214" s="9"/>
      <c r="G214" s="9"/>
    </row>
    <row r="215" spans="1:10" s="6" customFormat="1" x14ac:dyDescent="0.2">
      <c r="A215" s="137"/>
      <c r="B215" s="15"/>
      <c r="C215" s="136"/>
      <c r="D215" s="137"/>
    </row>
    <row r="216" spans="1:10" s="6" customFormat="1" ht="12" thickBot="1" x14ac:dyDescent="0.25">
      <c r="B216" s="16"/>
      <c r="C216" s="280" t="s">
        <v>796</v>
      </c>
      <c r="D216" s="280" t="s">
        <v>792</v>
      </c>
      <c r="E216" s="280"/>
      <c r="F216" s="280"/>
    </row>
    <row r="217" spans="1:10" s="6" customFormat="1" x14ac:dyDescent="0.2">
      <c r="B217" s="16"/>
      <c r="C217" s="6" t="s">
        <v>789</v>
      </c>
      <c r="D217" s="6" t="s">
        <v>793</v>
      </c>
      <c r="E217" s="301">
        <v>1.08</v>
      </c>
      <c r="F217" s="302" t="s">
        <v>790</v>
      </c>
      <c r="J217" s="94" t="s">
        <v>791</v>
      </c>
    </row>
    <row r="218" spans="1:10" s="6" customFormat="1" x14ac:dyDescent="0.2">
      <c r="B218" s="16"/>
      <c r="C218" s="304" t="s">
        <v>1099</v>
      </c>
      <c r="D218" s="304"/>
      <c r="E218" s="305"/>
      <c r="F218" s="137" t="s">
        <v>1654</v>
      </c>
      <c r="J218" s="94" t="s">
        <v>1653</v>
      </c>
    </row>
    <row r="219" spans="1:10" s="6" customFormat="1" x14ac:dyDescent="0.2">
      <c r="B219" s="16"/>
      <c r="C219" s="6" t="s">
        <v>794</v>
      </c>
      <c r="D219" s="6" t="s">
        <v>793</v>
      </c>
      <c r="E219" s="303">
        <v>0.01</v>
      </c>
      <c r="F219" s="137"/>
      <c r="J219" s="94"/>
    </row>
    <row r="220" spans="1:10" s="6" customFormat="1" x14ac:dyDescent="0.2">
      <c r="B220" s="16"/>
      <c r="C220" s="6" t="s">
        <v>795</v>
      </c>
      <c r="D220" s="6" t="s">
        <v>793</v>
      </c>
      <c r="E220" s="303">
        <v>0.49</v>
      </c>
      <c r="F220" s="137"/>
      <c r="J220" s="94"/>
    </row>
    <row r="221" spans="1:10" s="6" customFormat="1" x14ac:dyDescent="0.2">
      <c r="B221" s="16"/>
      <c r="C221" s="6" t="s">
        <v>27</v>
      </c>
      <c r="D221" s="6" t="s">
        <v>793</v>
      </c>
      <c r="E221" s="303">
        <v>1.0999999999999999E-2</v>
      </c>
      <c r="F221" s="137"/>
      <c r="J221" s="94"/>
    </row>
    <row r="222" spans="1:10" s="6" customFormat="1" x14ac:dyDescent="0.2">
      <c r="B222" s="16"/>
      <c r="C222" s="304" t="s">
        <v>1100</v>
      </c>
      <c r="D222" s="304"/>
      <c r="E222" s="306"/>
      <c r="F222" s="6" t="s">
        <v>799</v>
      </c>
      <c r="J222" s="94"/>
    </row>
    <row r="223" spans="1:10" s="6" customFormat="1" x14ac:dyDescent="0.2">
      <c r="B223" s="16"/>
      <c r="C223" s="6" t="s">
        <v>794</v>
      </c>
      <c r="D223" s="6" t="s">
        <v>798</v>
      </c>
      <c r="E223" s="308">
        <f>30629861*1000000/3005305000</f>
        <v>10191.930935462457</v>
      </c>
    </row>
    <row r="224" spans="1:10" s="6" customFormat="1" x14ac:dyDescent="0.2">
      <c r="B224" s="16"/>
      <c r="C224" s="6" t="s">
        <v>795</v>
      </c>
      <c r="D224" s="6" t="s">
        <v>798</v>
      </c>
      <c r="E224" s="308">
        <f>144047592*1000000/18628433000</f>
        <v>7732.6735963245001</v>
      </c>
    </row>
    <row r="225" spans="2:10" s="6" customFormat="1" x14ac:dyDescent="0.2">
      <c r="B225" s="16"/>
      <c r="C225" s="6" t="s">
        <v>27</v>
      </c>
      <c r="D225" s="6" t="s">
        <v>798</v>
      </c>
      <c r="E225" s="308">
        <f>6303497*1000000/590975000</f>
        <v>10666.266762553407</v>
      </c>
    </row>
    <row r="226" spans="2:10" x14ac:dyDescent="0.2">
      <c r="B226" s="16"/>
      <c r="C226" s="304" t="s">
        <v>1101</v>
      </c>
      <c r="D226" s="304"/>
      <c r="E226" s="304"/>
      <c r="F226" s="137" t="s">
        <v>1656</v>
      </c>
      <c r="J226" s="94" t="s">
        <v>1655</v>
      </c>
    </row>
    <row r="227" spans="2:10" s="6" customFormat="1" x14ac:dyDescent="0.2">
      <c r="B227" s="16"/>
      <c r="C227" s="6" t="s">
        <v>794</v>
      </c>
      <c r="D227" s="6" t="s">
        <v>801</v>
      </c>
      <c r="E227" s="308">
        <v>11400</v>
      </c>
      <c r="F227" s="137"/>
    </row>
    <row r="228" spans="2:10" s="6" customFormat="1" x14ac:dyDescent="0.2">
      <c r="B228" s="16"/>
      <c r="C228" s="6" t="s">
        <v>795</v>
      </c>
      <c r="D228" s="6" t="s">
        <v>802</v>
      </c>
      <c r="E228" s="308">
        <v>1029</v>
      </c>
      <c r="F228" s="137"/>
    </row>
    <row r="229" spans="2:10" s="6" customFormat="1" x14ac:dyDescent="0.2">
      <c r="B229" s="16"/>
      <c r="C229" s="6" t="s">
        <v>27</v>
      </c>
      <c r="D229" s="6" t="s">
        <v>803</v>
      </c>
      <c r="E229" s="308">
        <v>137945</v>
      </c>
      <c r="F229" s="137"/>
    </row>
    <row r="230" spans="2:10" s="6" customFormat="1" x14ac:dyDescent="0.2">
      <c r="B230" s="16"/>
      <c r="C230" s="304" t="s">
        <v>1102</v>
      </c>
      <c r="D230" s="304"/>
      <c r="E230" s="304"/>
      <c r="F230" s="137" t="s">
        <v>809</v>
      </c>
    </row>
    <row r="231" spans="2:10" s="6" customFormat="1" x14ac:dyDescent="0.2">
      <c r="B231" s="16"/>
      <c r="C231" s="6" t="s">
        <v>794</v>
      </c>
      <c r="D231" s="6" t="s">
        <v>808</v>
      </c>
      <c r="E231" s="313">
        <f>1*$E$217*E219*E223</f>
        <v>110.07285410299454</v>
      </c>
    </row>
    <row r="232" spans="2:10" s="6" customFormat="1" x14ac:dyDescent="0.2">
      <c r="B232" s="16"/>
      <c r="C232" s="6" t="s">
        <v>795</v>
      </c>
      <c r="D232" s="6" t="s">
        <v>808</v>
      </c>
      <c r="E232" s="313">
        <f>1*$E$217*E220*E224</f>
        <v>4092.1308671749252</v>
      </c>
    </row>
    <row r="233" spans="2:10" s="6" customFormat="1" x14ac:dyDescent="0.2">
      <c r="B233" s="16"/>
      <c r="C233" s="6" t="s">
        <v>27</v>
      </c>
      <c r="D233" s="6" t="s">
        <v>808</v>
      </c>
      <c r="E233" s="313">
        <f>1*$E$217*E221*E225</f>
        <v>126.71524913913447</v>
      </c>
    </row>
    <row r="234" spans="2:10" s="6" customFormat="1" x14ac:dyDescent="0.2">
      <c r="B234" s="16"/>
      <c r="C234" s="304" t="s">
        <v>1103</v>
      </c>
      <c r="D234" s="304"/>
      <c r="E234" s="304"/>
      <c r="F234" s="137" t="s">
        <v>807</v>
      </c>
    </row>
    <row r="235" spans="2:10" x14ac:dyDescent="0.2">
      <c r="B235" s="16"/>
      <c r="C235" s="6" t="s">
        <v>794</v>
      </c>
      <c r="D235" t="s">
        <v>804</v>
      </c>
      <c r="E235" s="307">
        <f>1*$E$217*E219*E223/COAL_BTU_PER_LB</f>
        <v>9.6555135178065382E-3</v>
      </c>
    </row>
    <row r="236" spans="2:10" s="6" customFormat="1" x14ac:dyDescent="0.2">
      <c r="B236" s="16"/>
      <c r="C236" s="6" t="s">
        <v>795</v>
      </c>
      <c r="D236" s="6" t="s">
        <v>805</v>
      </c>
      <c r="E236" s="307">
        <f>1*$E$217*E220*E224/GAS_BTU_PER_CUFT</f>
        <v>3.9768035638240282</v>
      </c>
    </row>
    <row r="237" spans="2:10" s="6" customFormat="1" x14ac:dyDescent="0.2">
      <c r="B237" s="16"/>
      <c r="C237" s="6" t="s">
        <v>27</v>
      </c>
      <c r="D237" s="6" t="s">
        <v>806</v>
      </c>
      <c r="E237" s="307">
        <f>1*$E$217*E221*E225/OIL_BTU_PER_GAL</f>
        <v>9.185925487631626E-4</v>
      </c>
    </row>
    <row r="238" spans="2:10" s="6" customFormat="1" x14ac:dyDescent="0.2">
      <c r="B238" s="16"/>
    </row>
    <row r="239" spans="2:10" s="6" customFormat="1" x14ac:dyDescent="0.2"/>
    <row r="240" spans="2:10" s="6" customFormat="1" ht="13.5" thickBot="1" x14ac:dyDescent="0.25">
      <c r="B240" s="9" t="s">
        <v>1094</v>
      </c>
      <c r="C240" s="9"/>
      <c r="D240" s="9"/>
      <c r="E240" s="9"/>
      <c r="F240" s="9"/>
      <c r="G240" s="9"/>
    </row>
    <row r="241" spans="2:10" x14ac:dyDescent="0.2">
      <c r="B241" s="15"/>
      <c r="C241" s="136"/>
      <c r="D241" s="137"/>
      <c r="E241" s="6"/>
      <c r="G241" s="6"/>
    </row>
    <row r="242" spans="2:10" ht="12" thickBot="1" x14ac:dyDescent="0.25">
      <c r="B242" s="16"/>
      <c r="C242" s="280" t="s">
        <v>796</v>
      </c>
      <c r="D242" s="280" t="s">
        <v>792</v>
      </c>
      <c r="E242" s="280"/>
      <c r="F242" s="280"/>
      <c r="G242" s="6"/>
    </row>
    <row r="243" spans="2:10" x14ac:dyDescent="0.2">
      <c r="B243" s="16"/>
      <c r="C243" s="6" t="s">
        <v>789</v>
      </c>
      <c r="D243" s="6" t="s">
        <v>793</v>
      </c>
      <c r="E243" s="301">
        <v>1.08</v>
      </c>
      <c r="F243" s="6" t="s">
        <v>1095</v>
      </c>
    </row>
    <row r="244" spans="2:10" x14ac:dyDescent="0.2">
      <c r="B244" s="16"/>
      <c r="C244" s="304" t="s">
        <v>1098</v>
      </c>
      <c r="D244" s="304"/>
      <c r="E244" s="305"/>
      <c r="F244" s="6" t="s">
        <v>1639</v>
      </c>
      <c r="J244" s="94" t="s">
        <v>1638</v>
      </c>
    </row>
    <row r="245" spans="2:10" x14ac:dyDescent="0.2">
      <c r="B245" s="16"/>
      <c r="C245" s="6" t="s">
        <v>794</v>
      </c>
      <c r="D245" s="6" t="s">
        <v>793</v>
      </c>
      <c r="E245" s="303">
        <v>1.7000000000000001E-2</v>
      </c>
    </row>
    <row r="246" spans="2:10" x14ac:dyDescent="0.2">
      <c r="B246" s="16"/>
      <c r="C246" s="6" t="s">
        <v>795</v>
      </c>
      <c r="D246" s="6" t="s">
        <v>793</v>
      </c>
      <c r="E246" s="303">
        <v>0.20399999999999999</v>
      </c>
      <c r="F246" s="8"/>
      <c r="J246" s="400"/>
    </row>
    <row r="247" spans="2:10" x14ac:dyDescent="0.2">
      <c r="B247" s="16"/>
      <c r="C247" s="6" t="s">
        <v>27</v>
      </c>
      <c r="D247" s="6" t="s">
        <v>793</v>
      </c>
      <c r="E247" s="303">
        <v>5.0000000000000001E-3</v>
      </c>
      <c r="F247" s="8"/>
      <c r="J247" s="401"/>
    </row>
    <row r="248" spans="2:10" x14ac:dyDescent="0.2">
      <c r="B248" s="16"/>
      <c r="C248" s="304" t="s">
        <v>797</v>
      </c>
      <c r="D248" s="304"/>
      <c r="E248" s="306"/>
      <c r="F248" s="6" t="s">
        <v>1095</v>
      </c>
    </row>
    <row r="249" spans="2:10" x14ac:dyDescent="0.2">
      <c r="B249" s="16"/>
      <c r="C249" s="6" t="s">
        <v>794</v>
      </c>
      <c r="D249" s="6" t="s">
        <v>798</v>
      </c>
      <c r="E249" s="308">
        <f>30629861*1000000/3005305000</f>
        <v>10191.930935462457</v>
      </c>
    </row>
    <row r="250" spans="2:10" x14ac:dyDescent="0.2">
      <c r="B250" s="16"/>
      <c r="C250" s="6" t="s">
        <v>795</v>
      </c>
      <c r="D250" s="6" t="s">
        <v>798</v>
      </c>
      <c r="E250" s="308">
        <f>144047592*1000000/18628433000</f>
        <v>7732.6735963245001</v>
      </c>
    </row>
    <row r="251" spans="2:10" x14ac:dyDescent="0.2">
      <c r="B251" s="16"/>
      <c r="C251" s="6" t="s">
        <v>27</v>
      </c>
      <c r="D251" s="6" t="s">
        <v>798</v>
      </c>
      <c r="E251" s="308">
        <f>6303497*1000000/590975000</f>
        <v>10666.266762553407</v>
      </c>
    </row>
    <row r="252" spans="2:10" x14ac:dyDescent="0.2">
      <c r="B252" s="16"/>
      <c r="C252" s="304" t="s">
        <v>800</v>
      </c>
      <c r="D252" s="304"/>
      <c r="E252" s="304"/>
      <c r="F252" s="6" t="s">
        <v>1095</v>
      </c>
    </row>
    <row r="253" spans="2:10" x14ac:dyDescent="0.2">
      <c r="B253" s="16"/>
      <c r="C253" s="6" t="s">
        <v>794</v>
      </c>
      <c r="D253" s="6" t="s">
        <v>801</v>
      </c>
      <c r="E253" s="308">
        <v>11012</v>
      </c>
      <c r="F253" s="137"/>
    </row>
    <row r="254" spans="2:10" x14ac:dyDescent="0.2">
      <c r="B254" s="16"/>
      <c r="C254" s="6" t="s">
        <v>795</v>
      </c>
      <c r="D254" s="6" t="s">
        <v>802</v>
      </c>
      <c r="E254" s="308">
        <v>1030</v>
      </c>
      <c r="F254" s="137"/>
    </row>
    <row r="255" spans="2:10" x14ac:dyDescent="0.2">
      <c r="B255" s="16"/>
      <c r="C255" s="6" t="s">
        <v>27</v>
      </c>
      <c r="D255" s="6" t="s">
        <v>803</v>
      </c>
      <c r="E255" s="308">
        <v>148224</v>
      </c>
      <c r="F255" s="137"/>
    </row>
    <row r="256" spans="2:10" x14ac:dyDescent="0.2">
      <c r="B256" s="16"/>
      <c r="C256" s="304" t="s">
        <v>1097</v>
      </c>
      <c r="D256" s="304"/>
      <c r="E256" s="304"/>
      <c r="F256" s="137" t="s">
        <v>809</v>
      </c>
    </row>
    <row r="257" spans="2:8" x14ac:dyDescent="0.2">
      <c r="B257" s="16"/>
      <c r="C257" s="6" t="s">
        <v>794</v>
      </c>
      <c r="D257" s="6" t="s">
        <v>808</v>
      </c>
      <c r="E257" s="313">
        <f>1*$E$217*E245*E249</f>
        <v>187.1238519750907</v>
      </c>
    </row>
    <row r="258" spans="2:8" x14ac:dyDescent="0.2">
      <c r="B258" s="16"/>
      <c r="C258" s="6" t="s">
        <v>795</v>
      </c>
      <c r="D258" s="6" t="s">
        <v>808</v>
      </c>
      <c r="E258" s="313">
        <f>1*$E$217*E246*E250</f>
        <v>1703.6626467422138</v>
      </c>
    </row>
    <row r="259" spans="2:8" x14ac:dyDescent="0.2">
      <c r="B259" s="16"/>
      <c r="C259" s="6" t="s">
        <v>27</v>
      </c>
      <c r="D259" s="6" t="s">
        <v>808</v>
      </c>
      <c r="E259" s="313">
        <f>1*$E$217*E247*E251</f>
        <v>57.597840517788399</v>
      </c>
    </row>
    <row r="260" spans="2:8" x14ac:dyDescent="0.2">
      <c r="B260" s="16"/>
      <c r="C260" s="304" t="s">
        <v>1096</v>
      </c>
      <c r="D260" s="304"/>
      <c r="E260" s="304"/>
      <c r="F260" s="137" t="s">
        <v>807</v>
      </c>
    </row>
    <row r="261" spans="2:8" x14ac:dyDescent="0.2">
      <c r="B261" s="16"/>
      <c r="C261" s="6" t="s">
        <v>794</v>
      </c>
      <c r="D261" s="6" t="s">
        <v>804</v>
      </c>
      <c r="E261" s="307">
        <f>1*$E$217*E245*E249/COAL_BTU_PER_LB_CES</f>
        <v>1.6992721755820079E-2</v>
      </c>
    </row>
    <row r="262" spans="2:8" x14ac:dyDescent="0.2">
      <c r="B262" s="16"/>
      <c r="C262" s="6" t="s">
        <v>795</v>
      </c>
      <c r="D262" s="6" t="s">
        <v>805</v>
      </c>
      <c r="E262" s="307">
        <f>1*$E$217*E246*E250/GAS_BTU_PER_CUFT_CES</f>
        <v>1.6540414046040912</v>
      </c>
    </row>
    <row r="263" spans="2:8" x14ac:dyDescent="0.2">
      <c r="B263" s="16"/>
      <c r="C263" s="6" t="s">
        <v>27</v>
      </c>
      <c r="D263" s="6" t="s">
        <v>806</v>
      </c>
      <c r="E263" s="307">
        <f>1*$E$217*E247*E251/OIL_BTU_PER_GAL_CES</f>
        <v>3.8858646722385309E-4</v>
      </c>
    </row>
    <row r="264" spans="2:8" x14ac:dyDescent="0.2">
      <c r="B264" s="16"/>
      <c r="C264" s="6"/>
      <c r="D264" s="6"/>
      <c r="E264" s="6"/>
    </row>
    <row r="266" spans="2:8" ht="13.5" thickBot="1" x14ac:dyDescent="0.25">
      <c r="B266" s="9" t="s">
        <v>1165</v>
      </c>
      <c r="C266" s="9"/>
      <c r="D266" s="9"/>
      <c r="E266" s="9"/>
      <c r="F266" s="9"/>
      <c r="G266" s="9"/>
      <c r="H266" s="9"/>
    </row>
    <row r="267" spans="2:8" x14ac:dyDescent="0.2">
      <c r="B267" s="15"/>
      <c r="C267" s="6"/>
      <c r="D267" s="6"/>
      <c r="E267" s="6"/>
      <c r="G267" s="6"/>
      <c r="H267" s="6"/>
    </row>
    <row r="268" spans="2:8" x14ac:dyDescent="0.2">
      <c r="B268" s="16"/>
      <c r="C268" s="8" t="s">
        <v>1166</v>
      </c>
      <c r="D268" s="6"/>
      <c r="E268" s="6"/>
      <c r="G268" s="6"/>
      <c r="H268" s="6"/>
    </row>
    <row r="269" spans="2:8" x14ac:dyDescent="0.2">
      <c r="B269" s="16"/>
      <c r="C269" s="8" t="s">
        <v>1337</v>
      </c>
      <c r="D269" s="6"/>
      <c r="E269" s="6"/>
      <c r="G269" s="6"/>
      <c r="H269" s="6"/>
    </row>
    <row r="270" spans="2:8" s="6" customFormat="1" x14ac:dyDescent="0.2">
      <c r="B270" s="16"/>
      <c r="C270" s="8" t="s">
        <v>1167</v>
      </c>
    </row>
    <row r="271" spans="2:8" s="6" customFormat="1" x14ac:dyDescent="0.2">
      <c r="B271" s="16"/>
      <c r="C271" s="8" t="s">
        <v>1168</v>
      </c>
    </row>
    <row r="272" spans="2:8" s="6" customFormat="1" x14ac:dyDescent="0.2">
      <c r="B272" s="16"/>
      <c r="C272" s="389" t="s">
        <v>1169</v>
      </c>
    </row>
    <row r="273" spans="1:8" s="6" customFormat="1" x14ac:dyDescent="0.2">
      <c r="B273" s="16"/>
      <c r="C273" s="389" t="s">
        <v>1170</v>
      </c>
    </row>
    <row r="274" spans="1:8" s="6" customFormat="1" x14ac:dyDescent="0.2">
      <c r="B274" s="16"/>
      <c r="C274" s="8"/>
    </row>
    <row r="275" spans="1:8" s="6" customFormat="1" ht="12.75" x14ac:dyDescent="0.2">
      <c r="B275" s="16"/>
      <c r="C275" s="297" t="s">
        <v>1175</v>
      </c>
      <c r="D275" s="297"/>
      <c r="E275" s="29" t="s">
        <v>750</v>
      </c>
      <c r="F275" s="8" t="s">
        <v>1174</v>
      </c>
    </row>
    <row r="276" spans="1:8" s="6" customFormat="1" x14ac:dyDescent="0.2">
      <c r="B276" s="16"/>
      <c r="C276" s="8"/>
    </row>
    <row r="277" spans="1:8" s="6" customFormat="1" ht="12.75" x14ac:dyDescent="0.2">
      <c r="B277" s="16"/>
      <c r="C277" s="297" t="s">
        <v>1197</v>
      </c>
    </row>
    <row r="278" spans="1:8" ht="12.75" x14ac:dyDescent="0.2">
      <c r="A278" s="6"/>
      <c r="B278" s="16"/>
      <c r="C278" s="297" t="s">
        <v>1171</v>
      </c>
      <c r="D278" s="297"/>
      <c r="E278" s="28">
        <v>20</v>
      </c>
      <c r="F278" s="6" t="s">
        <v>1176</v>
      </c>
      <c r="G278" s="8" t="s">
        <v>1177</v>
      </c>
    </row>
    <row r="279" spans="1:8" ht="12.75" x14ac:dyDescent="0.2">
      <c r="A279" s="6"/>
      <c r="B279" s="16"/>
      <c r="C279" s="297" t="s">
        <v>1172</v>
      </c>
      <c r="D279" s="297"/>
      <c r="E279" s="28">
        <v>30</v>
      </c>
      <c r="F279" s="6" t="s">
        <v>1178</v>
      </c>
      <c r="G279" s="8" t="s">
        <v>1173</v>
      </c>
    </row>
    <row r="280" spans="1:8" s="6" customFormat="1" x14ac:dyDescent="0.2">
      <c r="B280" s="16"/>
      <c r="C280" s="8"/>
      <c r="D280" s="8"/>
      <c r="E280" s="8"/>
      <c r="F280" s="8"/>
      <c r="G280" s="8"/>
    </row>
    <row r="281" spans="1:8" s="6" customFormat="1" ht="12.75" x14ac:dyDescent="0.2">
      <c r="B281" s="16"/>
      <c r="C281" s="297" t="s">
        <v>1198</v>
      </c>
      <c r="D281" s="8"/>
      <c r="E281" s="8"/>
      <c r="F281" s="8"/>
      <c r="G281" s="8"/>
    </row>
    <row r="282" spans="1:8" s="6" customFormat="1" ht="12.75" x14ac:dyDescent="0.2">
      <c r="B282" s="16"/>
      <c r="C282" s="297" t="s">
        <v>1199</v>
      </c>
      <c r="D282" s="297"/>
      <c r="E282" s="28">
        <v>5000</v>
      </c>
      <c r="F282" s="6" t="s">
        <v>1180</v>
      </c>
      <c r="G282" s="8" t="s">
        <v>1200</v>
      </c>
    </row>
    <row r="283" spans="1:8" s="6" customFormat="1" x14ac:dyDescent="0.2">
      <c r="B283" s="16"/>
      <c r="G283" s="8"/>
    </row>
    <row r="284" spans="1:8" ht="12.75" x14ac:dyDescent="0.2">
      <c r="A284" s="6"/>
      <c r="B284" s="16"/>
      <c r="C284" s="297" t="s">
        <v>1179</v>
      </c>
      <c r="D284" s="297"/>
      <c r="E284" s="83">
        <f>E278*E279+E282</f>
        <v>5600</v>
      </c>
      <c r="F284" s="6" t="s">
        <v>1180</v>
      </c>
      <c r="G284" s="6"/>
    </row>
    <row r="285" spans="1:8" x14ac:dyDescent="0.2">
      <c r="A285" s="6"/>
      <c r="B285" s="16"/>
    </row>
    <row r="287" spans="1:8" ht="13.5" thickBot="1" x14ac:dyDescent="0.25">
      <c r="B287" s="9" t="s">
        <v>1202</v>
      </c>
      <c r="C287" s="9"/>
      <c r="D287" s="9"/>
      <c r="E287" s="9"/>
      <c r="F287" s="9"/>
      <c r="G287" s="9"/>
      <c r="H287" s="9"/>
    </row>
    <row r="288" spans="1:8" x14ac:dyDescent="0.2">
      <c r="B288" s="15"/>
      <c r="C288" s="6"/>
      <c r="D288" s="6"/>
      <c r="E288" s="6"/>
      <c r="G288" s="6"/>
      <c r="H288" s="6"/>
    </row>
    <row r="289" spans="2:8" ht="12.75" x14ac:dyDescent="0.2">
      <c r="B289" s="16"/>
      <c r="C289" s="297" t="s">
        <v>1201</v>
      </c>
      <c r="D289" s="297"/>
      <c r="E289" s="28">
        <v>500</v>
      </c>
      <c r="F289" s="6" t="s">
        <v>1180</v>
      </c>
      <c r="G289" s="8" t="s">
        <v>1333</v>
      </c>
    </row>
    <row r="290" spans="2:8" s="6" customFormat="1" x14ac:dyDescent="0.2">
      <c r="B290" s="16"/>
      <c r="G290" s="8" t="s">
        <v>1338</v>
      </c>
    </row>
    <row r="291" spans="2:8" x14ac:dyDescent="0.2">
      <c r="B291" s="16"/>
    </row>
    <row r="293" spans="2:8" ht="13.5" thickBot="1" x14ac:dyDescent="0.25">
      <c r="B293" s="9" t="s">
        <v>1203</v>
      </c>
      <c r="C293" s="9"/>
      <c r="D293" s="9"/>
      <c r="E293" s="9"/>
      <c r="F293" s="9"/>
      <c r="G293" s="9"/>
      <c r="H293" s="9"/>
    </row>
    <row r="294" spans="2:8" x14ac:dyDescent="0.2">
      <c r="B294" s="15"/>
      <c r="C294" s="6"/>
      <c r="D294" s="6"/>
      <c r="E294" s="6"/>
      <c r="G294" s="6"/>
      <c r="H294" s="6"/>
    </row>
    <row r="295" spans="2:8" ht="12.75" x14ac:dyDescent="0.2">
      <c r="B295" s="16"/>
      <c r="C295" s="297" t="s">
        <v>1204</v>
      </c>
      <c r="D295" s="297"/>
      <c r="E295" s="28">
        <v>600</v>
      </c>
      <c r="F295" s="6" t="s">
        <v>1180</v>
      </c>
      <c r="G295" s="8" t="s">
        <v>1343</v>
      </c>
      <c r="H295" s="6"/>
    </row>
    <row r="296" spans="2:8" x14ac:dyDescent="0.2">
      <c r="B296" s="16"/>
      <c r="C296" s="6"/>
      <c r="D296" s="6"/>
      <c r="E296" s="6"/>
      <c r="G296" s="8" t="s">
        <v>1339</v>
      </c>
      <c r="H296" s="6"/>
    </row>
    <row r="297" spans="2:8" x14ac:dyDescent="0.2">
      <c r="G297" s="8" t="s">
        <v>1340</v>
      </c>
    </row>
    <row r="298" spans="2:8" x14ac:dyDescent="0.2">
      <c r="G298" s="8" t="s">
        <v>1341</v>
      </c>
    </row>
  </sheetData>
  <mergeCells count="14">
    <mergeCell ref="E66:F66"/>
    <mergeCell ref="E67:F67"/>
    <mergeCell ref="C183:D183"/>
    <mergeCell ref="C182:D182"/>
    <mergeCell ref="E58:F58"/>
    <mergeCell ref="C179:D179"/>
    <mergeCell ref="C177:D177"/>
    <mergeCell ref="C178:D178"/>
    <mergeCell ref="E63:F63"/>
    <mergeCell ref="E64:F64"/>
    <mergeCell ref="E69:F69"/>
    <mergeCell ref="E70:F70"/>
    <mergeCell ref="E60:F60"/>
    <mergeCell ref="E61:F61"/>
  </mergeCells>
  <dataValidations count="8">
    <dataValidation type="list" allowBlank="1" showInputMessage="1" showErrorMessage="1" sqref="E58:F58">
      <formula1>"2 ton,2.5 ton,2.6 ton (MA TRM),3 ton,5 ton"</formula1>
    </dataValidation>
    <dataValidation type="list" allowBlank="1" showInputMessage="1" showErrorMessage="1" sqref="E275">
      <formula1>"Yes,No"</formula1>
    </dataValidation>
    <dataValidation type="list" allowBlank="1" showInputMessage="1" showErrorMessage="1" sqref="E87:E88">
      <formula1>"6,8,10,12,18,24,36"</formula1>
    </dataValidation>
    <dataValidation type="list" allowBlank="1" showInputMessage="1" showErrorMessage="1" sqref="E89">
      <formula1>"1,2,3,4,5"</formula1>
    </dataValidation>
    <dataValidation type="whole" allowBlank="1" showInputMessage="1" showErrorMessage="1" sqref="F91 E88 E90">
      <formula1>0</formula1>
      <formula2>8760</formula2>
    </dataValidation>
    <dataValidation type="list" allowBlank="1" showInputMessage="1" showErrorMessage="1" sqref="E92">
      <formula1>DEFINED_EQUIPMENT</formula1>
    </dataValidation>
    <dataValidation type="list" allowBlank="1" showInputMessage="1" showErrorMessage="1" sqref="E66:F70">
      <formula1>"1 ton (1x12kBtu),1.5 ton (1x18kBtu),2 ton (1x24kBtu),2.5 ton (1x12kBtu + 2x9kBtu),3 ton (3x12kBtu),4 ton (1x24kBtu + 2x12kBtu),5 ton (1x24kBtu + 3x12kBtu)"</formula1>
    </dataValidation>
    <dataValidation type="list" allowBlank="1" showInputMessage="1" showErrorMessage="1" sqref="E60:F64">
      <formula1>"1.0 ton,1.5 ton,2.0 ton,2.5 ton (default HP partial displacement),2.6 ton, 3.0 ton,4.0 ton (default HP full replacement),5.0 ton"</formula1>
    </dataValidation>
  </dataValidations>
  <hyperlinks>
    <hyperlink ref="J206" r:id="rId1"/>
    <hyperlink ref="J209" r:id="rId2"/>
    <hyperlink ref="J210" r:id="rId3"/>
    <hyperlink ref="J244" r:id="rId4"/>
    <hyperlink ref="J207" r:id="rId5"/>
    <hyperlink ref="J218" r:id="rId6"/>
    <hyperlink ref="J226" r:id="rId7"/>
  </hyperlinks>
  <pageMargins left="0.7" right="0.7" top="0.75" bottom="0.75" header="0.3" footer="0.3"/>
  <pageSetup orientation="portrait"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3"/>
  </sheetPr>
  <dimension ref="A1:AD177"/>
  <sheetViews>
    <sheetView workbookViewId="0"/>
  </sheetViews>
  <sheetFormatPr defaultColWidth="9.33203125" defaultRowHeight="11.25" x14ac:dyDescent="0.2"/>
  <cols>
    <col min="1" max="2" width="3.33203125" style="6" customWidth="1"/>
    <col min="3" max="3" width="22.6640625" style="6" bestFit="1" customWidth="1"/>
    <col min="4" max="5" width="17.1640625" style="6" customWidth="1"/>
    <col min="6" max="6" width="15" style="6" customWidth="1"/>
    <col min="7" max="7" width="13.5" style="6" customWidth="1"/>
    <col min="8" max="8" width="13.6640625" style="6" customWidth="1"/>
    <col min="9" max="9" width="22.33203125" style="6" bestFit="1" customWidth="1"/>
    <col min="10" max="10" width="24.6640625" style="6" customWidth="1"/>
    <col min="11"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29" t="s">
        <v>91</v>
      </c>
      <c r="E9" s="7" t="s">
        <v>290</v>
      </c>
    </row>
    <row r="10" spans="1:30" ht="12.75" x14ac:dyDescent="0.2">
      <c r="B10" s="16"/>
      <c r="C10" s="30" t="s">
        <v>289</v>
      </c>
      <c r="D10" s="83" t="str">
        <f>INDEX(Tbl_MeasureList[Baseline ID],MATCH($D$9,Tbl_MeasureList[Measure ID],0))</f>
        <v>BASE21</v>
      </c>
      <c r="E10" s="7"/>
    </row>
    <row r="11" spans="1:30" x14ac:dyDescent="0.2">
      <c r="B11" s="16"/>
      <c r="C11" s="7"/>
      <c r="D11" s="7"/>
      <c r="E11" s="7"/>
    </row>
    <row r="12" spans="1:30" ht="12" thickBot="1" x14ac:dyDescent="0.25">
      <c r="B12" s="16"/>
      <c r="C12" s="7"/>
      <c r="D12" s="160" t="s">
        <v>5</v>
      </c>
      <c r="E12" s="160" t="s">
        <v>284</v>
      </c>
    </row>
    <row r="13" spans="1:30" x14ac:dyDescent="0.2">
      <c r="B13" s="16"/>
      <c r="C13" s="32" t="s">
        <v>2</v>
      </c>
      <c r="D13" s="84" t="str">
        <f>INDEX(Tbl_MeasureList[Baseline Equipment ID],MATCH($D$9,Tbl_MeasureList[Measure ID],0))</f>
        <v>EQUI037</v>
      </c>
      <c r="E13" s="84" t="str">
        <f>INDEX(Tbl_MeasureList[Replacement ID],MATCH($D$9,Tbl_MeasureList[Measure ID],0))</f>
        <v>EQUI011</v>
      </c>
      <c r="F13" s="7"/>
    </row>
    <row r="14" spans="1:30" x14ac:dyDescent="0.2">
      <c r="B14" s="16"/>
      <c r="C14" s="32" t="s">
        <v>4</v>
      </c>
      <c r="D14" s="85" t="str">
        <f>INDEX(Tbl_EquipmentDefinitions[[Equipment Name]:[Equipment Name]],MATCH(D$13,Tbl_EquipmentDefinitions[[Equipment ID]:[Equipment ID]],0))</f>
        <v>Room AC/No AC Blend+Propane Boiler</v>
      </c>
      <c r="E14" s="85" t="str">
        <f>INDEX(Tbl_EquipmentDefinitions[[Equipment Name]:[Equipment Name]],MATCH(E$13,Tbl_EquipmentDefinitions[[Equipment ID]:[Equipment ID]],0))</f>
        <v>DMSHP+Propane Boiler</v>
      </c>
      <c r="F14" s="7"/>
    </row>
    <row r="15" spans="1:30" x14ac:dyDescent="0.2">
      <c r="B15" s="16"/>
      <c r="C15" s="32" t="s">
        <v>24</v>
      </c>
      <c r="D15" s="84" t="str">
        <f>INDEX(Tbl_EquipmentDefinitions[[Function]:[Function]],MATCH(D$13,Tbl_EquipmentDefinitions[[Equipment ID]:[Equipment ID]],0))</f>
        <v>Cool+Heat</v>
      </c>
      <c r="E15" s="84" t="str">
        <f>INDEX(Tbl_EquipmentDefinitions[[Function]:[Function]],MATCH(E$13,Tbl_EquipmentDefinitions[[Equipment ID]:[Equipment ID]],0))</f>
        <v>Cool+Heat</v>
      </c>
      <c r="F15" s="7"/>
    </row>
    <row r="16" spans="1:30" x14ac:dyDescent="0.2">
      <c r="B16" s="16"/>
      <c r="C16" s="32" t="s">
        <v>7</v>
      </c>
      <c r="D16" s="85" t="str">
        <f>INDEX(Tbl_EquipmentDefinitions[[Fuel Type]:[Fuel Type]],MATCH(D$13,Tbl_EquipmentDefinitions[[Equipment ID]:[Equipment ID]],0))</f>
        <v>Electric+Propane</v>
      </c>
      <c r="E16" s="85" t="str">
        <f>INDEX(Tbl_EquipmentDefinitions[[Fuel Type]:[Fuel Type]],MATCH(E$13,Tbl_EquipmentDefinitions[[Equipment ID]:[Equipment ID]],0))</f>
        <v>Electric+Propane</v>
      </c>
      <c r="F16" s="7"/>
    </row>
    <row r="17" spans="2:14" x14ac:dyDescent="0.2">
      <c r="B17" s="16"/>
      <c r="C17" s="32" t="s">
        <v>126</v>
      </c>
      <c r="D17" s="84">
        <f>IF(ISERR(SEARCH("+",D16,1)),1,2)</f>
        <v>2</v>
      </c>
      <c r="E17" s="84">
        <f>IF(ISERR(SEARCH("+",E16,1)),1,2)</f>
        <v>2</v>
      </c>
      <c r="F17" s="7"/>
    </row>
    <row r="18" spans="2:14" x14ac:dyDescent="0.2">
      <c r="B18" s="16"/>
      <c r="C18" s="32" t="s">
        <v>155</v>
      </c>
      <c r="D18" s="86">
        <f>INDEX(Tbl_BaselineSummary[Space Heating Load (MMBtu/yr)],MATCH($D$10,Tbl_BaselineSummary[Baseline ID],0))</f>
        <v>76.7</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11.3</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160" t="s">
        <v>127</v>
      </c>
      <c r="D25" s="281" t="s">
        <v>345</v>
      </c>
      <c r="E25" s="385" t="s">
        <v>956</v>
      </c>
      <c r="F25" s="281" t="s">
        <v>326</v>
      </c>
      <c r="G25" s="421" t="s">
        <v>1532</v>
      </c>
      <c r="H25" s="385" t="s">
        <v>958</v>
      </c>
      <c r="I25" s="569" t="s">
        <v>1447</v>
      </c>
      <c r="J25" s="569" t="s">
        <v>1448</v>
      </c>
      <c r="L25" s="160" t="s">
        <v>1533</v>
      </c>
      <c r="M25" s="421" t="s">
        <v>1531</v>
      </c>
    </row>
    <row r="26" spans="2:14" ht="11.25" customHeight="1" x14ac:dyDescent="0.2">
      <c r="B26" s="16"/>
      <c r="C26" s="32" t="s">
        <v>6</v>
      </c>
      <c r="D26" s="122">
        <f>D101</f>
        <v>9888.6812768120726</v>
      </c>
      <c r="E26" s="126">
        <f>D125</f>
        <v>1.2439024390243905</v>
      </c>
      <c r="F26" s="111">
        <f>D105</f>
        <v>1955.981156553428</v>
      </c>
      <c r="G26" s="111">
        <f>E173</f>
        <v>10810.099999999999</v>
      </c>
      <c r="H26" s="126">
        <f>D136</f>
        <v>0.94999999999999984</v>
      </c>
      <c r="I26" s="122">
        <f>D97</f>
        <v>871.5200000000001</v>
      </c>
      <c r="J26" s="122">
        <f>D77</f>
        <v>9017.1612768120722</v>
      </c>
      <c r="L26" s="84">
        <f t="shared" ref="L26:M28" si="0">F26+E32+E38+E44</f>
        <v>2713.5945076896542</v>
      </c>
      <c r="M26" s="86">
        <f t="shared" si="0"/>
        <v>10810.099999999999</v>
      </c>
    </row>
    <row r="27" spans="2:14" x14ac:dyDescent="0.2">
      <c r="B27" s="16"/>
      <c r="C27" s="32" t="s">
        <v>19</v>
      </c>
      <c r="D27" s="122">
        <f>D102</f>
        <v>8125.9579467302256</v>
      </c>
      <c r="E27" s="126">
        <f>D126</f>
        <v>1.02</v>
      </c>
      <c r="F27" s="111">
        <f>D106</f>
        <v>1607.3144818632386</v>
      </c>
      <c r="G27" s="111">
        <f>E174</f>
        <v>11746.099999999999</v>
      </c>
      <c r="H27" s="126">
        <f t="shared" ref="H27:H28" si="1">D137</f>
        <v>0.94999999999999984</v>
      </c>
      <c r="I27" s="122">
        <f t="shared" ref="I27:I28" si="2">D98</f>
        <v>726.26666666666677</v>
      </c>
      <c r="J27" s="122">
        <f t="shared" ref="J27:J28" si="3">D78</f>
        <v>7399.6912800635591</v>
      </c>
      <c r="L27" s="84">
        <f t="shared" si="0"/>
        <v>2364.9278329994645</v>
      </c>
      <c r="M27" s="86">
        <f t="shared" si="0"/>
        <v>11746.099999999999</v>
      </c>
    </row>
    <row r="28" spans="2:14" x14ac:dyDescent="0.2">
      <c r="B28" s="16"/>
      <c r="C28" s="32" t="s">
        <v>20</v>
      </c>
      <c r="D28" s="122">
        <f>D103</f>
        <v>6825.2522084582079</v>
      </c>
      <c r="E28" s="126">
        <f>D127</f>
        <v>1.125</v>
      </c>
      <c r="F28" s="111">
        <f>D107</f>
        <v>1350.0348868330336</v>
      </c>
      <c r="G28" s="111">
        <f>E175</f>
        <v>11958.5</v>
      </c>
      <c r="H28" s="126">
        <f t="shared" si="1"/>
        <v>0.94999999999999984</v>
      </c>
      <c r="I28" s="122">
        <f t="shared" si="2"/>
        <v>653.6400000000001</v>
      </c>
      <c r="J28" s="122">
        <f t="shared" si="3"/>
        <v>6171.6122084582075</v>
      </c>
      <c r="L28" s="84">
        <f t="shared" si="0"/>
        <v>2107.6482379692598</v>
      </c>
      <c r="M28" s="86">
        <f t="shared" si="0"/>
        <v>11958.5</v>
      </c>
    </row>
    <row r="29" spans="2:14" x14ac:dyDescent="0.2">
      <c r="B29" s="16"/>
    </row>
    <row r="30" spans="2:14" ht="12.75" thickBot="1" x14ac:dyDescent="0.25">
      <c r="B30" s="16"/>
      <c r="C30" s="34" t="s">
        <v>55</v>
      </c>
      <c r="D30" s="34"/>
      <c r="E30" s="33"/>
      <c r="F30" s="33"/>
    </row>
    <row r="31" spans="2:14" ht="34.5" thickBot="1" x14ac:dyDescent="0.25">
      <c r="B31" s="16"/>
      <c r="C31" s="160" t="s">
        <v>127</v>
      </c>
      <c r="D31" s="281" t="s">
        <v>325</v>
      </c>
      <c r="E31" s="281" t="s">
        <v>326</v>
      </c>
      <c r="F31" s="421" t="s">
        <v>1532</v>
      </c>
    </row>
    <row r="32" spans="2:14" x14ac:dyDescent="0.2">
      <c r="B32" s="16"/>
      <c r="C32" s="32" t="s">
        <v>6</v>
      </c>
      <c r="D32" s="40">
        <v>0</v>
      </c>
      <c r="E32" s="39">
        <v>0</v>
      </c>
      <c r="F32" s="39">
        <v>0</v>
      </c>
      <c r="G32" s="7" t="s">
        <v>128</v>
      </c>
    </row>
    <row r="33" spans="2:14" x14ac:dyDescent="0.2">
      <c r="B33" s="16"/>
      <c r="C33" s="32" t="s">
        <v>19</v>
      </c>
      <c r="D33" s="40">
        <v>0</v>
      </c>
      <c r="E33" s="39">
        <v>0</v>
      </c>
      <c r="F33" s="39">
        <v>0</v>
      </c>
    </row>
    <row r="34" spans="2:14" x14ac:dyDescent="0.2">
      <c r="B34" s="16"/>
      <c r="C34" s="32" t="s">
        <v>20</v>
      </c>
      <c r="D34" s="40">
        <v>0</v>
      </c>
      <c r="E34" s="39">
        <v>0</v>
      </c>
      <c r="F34" s="39">
        <v>0</v>
      </c>
    </row>
    <row r="35" spans="2:14" x14ac:dyDescent="0.2">
      <c r="B35" s="16"/>
    </row>
    <row r="36" spans="2:14" ht="12.75" thickBot="1" x14ac:dyDescent="0.25">
      <c r="B36" s="16"/>
      <c r="C36" s="34" t="s">
        <v>28</v>
      </c>
      <c r="D36" s="34"/>
      <c r="E36" s="33"/>
      <c r="F36" s="33"/>
    </row>
    <row r="37" spans="2:14" ht="34.5" thickBot="1" x14ac:dyDescent="0.25">
      <c r="B37" s="16"/>
      <c r="C37" s="160" t="s">
        <v>127</v>
      </c>
      <c r="D37" s="281" t="s">
        <v>756</v>
      </c>
      <c r="E37" s="281" t="s">
        <v>326</v>
      </c>
      <c r="F37" s="421" t="s">
        <v>1532</v>
      </c>
    </row>
    <row r="38" spans="2:14" x14ac:dyDescent="0.2">
      <c r="B38" s="16"/>
      <c r="C38" s="32" t="s">
        <v>6</v>
      </c>
      <c r="D38" s="122">
        <f>$D$85</f>
        <v>21.076789582493124</v>
      </c>
      <c r="E38" s="111">
        <f>$D$86</f>
        <v>757.6133511362259</v>
      </c>
      <c r="F38" s="39">
        <v>0</v>
      </c>
      <c r="G38" s="7" t="s">
        <v>128</v>
      </c>
    </row>
    <row r="39" spans="2:14" x14ac:dyDescent="0.2">
      <c r="B39" s="16"/>
      <c r="C39" s="32" t="s">
        <v>19</v>
      </c>
      <c r="D39" s="122">
        <f>$D$85</f>
        <v>21.076789582493124</v>
      </c>
      <c r="E39" s="111">
        <f>$D$86</f>
        <v>757.6133511362259</v>
      </c>
      <c r="F39" s="39">
        <v>0</v>
      </c>
    </row>
    <row r="40" spans="2:14" x14ac:dyDescent="0.2">
      <c r="B40" s="16"/>
      <c r="C40" s="32" t="s">
        <v>20</v>
      </c>
      <c r="D40" s="122">
        <f>$D$85</f>
        <v>21.076789582493124</v>
      </c>
      <c r="E40" s="111">
        <f>$D$86</f>
        <v>757.6133511362259</v>
      </c>
      <c r="F40" s="39">
        <v>0</v>
      </c>
    </row>
    <row r="41" spans="2:14" x14ac:dyDescent="0.2">
      <c r="B41" s="16"/>
    </row>
    <row r="42" spans="2:14" ht="12.75" thickBot="1" x14ac:dyDescent="0.25">
      <c r="B42" s="16"/>
      <c r="C42" s="34" t="s">
        <v>27</v>
      </c>
      <c r="D42" s="34"/>
      <c r="E42" s="33"/>
      <c r="F42" s="33"/>
    </row>
    <row r="43" spans="2:14" ht="34.5" thickBot="1" x14ac:dyDescent="0.25">
      <c r="B43" s="16"/>
      <c r="C43" s="160" t="s">
        <v>127</v>
      </c>
      <c r="D43" s="281" t="s">
        <v>756</v>
      </c>
      <c r="E43" s="281" t="s">
        <v>326</v>
      </c>
      <c r="F43" s="421" t="s">
        <v>1532</v>
      </c>
    </row>
    <row r="44" spans="2:14" x14ac:dyDescent="0.2">
      <c r="B44" s="16"/>
      <c r="C44" s="32" t="s">
        <v>6</v>
      </c>
      <c r="D44" s="40">
        <v>0</v>
      </c>
      <c r="E44" s="39">
        <v>0</v>
      </c>
      <c r="F44" s="39">
        <v>0</v>
      </c>
      <c r="G44" s="7" t="s">
        <v>128</v>
      </c>
    </row>
    <row r="45" spans="2:14" x14ac:dyDescent="0.2">
      <c r="B45" s="16"/>
      <c r="C45" s="32" t="s">
        <v>19</v>
      </c>
      <c r="D45" s="40">
        <v>0</v>
      </c>
      <c r="E45" s="39">
        <v>0</v>
      </c>
      <c r="F45" s="39">
        <v>0</v>
      </c>
    </row>
    <row r="46" spans="2:14" x14ac:dyDescent="0.2">
      <c r="B46" s="16"/>
      <c r="C46" s="32" t="s">
        <v>20</v>
      </c>
      <c r="D46" s="40">
        <v>0</v>
      </c>
      <c r="E46" s="39">
        <v>0</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15 SEER/12 EER/8.2 HSPF</v>
      </c>
      <c r="E51" s="690"/>
      <c r="F51" s="693" t="str">
        <f>INDEX(Tbl_EquipmentDefinitions[Natural Gas Code Efficiency],MATCH($E$13,Tbl_EquipmentDefinitions[Equipment ID],0))</f>
        <v>-</v>
      </c>
      <c r="G51" s="690"/>
      <c r="H51" s="693" t="str">
        <f>INDEX(Tbl_EquipmentDefinitions[Propane Code Efficiency],MATCH($E$13,Tbl_EquipmentDefinitions[Equipment ID],0))</f>
        <v>82% AFUE (79.3% actual)</v>
      </c>
      <c r="I51" s="690"/>
      <c r="J51" s="693" t="str">
        <f>INDEX(Tbl_EquipmentDefinitions[Oil Code Efficiency],MATCH($E$13,Tbl_EquipmentDefinitions[Equipment ID],0))</f>
        <v>-</v>
      </c>
      <c r="K51" s="690"/>
    </row>
    <row r="52" spans="2:14" ht="12.75" x14ac:dyDescent="0.2">
      <c r="B52" s="16"/>
      <c r="C52" s="30" t="s">
        <v>153</v>
      </c>
      <c r="D52" s="689" t="str">
        <f>INDEX(Tbl_EquipmentDefinitions[Electricity Low Measure Efficiency],MATCH($E$13,Tbl_EquipmentDefinitions[Equipment ID],0))</f>
        <v>18 SEER/10.0 HSPF</v>
      </c>
      <c r="E52" s="690"/>
      <c r="F52" s="689" t="str">
        <f>INDEX(Tbl_EquipmentDefinitions[Natural Gas Low Measure Efficiency],MATCH($E$13,Tbl_EquipmentDefinitions[Equipment ID],0))</f>
        <v>-</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20 SEER/12.0 HSPF</v>
      </c>
      <c r="E53" s="690"/>
      <c r="F53" s="689" t="str">
        <f>INDEX(Tbl_EquipmentDefinitions[Natural Gas High Measure Efficiency],MATCH($E$13,Tbl_EquipmentDefinitions[Equipment ID],0))</f>
        <v>-</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160" t="s">
        <v>131</v>
      </c>
      <c r="D58" s="691" t="s">
        <v>132</v>
      </c>
      <c r="E58" s="692"/>
      <c r="F58" s="692"/>
      <c r="G58" s="692"/>
    </row>
    <row r="59" spans="2:14" x14ac:dyDescent="0.2">
      <c r="B59" s="16"/>
      <c r="C59" s="32" t="s">
        <v>174</v>
      </c>
      <c r="D59" s="696" t="s">
        <v>538</v>
      </c>
      <c r="E59" s="697"/>
      <c r="F59" s="697"/>
      <c r="G59" s="697"/>
    </row>
    <row r="60" spans="2:14" x14ac:dyDescent="0.2">
      <c r="B60" s="16"/>
      <c r="C60" s="32" t="s">
        <v>309</v>
      </c>
      <c r="D60" s="698" t="s">
        <v>832</v>
      </c>
      <c r="E60" s="699"/>
      <c r="F60" s="699"/>
      <c r="G60" s="699"/>
    </row>
    <row r="61" spans="2:14" x14ac:dyDescent="0.2">
      <c r="B61" s="16"/>
    </row>
    <row r="63" spans="2:14" ht="13.5" thickBot="1" x14ac:dyDescent="0.25">
      <c r="B63" s="9" t="s">
        <v>129</v>
      </c>
      <c r="C63" s="9"/>
      <c r="D63" s="9"/>
      <c r="E63" s="9"/>
      <c r="F63" s="9"/>
      <c r="G63" s="9"/>
      <c r="H63" s="9"/>
      <c r="I63" s="9"/>
      <c r="J63" s="9"/>
      <c r="K63" s="9"/>
      <c r="L63" s="9"/>
      <c r="M63" s="9"/>
      <c r="N63" s="9"/>
    </row>
    <row r="64" spans="2:14" x14ac:dyDescent="0.2">
      <c r="B64" s="15"/>
    </row>
    <row r="65" spans="2:6" ht="12.75" x14ac:dyDescent="0.2">
      <c r="B65" s="16"/>
      <c r="C65" s="10" t="s">
        <v>531</v>
      </c>
      <c r="D65" s="10"/>
    </row>
    <row r="66" spans="2:6" x14ac:dyDescent="0.2">
      <c r="B66" s="16"/>
    </row>
    <row r="67" spans="2:6" ht="12.75" x14ac:dyDescent="0.2">
      <c r="B67" s="16"/>
      <c r="C67" s="30" t="s">
        <v>155</v>
      </c>
      <c r="D67" s="88">
        <f>$D$18</f>
        <v>76.7</v>
      </c>
      <c r="E67" s="6" t="s">
        <v>156</v>
      </c>
    </row>
    <row r="68" spans="2:6" x14ac:dyDescent="0.2">
      <c r="B68" s="16"/>
    </row>
    <row r="69" spans="2:6" ht="12.75" x14ac:dyDescent="0.2">
      <c r="B69" s="16"/>
      <c r="C69" s="30" t="s">
        <v>159</v>
      </c>
      <c r="D69" s="44">
        <v>8.1999999999999993</v>
      </c>
      <c r="E69" s="6" t="s">
        <v>182</v>
      </c>
      <c r="F69" s="45" t="s">
        <v>301</v>
      </c>
    </row>
    <row r="70" spans="2:6" ht="12.75" x14ac:dyDescent="0.2">
      <c r="B70" s="16"/>
      <c r="C70" s="36" t="s">
        <v>180</v>
      </c>
      <c r="D70" s="44">
        <v>10</v>
      </c>
      <c r="E70" s="6" t="s">
        <v>182</v>
      </c>
      <c r="F70" s="8"/>
    </row>
    <row r="71" spans="2:6" ht="12.75" x14ac:dyDescent="0.2">
      <c r="B71" s="16"/>
      <c r="C71" s="36" t="s">
        <v>181</v>
      </c>
      <c r="D71" s="44">
        <v>12</v>
      </c>
      <c r="E71" s="6" t="s">
        <v>182</v>
      </c>
      <c r="F71" s="8"/>
    </row>
    <row r="72" spans="2:6" x14ac:dyDescent="0.2">
      <c r="B72" s="16"/>
    </row>
    <row r="73" spans="2:6" x14ac:dyDescent="0.2">
      <c r="B73" s="16"/>
      <c r="C73" s="5" t="s">
        <v>250</v>
      </c>
      <c r="D73" s="5"/>
    </row>
    <row r="74" spans="2:6" ht="12.75" x14ac:dyDescent="0.2">
      <c r="B74" s="16"/>
      <c r="C74" s="36" t="s">
        <v>534</v>
      </c>
      <c r="D74" s="54">
        <f>197/1043</f>
        <v>0.18887823585810162</v>
      </c>
      <c r="E74" s="188" t="s">
        <v>176</v>
      </c>
      <c r="F74" s="45" t="s">
        <v>952</v>
      </c>
    </row>
    <row r="75" spans="2:6" ht="12.75" x14ac:dyDescent="0.2">
      <c r="B75" s="16"/>
      <c r="C75" s="36" t="s">
        <v>535</v>
      </c>
      <c r="D75" s="189">
        <v>0.25</v>
      </c>
      <c r="E75" s="45" t="s">
        <v>962</v>
      </c>
    </row>
    <row r="76" spans="2:6" x14ac:dyDescent="0.2">
      <c r="B76" s="16"/>
    </row>
    <row r="77" spans="2:6" ht="12.75" x14ac:dyDescent="0.2">
      <c r="B77" s="16"/>
      <c r="C77" s="36" t="s">
        <v>292</v>
      </c>
      <c r="D77" s="41">
        <f>($D$67/HPFUELCALC_REF_HEATINGLOAD)/($D69/HPFUELCALC_REF_DMSHP_HSPF)*HPPROPANECALC_DMSHP_HPCONSUMPTION
+($D$67/HPFUELCALC_REF_HEATINGLOAD)*HPPROPANECALC_DMSHP_DMSHPRESISTANCECONSUMPTION
+HPPROPANECALC_DMSHP_FURNACEFANCONSUMPTION*$D$74/HPFUELCALC_REF_FUELPOWER_KW*($D$75/HPFUELCALC_REF_FUELPOWER_CF)</f>
        <v>9017.1612768120722</v>
      </c>
      <c r="E77" s="6" t="s">
        <v>170</v>
      </c>
      <c r="F77" s="45" t="s">
        <v>305</v>
      </c>
    </row>
    <row r="78" spans="2:6" ht="12.75" x14ac:dyDescent="0.2">
      <c r="B78" s="16"/>
      <c r="C78" s="36" t="s">
        <v>293</v>
      </c>
      <c r="D78" s="41">
        <f>($D$67/HPFUELCALC_REF_HEATINGLOAD)/($D70/HPFUELCALC_REF_DMSHP_HSPF)*HPPROPANECALC_DMSHP_HPCONSUMPTION
+($D$67/HPFUELCALC_REF_HEATINGLOAD)*HPPROPANECALC_DMSHP_DMSHPRESISTANCECONSUMPTION
+HPPROPANECALC_DMSHP_FURNACEFANCONSUMPTION*$D$74/HPFUELCALC_REF_FUELPOWER_KW*($D$75/HPFUELCALC_REF_FUELPOWER_CF)</f>
        <v>7399.6912800635591</v>
      </c>
      <c r="E78" s="6" t="s">
        <v>170</v>
      </c>
      <c r="F78" s="45" t="s">
        <v>527</v>
      </c>
    </row>
    <row r="79" spans="2:6" ht="12.75" x14ac:dyDescent="0.2">
      <c r="B79" s="16"/>
      <c r="C79" s="36" t="s">
        <v>294</v>
      </c>
      <c r="D79" s="41">
        <f>($D$67/HPFUELCALC_REF_HEATINGLOAD)/($D71/HPFUELCALC_REF_DMSHP_HSPF)*HPPROPANECALC_DMSHP_HPCONSUMPTION
+($D$67/HPFUELCALC_REF_HEATINGLOAD)*HPPROPANECALC_DMSHP_DMSHPRESISTANCECONSUMPTION
+HPPROPANECALC_DMSHP_FURNACEFANCONSUMPTION*$D$74/HPFUELCALC_REF_FUELPOWER_KW*($D$75/HPFUELCALC_REF_FUELPOWER_CF)</f>
        <v>6171.6122084582075</v>
      </c>
      <c r="E79" s="6" t="s">
        <v>170</v>
      </c>
      <c r="F79" s="45"/>
    </row>
    <row r="80" spans="2:6" x14ac:dyDescent="0.2">
      <c r="B80" s="16"/>
      <c r="F80" s="45"/>
    </row>
    <row r="81" spans="2:6" ht="12.75" x14ac:dyDescent="0.2">
      <c r="B81" s="16"/>
      <c r="C81" s="10" t="s">
        <v>533</v>
      </c>
      <c r="D81" s="10"/>
      <c r="F81" s="45"/>
    </row>
    <row r="82" spans="2:6" x14ac:dyDescent="0.2">
      <c r="B82" s="16"/>
      <c r="F82" s="45"/>
    </row>
    <row r="83" spans="2:6" ht="12.75" x14ac:dyDescent="0.2">
      <c r="B83" s="16"/>
      <c r="C83" s="30" t="s">
        <v>529</v>
      </c>
      <c r="D83" s="150">
        <v>0.75</v>
      </c>
      <c r="E83" s="6" t="s">
        <v>158</v>
      </c>
    </row>
    <row r="84" spans="2:6" x14ac:dyDescent="0.2">
      <c r="B84" s="16"/>
      <c r="F84" s="45"/>
    </row>
    <row r="85" spans="2:6" ht="12.75" x14ac:dyDescent="0.2">
      <c r="B85" s="16"/>
      <c r="C85" s="36" t="s">
        <v>530</v>
      </c>
      <c r="D85" s="190">
        <f>(D67/HPFUELCALC_REF_HEATINGLOAD)*HPPROPANECALC_DMSHP_FURNACEPROPANECONSUMPTION/(D83/HPFUELCALC_REF_AFUE)/10</f>
        <v>21.076789582493124</v>
      </c>
      <c r="E85" s="6" t="s">
        <v>481</v>
      </c>
      <c r="F85" s="45"/>
    </row>
    <row r="86" spans="2:6" ht="12.75" x14ac:dyDescent="0.2">
      <c r="B86" s="16"/>
      <c r="C86" s="36" t="s">
        <v>729</v>
      </c>
      <c r="D86" s="282">
        <f>D85*PRICE_PER_MMBTU_2018_PROPANE</f>
        <v>757.6133511362259</v>
      </c>
      <c r="E86" s="6" t="s">
        <v>164</v>
      </c>
      <c r="F86" s="45"/>
    </row>
    <row r="87" spans="2:6" x14ac:dyDescent="0.2">
      <c r="B87" s="16"/>
      <c r="F87" s="45"/>
    </row>
    <row r="88" spans="2:6" x14ac:dyDescent="0.2">
      <c r="B88" s="16"/>
      <c r="F88" s="45"/>
    </row>
    <row r="89" spans="2:6" ht="12.75" x14ac:dyDescent="0.2">
      <c r="B89" s="16"/>
      <c r="C89" s="10" t="s">
        <v>532</v>
      </c>
      <c r="D89" s="10"/>
      <c r="F89" s="45"/>
    </row>
    <row r="90" spans="2:6" x14ac:dyDescent="0.2">
      <c r="B90" s="16"/>
      <c r="F90" s="45"/>
    </row>
    <row r="91" spans="2:6" ht="12.75" x14ac:dyDescent="0.2">
      <c r="B91" s="16"/>
      <c r="C91" s="30" t="s">
        <v>167</v>
      </c>
      <c r="D91" s="87">
        <f>$D$19</f>
        <v>13.072800000000001</v>
      </c>
      <c r="E91" s="6" t="s">
        <v>156</v>
      </c>
    </row>
    <row r="92" spans="2:6" x14ac:dyDescent="0.2">
      <c r="B92" s="16"/>
    </row>
    <row r="93" spans="2:6" ht="12.75" x14ac:dyDescent="0.2">
      <c r="B93" s="16"/>
      <c r="C93" s="36" t="s">
        <v>168</v>
      </c>
      <c r="D93" s="44">
        <v>15</v>
      </c>
      <c r="E93" s="6" t="s">
        <v>169</v>
      </c>
      <c r="F93" s="45" t="s">
        <v>302</v>
      </c>
    </row>
    <row r="94" spans="2:6" ht="12.75" x14ac:dyDescent="0.2">
      <c r="B94" s="16"/>
      <c r="C94" s="36" t="s">
        <v>201</v>
      </c>
      <c r="D94" s="44">
        <v>18</v>
      </c>
      <c r="E94" s="6" t="s">
        <v>169</v>
      </c>
    </row>
    <row r="95" spans="2:6" ht="12.75" x14ac:dyDescent="0.2">
      <c r="B95" s="16"/>
      <c r="C95" s="36" t="s">
        <v>202</v>
      </c>
      <c r="D95" s="44">
        <v>20</v>
      </c>
      <c r="E95" s="6" t="s">
        <v>169</v>
      </c>
    </row>
    <row r="96" spans="2:6" x14ac:dyDescent="0.2">
      <c r="B96" s="16"/>
    </row>
    <row r="97" spans="2:6" ht="12.75" x14ac:dyDescent="0.2">
      <c r="B97" s="16"/>
      <c r="C97" s="36" t="s">
        <v>295</v>
      </c>
      <c r="D97" s="41">
        <f>1000*$D$91/D93</f>
        <v>871.5200000000001</v>
      </c>
      <c r="E97" s="6" t="s">
        <v>170</v>
      </c>
      <c r="F97" s="45" t="s">
        <v>306</v>
      </c>
    </row>
    <row r="98" spans="2:6" ht="12.75" x14ac:dyDescent="0.2">
      <c r="B98" s="16"/>
      <c r="C98" s="36" t="s">
        <v>296</v>
      </c>
      <c r="D98" s="41">
        <f>1000*$D$91/D94</f>
        <v>726.26666666666677</v>
      </c>
      <c r="E98" s="6" t="s">
        <v>170</v>
      </c>
    </row>
    <row r="99" spans="2:6" ht="12.75" x14ac:dyDescent="0.2">
      <c r="B99" s="16"/>
      <c r="C99" s="36" t="s">
        <v>297</v>
      </c>
      <c r="D99" s="41">
        <f>1000*$D$91/D95</f>
        <v>653.6400000000001</v>
      </c>
      <c r="E99" s="6" t="s">
        <v>170</v>
      </c>
    </row>
    <row r="100" spans="2:6" x14ac:dyDescent="0.2">
      <c r="B100" s="16"/>
    </row>
    <row r="101" spans="2:6" ht="12.75" x14ac:dyDescent="0.2">
      <c r="B101" s="16"/>
      <c r="C101" s="36" t="s">
        <v>298</v>
      </c>
      <c r="D101" s="41">
        <f>D77+D97</f>
        <v>9888.6812768120726</v>
      </c>
      <c r="E101" s="6" t="s">
        <v>170</v>
      </c>
      <c r="F101" s="45" t="s">
        <v>307</v>
      </c>
    </row>
    <row r="102" spans="2:6" ht="12.75" x14ac:dyDescent="0.2">
      <c r="B102" s="16"/>
      <c r="C102" s="36" t="s">
        <v>299</v>
      </c>
      <c r="D102" s="41">
        <f>D78+D98</f>
        <v>8125.9579467302256</v>
      </c>
      <c r="E102" s="6" t="s">
        <v>170</v>
      </c>
    </row>
    <row r="103" spans="2:6" ht="12.75" x14ac:dyDescent="0.2">
      <c r="B103" s="16"/>
      <c r="C103" s="36" t="s">
        <v>300</v>
      </c>
      <c r="D103" s="41">
        <f>D79+D99</f>
        <v>6825.2522084582079</v>
      </c>
      <c r="E103" s="6" t="s">
        <v>170</v>
      </c>
    </row>
    <row r="104" spans="2:6" x14ac:dyDescent="0.2">
      <c r="B104" s="16"/>
    </row>
    <row r="105" spans="2:6" ht="12.75" x14ac:dyDescent="0.2">
      <c r="B105" s="16"/>
      <c r="C105" s="30" t="s">
        <v>163</v>
      </c>
      <c r="D105" s="42">
        <f>D101*PRICE_PER_KWH_2018_ELECTRICITY</f>
        <v>1955.981156553428</v>
      </c>
      <c r="E105" s="6" t="s">
        <v>164</v>
      </c>
      <c r="F105" s="45" t="s">
        <v>308</v>
      </c>
    </row>
    <row r="106" spans="2:6" ht="12.75" x14ac:dyDescent="0.2">
      <c r="B106" s="16"/>
      <c r="C106" s="36" t="s">
        <v>203</v>
      </c>
      <c r="D106" s="42">
        <f>D102*PRICE_PER_KWH_2018_ELECTRICITY</f>
        <v>1607.3144818632386</v>
      </c>
      <c r="E106" s="6" t="s">
        <v>164</v>
      </c>
    </row>
    <row r="107" spans="2:6" ht="12.75" x14ac:dyDescent="0.2">
      <c r="B107" s="16"/>
      <c r="C107" s="36" t="s">
        <v>204</v>
      </c>
      <c r="D107" s="42">
        <f>D103*PRICE_PER_KWH_2018_ELECTRICITY</f>
        <v>1350.0348868330336</v>
      </c>
      <c r="E107" s="6" t="s">
        <v>164</v>
      </c>
    </row>
    <row r="108" spans="2:6" x14ac:dyDescent="0.2">
      <c r="B108" s="16"/>
    </row>
    <row r="109" spans="2:6" x14ac:dyDescent="0.2">
      <c r="B109" s="16"/>
    </row>
    <row r="110" spans="2:6" ht="12.75" x14ac:dyDescent="0.2">
      <c r="B110" s="16"/>
      <c r="C110" s="10" t="s">
        <v>366</v>
      </c>
      <c r="D110" s="10"/>
    </row>
    <row r="111" spans="2:6" x14ac:dyDescent="0.2">
      <c r="B111" s="16"/>
    </row>
    <row r="112" spans="2:6" ht="12.75" x14ac:dyDescent="0.2">
      <c r="B112" s="16"/>
      <c r="C112" s="423" t="s">
        <v>1595</v>
      </c>
      <c r="D112" s="694" t="str">
        <f>INPUT_DMSHP_COOLCAP_SUPPLEMENTED</f>
        <v>2.5 ton (1x12kBtu + 2x9kBtu)</v>
      </c>
      <c r="E112" s="695"/>
    </row>
    <row r="113" spans="2:6" ht="12.75" x14ac:dyDescent="0.2">
      <c r="B113" s="16"/>
      <c r="C113" s="423" t="s">
        <v>1594</v>
      </c>
      <c r="D113" s="694" t="str">
        <f>INPUT_DMSHP_HEATCAP_SUPPLEMENTED</f>
        <v>2.5 ton (1x12kBtu + 2x9kBtu)</v>
      </c>
      <c r="E113" s="695"/>
    </row>
    <row r="114" spans="2:6" ht="12.75" x14ac:dyDescent="0.2">
      <c r="B114" s="16"/>
      <c r="C114" s="30" t="s">
        <v>1612</v>
      </c>
      <c r="D114" s="41" t="str">
        <f>LEFT(D112,SEARCH("ton",D112,1)-2)</f>
        <v>2.5</v>
      </c>
      <c r="E114" s="6" t="s">
        <v>173</v>
      </c>
    </row>
    <row r="115" spans="2:6" ht="12.75" x14ac:dyDescent="0.2">
      <c r="B115" s="16"/>
      <c r="C115" s="30" t="s">
        <v>1614</v>
      </c>
      <c r="D115" s="41" t="str">
        <f>LEFT(D113,SEARCH("ton",D113,1)-2)</f>
        <v>2.5</v>
      </c>
      <c r="E115" s="6" t="s">
        <v>173</v>
      </c>
    </row>
    <row r="116" spans="2:6" ht="12.75" x14ac:dyDescent="0.2">
      <c r="B116" s="16"/>
      <c r="C116" s="30" t="s">
        <v>1615</v>
      </c>
      <c r="D116" s="190">
        <f>MAX(VALUE(D114),VALUE(D115))</f>
        <v>2.5</v>
      </c>
      <c r="E116" s="6" t="s">
        <v>173</v>
      </c>
    </row>
    <row r="117" spans="2:6" x14ac:dyDescent="0.2">
      <c r="B117" s="16"/>
    </row>
    <row r="118" spans="2:6" ht="12.75" x14ac:dyDescent="0.2">
      <c r="B118" s="16"/>
      <c r="C118" s="36" t="s">
        <v>217</v>
      </c>
      <c r="D118" s="31">
        <f>D69</f>
        <v>8.1999999999999993</v>
      </c>
      <c r="E118" s="6" t="s">
        <v>182</v>
      </c>
      <c r="F118" s="45" t="s">
        <v>303</v>
      </c>
    </row>
    <row r="119" spans="2:6" ht="12.75" x14ac:dyDescent="0.2">
      <c r="B119" s="16"/>
      <c r="C119" s="36" t="s">
        <v>218</v>
      </c>
      <c r="D119" s="31">
        <f>D70</f>
        <v>10</v>
      </c>
      <c r="E119" s="6" t="s">
        <v>182</v>
      </c>
    </row>
    <row r="120" spans="2:6" ht="12.75" x14ac:dyDescent="0.2">
      <c r="B120" s="16"/>
      <c r="C120" s="36" t="s">
        <v>219</v>
      </c>
      <c r="D120" s="31">
        <f>D71</f>
        <v>12</v>
      </c>
      <c r="E120" s="6" t="s">
        <v>182</v>
      </c>
      <c r="F120" s="45"/>
    </row>
    <row r="121" spans="2:6" x14ac:dyDescent="0.2">
      <c r="B121" s="16"/>
    </row>
    <row r="122" spans="2:6" ht="12.75" x14ac:dyDescent="0.2">
      <c r="B122" s="16"/>
      <c r="C122" s="36" t="s">
        <v>210</v>
      </c>
      <c r="D122" s="44">
        <v>0.34</v>
      </c>
      <c r="E122" s="45" t="s">
        <v>538</v>
      </c>
    </row>
    <row r="123" spans="2:6" ht="12.75" x14ac:dyDescent="0.2">
      <c r="B123" s="16"/>
      <c r="C123" s="36" t="s">
        <v>537</v>
      </c>
      <c r="D123" s="44">
        <v>0.45</v>
      </c>
      <c r="E123" s="45" t="s">
        <v>538</v>
      </c>
    </row>
    <row r="124" spans="2:6" x14ac:dyDescent="0.2">
      <c r="B124" s="16"/>
    </row>
    <row r="125" spans="2:6" ht="12.75" x14ac:dyDescent="0.2">
      <c r="B125" s="16"/>
      <c r="C125" s="36" t="s">
        <v>220</v>
      </c>
      <c r="D125" s="46">
        <f>$D$122*$D$115*12/D118</f>
        <v>1.2439024390243905</v>
      </c>
      <c r="E125" s="6" t="s">
        <v>176</v>
      </c>
      <c r="F125" s="45" t="s">
        <v>536</v>
      </c>
    </row>
    <row r="126" spans="2:6" ht="12.75" x14ac:dyDescent="0.2">
      <c r="B126" s="16"/>
      <c r="C126" s="36" t="s">
        <v>221</v>
      </c>
      <c r="D126" s="37">
        <f>$D$122*$D$115*12/D119</f>
        <v>1.02</v>
      </c>
      <c r="E126" s="6" t="s">
        <v>176</v>
      </c>
    </row>
    <row r="127" spans="2:6" ht="12.75" x14ac:dyDescent="0.2">
      <c r="B127" s="16"/>
      <c r="C127" s="36" t="s">
        <v>222</v>
      </c>
      <c r="D127" s="46">
        <f>$D$123*$D$115*12/D120</f>
        <v>1.125</v>
      </c>
      <c r="E127" s="6" t="s">
        <v>176</v>
      </c>
    </row>
    <row r="128" spans="2:6" x14ac:dyDescent="0.2">
      <c r="B128" s="16"/>
    </row>
    <row r="129" spans="2:6" x14ac:dyDescent="0.2">
      <c r="B129" s="16"/>
    </row>
    <row r="130" spans="2:6" ht="12.75" x14ac:dyDescent="0.2">
      <c r="B130" s="16"/>
      <c r="C130" s="36" t="s">
        <v>208</v>
      </c>
      <c r="D130" s="44">
        <v>12</v>
      </c>
      <c r="E130" s="6" t="s">
        <v>175</v>
      </c>
      <c r="F130" s="45" t="s">
        <v>304</v>
      </c>
    </row>
    <row r="131" spans="2:6" ht="12.75" x14ac:dyDescent="0.2">
      <c r="B131" s="16"/>
      <c r="C131" s="36" t="s">
        <v>213</v>
      </c>
      <c r="D131" s="31">
        <f>D130</f>
        <v>12</v>
      </c>
      <c r="E131" s="6" t="s">
        <v>175</v>
      </c>
      <c r="F131" s="45" t="s">
        <v>223</v>
      </c>
    </row>
    <row r="132" spans="2:6" ht="12.75" x14ac:dyDescent="0.2">
      <c r="B132" s="16"/>
      <c r="C132" s="36" t="s">
        <v>214</v>
      </c>
      <c r="D132" s="31">
        <f>D131</f>
        <v>12</v>
      </c>
      <c r="E132" s="6" t="s">
        <v>175</v>
      </c>
      <c r="F132" s="45" t="s">
        <v>223</v>
      </c>
    </row>
    <row r="133" spans="2:6" x14ac:dyDescent="0.2">
      <c r="B133" s="16"/>
    </row>
    <row r="134" spans="2:6" ht="12.75" x14ac:dyDescent="0.2">
      <c r="B134" s="16"/>
      <c r="C134" s="36" t="s">
        <v>174</v>
      </c>
      <c r="D134" s="44">
        <v>0.38</v>
      </c>
      <c r="E134" s="45" t="s">
        <v>953</v>
      </c>
    </row>
    <row r="135" spans="2:6" x14ac:dyDescent="0.2">
      <c r="B135" s="16"/>
    </row>
    <row r="136" spans="2:6" ht="12.75" x14ac:dyDescent="0.2">
      <c r="B136" s="16"/>
      <c r="C136" s="36" t="s">
        <v>211</v>
      </c>
      <c r="D136" s="37">
        <f>$D$134*$D$114*12/D130</f>
        <v>0.94999999999999984</v>
      </c>
      <c r="E136" s="6" t="s">
        <v>176</v>
      </c>
      <c r="F136" s="45"/>
    </row>
    <row r="137" spans="2:6" ht="12.75" x14ac:dyDescent="0.2">
      <c r="B137" s="16"/>
      <c r="C137" s="36" t="s">
        <v>212</v>
      </c>
      <c r="D137" s="37">
        <f>$D$134*$D$114*12/D131</f>
        <v>0.94999999999999984</v>
      </c>
      <c r="E137" s="6" t="s">
        <v>176</v>
      </c>
    </row>
    <row r="138" spans="2:6" ht="12.75" x14ac:dyDescent="0.2">
      <c r="B138" s="16"/>
      <c r="C138" s="36" t="s">
        <v>215</v>
      </c>
      <c r="D138" s="37">
        <f>$D$134*$D$114*12/D132</f>
        <v>0.94999999999999984</v>
      </c>
      <c r="E138" s="6" t="s">
        <v>176</v>
      </c>
    </row>
    <row r="139" spans="2:6" x14ac:dyDescent="0.2">
      <c r="B139" s="16"/>
    </row>
    <row r="140" spans="2:6" ht="12.75" x14ac:dyDescent="0.2">
      <c r="B140" s="16"/>
      <c r="C140" s="10" t="s">
        <v>812</v>
      </c>
      <c r="D140" s="10"/>
    </row>
    <row r="141" spans="2:6" x14ac:dyDescent="0.2">
      <c r="B141" s="16"/>
    </row>
    <row r="142" spans="2:6" ht="12.75" x14ac:dyDescent="0.2">
      <c r="B142" s="16"/>
      <c r="C142" s="420" t="s">
        <v>1207</v>
      </c>
      <c r="D142" s="422">
        <f>INPUT_SYSTEMINTEGRATIONCOST</f>
        <v>400</v>
      </c>
      <c r="E142" s="6" t="s">
        <v>1180</v>
      </c>
    </row>
    <row r="143" spans="2:6" ht="12.75" x14ac:dyDescent="0.2">
      <c r="B143" s="16"/>
      <c r="C143" s="420" t="s">
        <v>1208</v>
      </c>
      <c r="D143" s="422">
        <f>INPUT_ELECTRICALSYSTEMUPGRADECOST</f>
        <v>500</v>
      </c>
      <c r="E143" s="6" t="s">
        <v>1180</v>
      </c>
    </row>
    <row r="144" spans="2:6" x14ac:dyDescent="0.2">
      <c r="B144" s="16"/>
    </row>
    <row r="145" spans="2:15" x14ac:dyDescent="0.2">
      <c r="B145" s="16"/>
      <c r="C145" s="6" t="s">
        <v>830</v>
      </c>
    </row>
    <row r="146" spans="2:15" x14ac:dyDescent="0.2">
      <c r="B146" s="16"/>
    </row>
    <row r="147" spans="2:15" x14ac:dyDescent="0.2">
      <c r="B147" s="16"/>
      <c r="C147" s="6" t="s">
        <v>828</v>
      </c>
    </row>
    <row r="148" spans="2:15" ht="23.25" thickBot="1" x14ac:dyDescent="0.25">
      <c r="B148" s="16"/>
      <c r="C148" s="280" t="s">
        <v>822</v>
      </c>
      <c r="D148" s="280" t="s">
        <v>824</v>
      </c>
      <c r="E148" s="280" t="s">
        <v>825</v>
      </c>
      <c r="F148" s="280" t="s">
        <v>826</v>
      </c>
      <c r="G148" s="280" t="s">
        <v>827</v>
      </c>
      <c r="H148" s="280" t="s">
        <v>814</v>
      </c>
      <c r="I148" s="280" t="s">
        <v>815</v>
      </c>
      <c r="J148" s="280" t="s">
        <v>816</v>
      </c>
    </row>
    <row r="149" spans="2:15" x14ac:dyDescent="0.2">
      <c r="B149" s="16"/>
      <c r="C149" s="14" t="s">
        <v>817</v>
      </c>
      <c r="D149" s="14">
        <v>1</v>
      </c>
      <c r="E149" s="333">
        <v>3643</v>
      </c>
      <c r="F149" s="333">
        <v>3662</v>
      </c>
      <c r="G149" s="333">
        <v>3682</v>
      </c>
      <c r="H149" s="333">
        <v>3860</v>
      </c>
      <c r="I149" s="333">
        <v>4212</v>
      </c>
      <c r="J149" s="14" t="s">
        <v>119</v>
      </c>
    </row>
    <row r="150" spans="2:15" x14ac:dyDescent="0.2">
      <c r="B150" s="16"/>
      <c r="C150" s="14" t="s">
        <v>818</v>
      </c>
      <c r="D150" s="14">
        <v>1</v>
      </c>
      <c r="E150" s="335">
        <v>3717</v>
      </c>
      <c r="F150" s="333">
        <v>3717</v>
      </c>
      <c r="G150" s="333">
        <v>3717</v>
      </c>
      <c r="H150" s="335">
        <v>3957</v>
      </c>
      <c r="I150" s="335">
        <v>4407</v>
      </c>
      <c r="J150" s="333">
        <v>4407</v>
      </c>
    </row>
    <row r="151" spans="2:15" x14ac:dyDescent="0.2">
      <c r="B151" s="16"/>
      <c r="C151" s="14">
        <v>18</v>
      </c>
      <c r="D151" s="14">
        <v>1</v>
      </c>
      <c r="E151" s="335">
        <v>4276</v>
      </c>
      <c r="F151" s="333">
        <v>4316</v>
      </c>
      <c r="G151" s="333">
        <v>4355</v>
      </c>
      <c r="H151" s="335">
        <v>4475</v>
      </c>
      <c r="I151" s="335">
        <v>4956</v>
      </c>
      <c r="J151" s="14" t="s">
        <v>119</v>
      </c>
    </row>
    <row r="152" spans="2:15" x14ac:dyDescent="0.2">
      <c r="B152" s="16"/>
      <c r="C152" s="14" t="s">
        <v>819</v>
      </c>
      <c r="D152" s="14">
        <v>1</v>
      </c>
      <c r="E152" s="333">
        <v>4586</v>
      </c>
      <c r="F152" s="333">
        <v>4665</v>
      </c>
      <c r="G152" s="333">
        <v>4743</v>
      </c>
      <c r="H152" s="333">
        <v>4811</v>
      </c>
      <c r="I152" s="333">
        <v>5256</v>
      </c>
      <c r="J152" s="14" t="s">
        <v>119</v>
      </c>
    </row>
    <row r="153" spans="2:15" x14ac:dyDescent="0.2">
      <c r="B153" s="16"/>
      <c r="C153" s="14" t="s">
        <v>819</v>
      </c>
      <c r="D153" s="14">
        <v>2</v>
      </c>
      <c r="E153" s="333">
        <v>6263</v>
      </c>
      <c r="F153" s="333">
        <v>6263</v>
      </c>
      <c r="G153" s="333">
        <v>6679</v>
      </c>
      <c r="H153" s="333">
        <v>6679</v>
      </c>
      <c r="I153" s="14" t="s">
        <v>119</v>
      </c>
      <c r="J153" s="14" t="s">
        <v>119</v>
      </c>
    </row>
    <row r="154" spans="2:15" x14ac:dyDescent="0.2">
      <c r="B154" s="16"/>
      <c r="C154" s="14" t="s">
        <v>819</v>
      </c>
      <c r="D154" s="14">
        <v>3</v>
      </c>
      <c r="E154" s="333">
        <v>7434</v>
      </c>
      <c r="F154" s="333">
        <v>7446</v>
      </c>
      <c r="G154" s="333">
        <v>7852</v>
      </c>
      <c r="H154" s="333">
        <v>7852</v>
      </c>
      <c r="I154" s="14" t="s">
        <v>119</v>
      </c>
      <c r="J154" s="14" t="s">
        <v>119</v>
      </c>
    </row>
    <row r="155" spans="2:15" x14ac:dyDescent="0.2">
      <c r="B155" s="16"/>
      <c r="C155" s="14" t="s">
        <v>820</v>
      </c>
      <c r="D155" s="14">
        <v>3</v>
      </c>
      <c r="E155" s="333">
        <v>7962</v>
      </c>
      <c r="F155" s="333">
        <v>7993</v>
      </c>
      <c r="G155" s="333">
        <v>8024</v>
      </c>
      <c r="H155" s="333">
        <v>8024</v>
      </c>
      <c r="I155" s="14" t="s">
        <v>119</v>
      </c>
      <c r="J155" s="14" t="s">
        <v>119</v>
      </c>
    </row>
    <row r="156" spans="2:15" x14ac:dyDescent="0.2">
      <c r="B156" s="16"/>
      <c r="C156" s="14" t="s">
        <v>821</v>
      </c>
      <c r="D156" s="14">
        <v>4</v>
      </c>
      <c r="E156" s="333">
        <v>8857</v>
      </c>
      <c r="F156" s="333">
        <v>8857</v>
      </c>
      <c r="G156" s="333">
        <v>8857</v>
      </c>
      <c r="H156" s="333">
        <v>8857</v>
      </c>
      <c r="I156" s="14" t="s">
        <v>119</v>
      </c>
      <c r="J156" s="14" t="s">
        <v>119</v>
      </c>
    </row>
    <row r="157" spans="2:15" x14ac:dyDescent="0.2">
      <c r="B157" s="16"/>
    </row>
    <row r="158" spans="2:15" x14ac:dyDescent="0.2">
      <c r="B158" s="16"/>
      <c r="C158" s="6" t="s">
        <v>823</v>
      </c>
    </row>
    <row r="159" spans="2:15" ht="23.25" thickBot="1" x14ac:dyDescent="0.25">
      <c r="B159" s="16"/>
      <c r="C159" s="280" t="s">
        <v>822</v>
      </c>
      <c r="D159" s="280" t="s">
        <v>813</v>
      </c>
      <c r="E159" s="280" t="s">
        <v>814</v>
      </c>
      <c r="F159" s="280" t="s">
        <v>815</v>
      </c>
      <c r="G159" s="280" t="s">
        <v>816</v>
      </c>
      <c r="J159" s="280" t="s">
        <v>835</v>
      </c>
      <c r="K159" s="280" t="s">
        <v>825</v>
      </c>
      <c r="L159" s="280" t="s">
        <v>814</v>
      </c>
      <c r="M159" s="280" t="s">
        <v>815</v>
      </c>
      <c r="N159" s="280" t="s">
        <v>1605</v>
      </c>
      <c r="O159" s="6" t="s">
        <v>1604</v>
      </c>
    </row>
    <row r="160" spans="2:15" x14ac:dyDescent="0.2">
      <c r="B160" s="16"/>
      <c r="C160" s="14" t="s">
        <v>817</v>
      </c>
      <c r="D160" s="14">
        <v>1</v>
      </c>
      <c r="E160" s="333">
        <v>3993</v>
      </c>
      <c r="F160" s="333">
        <v>4035</v>
      </c>
      <c r="G160" s="333">
        <v>4419</v>
      </c>
      <c r="J160" s="14">
        <v>5</v>
      </c>
      <c r="K160" s="333">
        <f>E152+3*0.85*E150</f>
        <v>14064.349999999999</v>
      </c>
      <c r="L160" s="333">
        <f>E163+3*0.85*E161</f>
        <v>15363.9</v>
      </c>
      <c r="M160" s="333">
        <f>F163+3*0.85*F161</f>
        <v>15883.449999999999</v>
      </c>
      <c r="N160" s="6" t="s">
        <v>1599</v>
      </c>
      <c r="O160" s="8" t="s">
        <v>1606</v>
      </c>
    </row>
    <row r="161" spans="2:15" x14ac:dyDescent="0.2">
      <c r="B161" s="16"/>
      <c r="C161" s="14" t="s">
        <v>818</v>
      </c>
      <c r="D161" s="14">
        <v>1</v>
      </c>
      <c r="E161" s="335">
        <v>4058</v>
      </c>
      <c r="F161" s="335">
        <v>4199</v>
      </c>
      <c r="G161" s="333">
        <v>4515</v>
      </c>
      <c r="J161" s="14">
        <v>4</v>
      </c>
      <c r="K161" s="333">
        <f>E152+2*0.85*E150</f>
        <v>10904.9</v>
      </c>
      <c r="L161" s="333">
        <f>E163+2*0.85*E161</f>
        <v>11914.599999999999</v>
      </c>
      <c r="M161" s="333">
        <f>F163+2*0.85*F161</f>
        <v>12314.3</v>
      </c>
      <c r="N161" s="6" t="s">
        <v>1598</v>
      </c>
      <c r="O161" s="8" t="s">
        <v>1606</v>
      </c>
    </row>
    <row r="162" spans="2:15" x14ac:dyDescent="0.2">
      <c r="B162" s="16"/>
      <c r="C162" s="14">
        <v>18</v>
      </c>
      <c r="D162" s="14">
        <v>1</v>
      </c>
      <c r="E162" s="335">
        <v>4646</v>
      </c>
      <c r="F162" s="335">
        <v>4812</v>
      </c>
      <c r="G162" s="18" t="s">
        <v>119</v>
      </c>
      <c r="J162" s="14">
        <v>3</v>
      </c>
      <c r="K162" s="333">
        <f>E150+2*0.85*E150</f>
        <v>10035.9</v>
      </c>
      <c r="L162" s="333">
        <f>E161+2*0.85*E161</f>
        <v>10956.599999999999</v>
      </c>
      <c r="M162" s="333">
        <f>F161+2*0.85*F161</f>
        <v>11337.3</v>
      </c>
      <c r="N162" s="6" t="s">
        <v>1597</v>
      </c>
      <c r="O162" s="8" t="s">
        <v>1606</v>
      </c>
    </row>
    <row r="163" spans="2:15" x14ac:dyDescent="0.2">
      <c r="B163" s="16"/>
      <c r="C163" s="14" t="s">
        <v>819</v>
      </c>
      <c r="D163" s="14">
        <v>1</v>
      </c>
      <c r="E163" s="333">
        <v>5016</v>
      </c>
      <c r="F163" s="333">
        <v>5176</v>
      </c>
      <c r="G163" s="18" t="s">
        <v>119</v>
      </c>
      <c r="J163" s="14">
        <v>2.5</v>
      </c>
      <c r="K163" s="333">
        <f>E150+2*0.85*E149</f>
        <v>9910.0999999999985</v>
      </c>
      <c r="L163" s="333">
        <f>E161+2*0.85*E160</f>
        <v>10846.099999999999</v>
      </c>
      <c r="M163" s="333">
        <f>F161+2*0.85*F160</f>
        <v>11058.5</v>
      </c>
      <c r="N163" s="6" t="s">
        <v>1596</v>
      </c>
      <c r="O163" s="8" t="s">
        <v>1606</v>
      </c>
    </row>
    <row r="164" spans="2:15" x14ac:dyDescent="0.2">
      <c r="B164" s="16"/>
      <c r="C164" s="14" t="s">
        <v>819</v>
      </c>
      <c r="D164" s="14">
        <v>2</v>
      </c>
      <c r="E164" s="333">
        <v>7060</v>
      </c>
      <c r="F164" s="18" t="s">
        <v>119</v>
      </c>
      <c r="G164" s="18" t="s">
        <v>119</v>
      </c>
      <c r="J164" s="14">
        <v>2</v>
      </c>
      <c r="K164" s="333">
        <f>E152</f>
        <v>4586</v>
      </c>
      <c r="L164" s="333">
        <f>E163</f>
        <v>5016</v>
      </c>
      <c r="M164" s="333">
        <f>F163</f>
        <v>5176</v>
      </c>
      <c r="N164" s="6" t="s">
        <v>1600</v>
      </c>
    </row>
    <row r="165" spans="2:15" x14ac:dyDescent="0.2">
      <c r="B165" s="16"/>
      <c r="C165" s="14" t="s">
        <v>819</v>
      </c>
      <c r="D165" s="14">
        <v>3</v>
      </c>
      <c r="E165" s="334">
        <v>8202</v>
      </c>
      <c r="F165" s="18" t="s">
        <v>119</v>
      </c>
      <c r="G165" s="18" t="s">
        <v>119</v>
      </c>
      <c r="J165" s="14">
        <v>1.5</v>
      </c>
      <c r="K165" s="333">
        <f>E151</f>
        <v>4276</v>
      </c>
      <c r="L165" s="333">
        <f>E162</f>
        <v>4646</v>
      </c>
      <c r="M165" s="333">
        <f>F162</f>
        <v>4812</v>
      </c>
      <c r="N165" s="6" t="s">
        <v>1601</v>
      </c>
    </row>
    <row r="166" spans="2:15" x14ac:dyDescent="0.2">
      <c r="B166" s="16"/>
      <c r="C166" s="14" t="s">
        <v>820</v>
      </c>
      <c r="D166" s="14">
        <v>3</v>
      </c>
      <c r="E166" s="333">
        <v>9049</v>
      </c>
      <c r="F166" s="18" t="s">
        <v>119</v>
      </c>
      <c r="G166" s="18" t="s">
        <v>119</v>
      </c>
      <c r="J166" s="14">
        <v>1</v>
      </c>
      <c r="K166" s="333">
        <f>E150</f>
        <v>3717</v>
      </c>
      <c r="L166" s="333">
        <f>E161</f>
        <v>4058</v>
      </c>
      <c r="M166" s="333">
        <f>F161</f>
        <v>4199</v>
      </c>
      <c r="N166" s="6" t="s">
        <v>1602</v>
      </c>
    </row>
    <row r="167" spans="2:15" x14ac:dyDescent="0.2">
      <c r="B167" s="16"/>
      <c r="C167" s="14" t="s">
        <v>821</v>
      </c>
      <c r="D167" s="14">
        <v>4</v>
      </c>
      <c r="E167" s="333">
        <v>10438</v>
      </c>
      <c r="F167" s="18" t="s">
        <v>119</v>
      </c>
      <c r="G167" s="18" t="s">
        <v>119</v>
      </c>
      <c r="J167" s="14">
        <v>0.75</v>
      </c>
      <c r="K167" s="333">
        <f>E149</f>
        <v>3643</v>
      </c>
      <c r="L167" s="333">
        <f>E160</f>
        <v>3993</v>
      </c>
      <c r="M167" s="333">
        <f>F160</f>
        <v>4035</v>
      </c>
      <c r="N167" s="6" t="s">
        <v>1603</v>
      </c>
    </row>
    <row r="168" spans="2:15" x14ac:dyDescent="0.2">
      <c r="B168" s="16"/>
      <c r="J168" s="8" t="s">
        <v>836</v>
      </c>
    </row>
    <row r="169" spans="2:15" x14ac:dyDescent="0.2">
      <c r="B169" s="16"/>
    </row>
    <row r="170" spans="2:15" ht="12.75" x14ac:dyDescent="0.2">
      <c r="B170" s="16"/>
      <c r="C170" s="30" t="s">
        <v>1615</v>
      </c>
      <c r="D170" s="190">
        <f>D116</f>
        <v>2.5</v>
      </c>
      <c r="E170" s="6" t="s">
        <v>173</v>
      </c>
    </row>
    <row r="171" spans="2:15" x14ac:dyDescent="0.2">
      <c r="B171" s="16"/>
    </row>
    <row r="172" spans="2:15" ht="12" thickBot="1" x14ac:dyDescent="0.25">
      <c r="B172" s="16"/>
      <c r="D172" s="280" t="s">
        <v>829</v>
      </c>
      <c r="E172" s="280" t="s">
        <v>831</v>
      </c>
    </row>
    <row r="173" spans="2:15" ht="12.75" x14ac:dyDescent="0.2">
      <c r="B173" s="16"/>
      <c r="C173" s="30" t="s">
        <v>6</v>
      </c>
      <c r="D173" s="31" t="str">
        <f>D51</f>
        <v>15 SEER/12 EER/8.2 HSPF</v>
      </c>
      <c r="E173" s="339">
        <f>INDEX(K160:K167,MATCH(D170,J160:J167,-1))+$D$142+$D$143</f>
        <v>10810.099999999999</v>
      </c>
    </row>
    <row r="174" spans="2:15" ht="12.75" x14ac:dyDescent="0.2">
      <c r="B174" s="16"/>
      <c r="C174" s="30" t="s">
        <v>153</v>
      </c>
      <c r="D174" s="31" t="str">
        <f>D52</f>
        <v>18 SEER/10.0 HSPF</v>
      </c>
      <c r="E174" s="340">
        <f>INDEX(L160:L167,MATCH(D170,J160:J167,-1))+$D$142+$D$143</f>
        <v>11746.099999999999</v>
      </c>
    </row>
    <row r="175" spans="2:15" ht="12.75" x14ac:dyDescent="0.2">
      <c r="B175" s="16"/>
      <c r="C175" s="30" t="s">
        <v>154</v>
      </c>
      <c r="D175" s="31" t="str">
        <f>D53</f>
        <v>20 SEER/12.0 HSPF</v>
      </c>
      <c r="E175" s="339">
        <f>INDEX(M160:M167,MATCH(D170,J160:J167,-1))+$D$142+$D$143</f>
        <v>11958.5</v>
      </c>
    </row>
    <row r="176" spans="2:15" x14ac:dyDescent="0.2">
      <c r="B176" s="16"/>
    </row>
    <row r="177" spans="2:2" x14ac:dyDescent="0.2">
      <c r="B177" s="16"/>
    </row>
  </sheetData>
  <mergeCells count="21">
    <mergeCell ref="D112:E112"/>
    <mergeCell ref="D113:E113"/>
    <mergeCell ref="D51:E51"/>
    <mergeCell ref="F51:G51"/>
    <mergeCell ref="H51:I51"/>
    <mergeCell ref="D58:G58"/>
    <mergeCell ref="D59:G59"/>
    <mergeCell ref="D60:G60"/>
    <mergeCell ref="D52:E52"/>
    <mergeCell ref="F52:G52"/>
    <mergeCell ref="H52:I52"/>
    <mergeCell ref="J51:K51"/>
    <mergeCell ref="D50:E50"/>
    <mergeCell ref="F50:G50"/>
    <mergeCell ref="H50:I50"/>
    <mergeCell ref="J50:K50"/>
    <mergeCell ref="J52:K52"/>
    <mergeCell ref="D53:E53"/>
    <mergeCell ref="F53:G53"/>
    <mergeCell ref="H53:I53"/>
    <mergeCell ref="J53:K53"/>
  </mergeCells>
  <dataValidations disablePrompts="1" count="2">
    <dataValidation type="list" allowBlank="1" showInputMessage="1" showErrorMessage="1" sqref="D5">
      <formula1>"1. Not Started,2. Analyzing,3. Ready"</formula1>
    </dataValidation>
    <dataValidation type="list" allowBlank="1" showInputMessage="1" showErrorMessage="1" sqref="D9">
      <formula1>DEFINED_MEASURES</formula1>
    </dataValidation>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sheetPr>
  <dimension ref="A1:AD187"/>
  <sheetViews>
    <sheetView workbookViewId="0"/>
  </sheetViews>
  <sheetFormatPr defaultColWidth="9.33203125" defaultRowHeight="11.25" x14ac:dyDescent="0.2"/>
  <cols>
    <col min="1" max="2" width="3.33203125" style="6" customWidth="1"/>
    <col min="3" max="3" width="22.6640625" style="6" bestFit="1" customWidth="1"/>
    <col min="4" max="4" width="16.5" style="6" bestFit="1" customWidth="1"/>
    <col min="5" max="5" width="24.6640625" style="6" customWidth="1"/>
    <col min="6" max="6" width="15" style="6" customWidth="1"/>
    <col min="7" max="7" width="13.5" style="6" customWidth="1"/>
    <col min="8" max="8" width="15.5" style="6" customWidth="1"/>
    <col min="9" max="9" width="22.33203125" style="6" bestFit="1" customWidth="1"/>
    <col min="10" max="10" width="21.5" style="6" customWidth="1"/>
    <col min="11"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29" t="s">
        <v>92</v>
      </c>
      <c r="E9" s="7" t="s">
        <v>290</v>
      </c>
    </row>
    <row r="10" spans="1:30" ht="12.75" x14ac:dyDescent="0.2">
      <c r="B10" s="16"/>
      <c r="C10" s="30" t="s">
        <v>289</v>
      </c>
      <c r="D10" s="83" t="str">
        <f>INDEX(Tbl_MeasureList[Baseline ID],MATCH($D$9,Tbl_MeasureList[Measure ID],0))</f>
        <v>BASE22</v>
      </c>
      <c r="E10" s="7"/>
    </row>
    <row r="11" spans="1:30" x14ac:dyDescent="0.2">
      <c r="B11" s="16"/>
      <c r="C11" s="7"/>
      <c r="D11" s="7"/>
      <c r="E11" s="7"/>
    </row>
    <row r="12" spans="1:30" ht="12" thickBot="1" x14ac:dyDescent="0.25">
      <c r="B12" s="16"/>
      <c r="C12" s="7"/>
      <c r="D12" s="160" t="s">
        <v>5</v>
      </c>
      <c r="E12" s="160" t="s">
        <v>284</v>
      </c>
    </row>
    <row r="13" spans="1:30" x14ac:dyDescent="0.2">
      <c r="B13" s="16"/>
      <c r="C13" s="32" t="s">
        <v>2</v>
      </c>
      <c r="D13" s="84" t="str">
        <f>INDEX(Tbl_MeasureList[Baseline Equipment ID],MATCH($D$9,Tbl_MeasureList[Measure ID],0))</f>
        <v>EQUI038</v>
      </c>
      <c r="E13" s="84" t="str">
        <f>INDEX(Tbl_MeasureList[Replacement ID],MATCH($D$9,Tbl_MeasureList[Measure ID],0))</f>
        <v>EQUI013</v>
      </c>
      <c r="F13" s="7"/>
    </row>
    <row r="14" spans="1:30" x14ac:dyDescent="0.2">
      <c r="B14" s="16"/>
      <c r="C14" s="32" t="s">
        <v>4</v>
      </c>
      <c r="D14" s="85" t="str">
        <f>INDEX(Tbl_EquipmentDefinitions[[Equipment Name]:[Equipment Name]],MATCH(D$13,Tbl_EquipmentDefinitions[[Equipment ID]:[Equipment ID]],0))</f>
        <v>Room AC/No AC Blend+Electric Baseboard</v>
      </c>
      <c r="E14" s="85" t="str">
        <f>INDEX(Tbl_EquipmentDefinitions[[Equipment Name]:[Equipment Name]],MATCH(E$13,Tbl_EquipmentDefinitions[[Equipment ID]:[Equipment ID]],0))</f>
        <v>Electric Baseboard+DMSHP</v>
      </c>
      <c r="F14" s="7"/>
    </row>
    <row r="15" spans="1:30" x14ac:dyDescent="0.2">
      <c r="B15" s="16"/>
      <c r="C15" s="32" t="s">
        <v>24</v>
      </c>
      <c r="D15" s="84" t="str">
        <f>INDEX(Tbl_EquipmentDefinitions[[Function]:[Function]],MATCH(D$13,Tbl_EquipmentDefinitions[[Equipment ID]:[Equipment ID]],0))</f>
        <v>Cool+Heat</v>
      </c>
      <c r="E15" s="84" t="str">
        <f>INDEX(Tbl_EquipmentDefinitions[[Function]:[Function]],MATCH(E$13,Tbl_EquipmentDefinitions[[Equipment ID]:[Equipment ID]],0))</f>
        <v>Cool+Heat</v>
      </c>
      <c r="F15" s="7"/>
    </row>
    <row r="16" spans="1:30" x14ac:dyDescent="0.2">
      <c r="B16" s="16"/>
      <c r="C16" s="32" t="s">
        <v>7</v>
      </c>
      <c r="D16" s="85" t="str">
        <f>INDEX(Tbl_EquipmentDefinitions[[Fuel Type]:[Fuel Type]],MATCH(D$13,Tbl_EquipmentDefinitions[[Equipment ID]:[Equipment ID]],0))</f>
        <v>Electric+Electric</v>
      </c>
      <c r="E16" s="85" t="str">
        <f>INDEX(Tbl_EquipmentDefinitions[[Fuel Type]:[Fuel Type]],MATCH(E$13,Tbl_EquipmentDefinitions[[Equipment ID]:[Equipment ID]],0))</f>
        <v>Electric+Electric</v>
      </c>
      <c r="F16" s="7"/>
    </row>
    <row r="17" spans="2:14" x14ac:dyDescent="0.2">
      <c r="B17" s="16"/>
      <c r="C17" s="32" t="s">
        <v>126</v>
      </c>
      <c r="D17" s="84">
        <f>IF(ISERR(SEARCH("+",D16,1)),1,2)</f>
        <v>2</v>
      </c>
      <c r="E17" s="84">
        <f>IF(ISERR(SEARCH("+",E16,1)),1,2)</f>
        <v>2</v>
      </c>
      <c r="F17" s="7"/>
    </row>
    <row r="18" spans="2:14" x14ac:dyDescent="0.2">
      <c r="B18" s="16"/>
      <c r="C18" s="32" t="s">
        <v>155</v>
      </c>
      <c r="D18" s="86">
        <f>INDEX(Tbl_BaselineSummary[Space Heating Load (MMBtu/yr)],MATCH($D$10,Tbl_BaselineSummary[Baseline ID],0))</f>
        <v>76.7</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8</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160" t="s">
        <v>127</v>
      </c>
      <c r="D25" s="281" t="s">
        <v>345</v>
      </c>
      <c r="E25" s="385" t="s">
        <v>956</v>
      </c>
      <c r="F25" s="281" t="s">
        <v>326</v>
      </c>
      <c r="G25" s="421" t="s">
        <v>1532</v>
      </c>
      <c r="H25" s="385" t="s">
        <v>958</v>
      </c>
      <c r="I25" s="569" t="s">
        <v>1447</v>
      </c>
      <c r="J25" s="569" t="s">
        <v>1448</v>
      </c>
      <c r="L25" s="160" t="s">
        <v>1533</v>
      </c>
      <c r="M25" s="421" t="s">
        <v>1531</v>
      </c>
    </row>
    <row r="26" spans="2:14" ht="11.25" customHeight="1" x14ac:dyDescent="0.2">
      <c r="B26" s="16"/>
      <c r="C26" s="32" t="s">
        <v>6</v>
      </c>
      <c r="D26" s="122">
        <f>D102</f>
        <v>14490.404692168971</v>
      </c>
      <c r="E26" s="126">
        <f>D146</f>
        <v>3.75</v>
      </c>
      <c r="F26" s="111">
        <f>D106</f>
        <v>2866.2020481110226</v>
      </c>
      <c r="G26" s="111">
        <f>E183</f>
        <v>11804.9</v>
      </c>
      <c r="H26" s="126">
        <f>D139</f>
        <v>1.5200000000000002</v>
      </c>
      <c r="I26" s="122">
        <f>D98</f>
        <v>871.5200000000001</v>
      </c>
      <c r="J26" s="122">
        <f>D77+$D$85</f>
        <v>13618.884692168971</v>
      </c>
      <c r="L26" s="84">
        <f t="shared" ref="L26:M28" si="0">F26+E32+E38+E44</f>
        <v>2866.2020481110226</v>
      </c>
      <c r="M26" s="86">
        <f t="shared" si="0"/>
        <v>11804.9</v>
      </c>
    </row>
    <row r="27" spans="2:14" x14ac:dyDescent="0.2">
      <c r="B27" s="16"/>
      <c r="C27" s="32" t="s">
        <v>19</v>
      </c>
      <c r="D27" s="122">
        <f>D103</f>
        <v>12727.681362087125</v>
      </c>
      <c r="E27" s="126">
        <f>D147</f>
        <v>3.75</v>
      </c>
      <c r="F27" s="111">
        <f>D107</f>
        <v>2517.5353734208334</v>
      </c>
      <c r="G27" s="111">
        <f>E184</f>
        <v>12814.599999999999</v>
      </c>
      <c r="H27" s="126">
        <f t="shared" ref="H27:H28" si="1">D140</f>
        <v>1.5200000000000002</v>
      </c>
      <c r="I27" s="122">
        <f t="shared" ref="I27:I28" si="2">D99</f>
        <v>726.26666666666677</v>
      </c>
      <c r="J27" s="122">
        <f t="shared" ref="J27:J28" si="3">D78+$D$85</f>
        <v>12001.414695420459</v>
      </c>
      <c r="L27" s="84">
        <f t="shared" si="0"/>
        <v>2517.5353734208334</v>
      </c>
      <c r="M27" s="86">
        <f t="shared" si="0"/>
        <v>12814.599999999999</v>
      </c>
    </row>
    <row r="28" spans="2:14" x14ac:dyDescent="0.2">
      <c r="B28" s="16"/>
      <c r="C28" s="32" t="s">
        <v>20</v>
      </c>
      <c r="D28" s="122">
        <f>D104</f>
        <v>11426.975623815108</v>
      </c>
      <c r="E28" s="126">
        <f>D148</f>
        <v>3.75</v>
      </c>
      <c r="F28" s="111">
        <f>D108</f>
        <v>2260.2557783906282</v>
      </c>
      <c r="G28" s="111">
        <f>E185</f>
        <v>13214.3</v>
      </c>
      <c r="H28" s="126">
        <f t="shared" si="1"/>
        <v>1.5200000000000002</v>
      </c>
      <c r="I28" s="122">
        <f t="shared" si="2"/>
        <v>653.6400000000001</v>
      </c>
      <c r="J28" s="122">
        <f t="shared" si="3"/>
        <v>10773.335623815106</v>
      </c>
      <c r="L28" s="84">
        <f t="shared" si="0"/>
        <v>2260.2557783906282</v>
      </c>
      <c r="M28" s="86">
        <f t="shared" si="0"/>
        <v>13214.3</v>
      </c>
    </row>
    <row r="29" spans="2:14" x14ac:dyDescent="0.2">
      <c r="B29" s="16"/>
    </row>
    <row r="30" spans="2:14" ht="12.75" thickBot="1" x14ac:dyDescent="0.25">
      <c r="B30" s="16"/>
      <c r="C30" s="34" t="s">
        <v>55</v>
      </c>
      <c r="D30" s="34"/>
      <c r="E30" s="33"/>
      <c r="F30" s="33"/>
    </row>
    <row r="31" spans="2:14" ht="34.5" thickBot="1" x14ac:dyDescent="0.25">
      <c r="B31" s="16"/>
      <c r="C31" s="160" t="s">
        <v>127</v>
      </c>
      <c r="D31" s="281" t="s">
        <v>325</v>
      </c>
      <c r="E31" s="281" t="s">
        <v>326</v>
      </c>
      <c r="F31" s="421" t="s">
        <v>1532</v>
      </c>
    </row>
    <row r="32" spans="2:14" x14ac:dyDescent="0.2">
      <c r="B32" s="16"/>
      <c r="C32" s="32" t="s">
        <v>6</v>
      </c>
      <c r="D32" s="40">
        <v>0</v>
      </c>
      <c r="E32" s="39">
        <v>0</v>
      </c>
      <c r="F32" s="39">
        <v>0</v>
      </c>
      <c r="G32" s="7" t="s">
        <v>128</v>
      </c>
    </row>
    <row r="33" spans="2:14" x14ac:dyDescent="0.2">
      <c r="B33" s="16"/>
      <c r="C33" s="32" t="s">
        <v>19</v>
      </c>
      <c r="D33" s="40">
        <v>0</v>
      </c>
      <c r="E33" s="39">
        <v>0</v>
      </c>
      <c r="F33" s="39">
        <v>0</v>
      </c>
    </row>
    <row r="34" spans="2:14" x14ac:dyDescent="0.2">
      <c r="B34" s="16"/>
      <c r="C34" s="32" t="s">
        <v>20</v>
      </c>
      <c r="D34" s="40">
        <v>0</v>
      </c>
      <c r="E34" s="39">
        <v>0</v>
      </c>
      <c r="F34" s="39">
        <v>0</v>
      </c>
    </row>
    <row r="35" spans="2:14" x14ac:dyDescent="0.2">
      <c r="B35" s="16"/>
    </row>
    <row r="36" spans="2:14" ht="12.75" thickBot="1" x14ac:dyDescent="0.25">
      <c r="B36" s="16"/>
      <c r="C36" s="34" t="s">
        <v>28</v>
      </c>
      <c r="D36" s="34"/>
      <c r="E36" s="33"/>
      <c r="F36" s="33"/>
    </row>
    <row r="37" spans="2:14" ht="34.5" thickBot="1" x14ac:dyDescent="0.25">
      <c r="B37" s="16"/>
      <c r="C37" s="160" t="s">
        <v>127</v>
      </c>
      <c r="D37" s="281" t="s">
        <v>756</v>
      </c>
      <c r="E37" s="281" t="s">
        <v>326</v>
      </c>
      <c r="F37" s="421"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34.5" thickBot="1" x14ac:dyDescent="0.25">
      <c r="B43" s="16"/>
      <c r="C43" s="160" t="s">
        <v>127</v>
      </c>
      <c r="D43" s="281" t="s">
        <v>756</v>
      </c>
      <c r="E43" s="281" t="s">
        <v>326</v>
      </c>
      <c r="F43" s="421" t="s">
        <v>1532</v>
      </c>
    </row>
    <row r="44" spans="2:14" x14ac:dyDescent="0.2">
      <c r="B44" s="16"/>
      <c r="C44" s="32" t="s">
        <v>6</v>
      </c>
      <c r="D44" s="40">
        <v>0</v>
      </c>
      <c r="E44" s="39">
        <v>0</v>
      </c>
      <c r="F44" s="39">
        <v>0</v>
      </c>
      <c r="G44" s="7" t="s">
        <v>128</v>
      </c>
    </row>
    <row r="45" spans="2:14" x14ac:dyDescent="0.2">
      <c r="B45" s="16"/>
      <c r="C45" s="32" t="s">
        <v>19</v>
      </c>
      <c r="D45" s="40">
        <v>0</v>
      </c>
      <c r="E45" s="39">
        <v>0</v>
      </c>
      <c r="F45" s="39">
        <v>0</v>
      </c>
    </row>
    <row r="46" spans="2:14" x14ac:dyDescent="0.2">
      <c r="B46" s="16"/>
      <c r="C46" s="32" t="s">
        <v>20</v>
      </c>
      <c r="D46" s="40">
        <v>0</v>
      </c>
      <c r="E46" s="39">
        <v>0</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1 COP, 15 SEER/12 EER/8.2 HSPF</v>
      </c>
      <c r="E51" s="690"/>
      <c r="F51" s="693" t="str">
        <f>INDEX(Tbl_EquipmentDefinitions[Natural Gas Code Efficiency],MATCH($E$13,Tbl_EquipmentDefinitions[Equipment ID],0))</f>
        <v>-</v>
      </c>
      <c r="G51" s="690"/>
      <c r="H51" s="693" t="str">
        <f>INDEX(Tbl_EquipmentDefinitions[Propane Code Efficiency],MATCH($E$13,Tbl_EquipmentDefinitions[Equipment ID],0))</f>
        <v>-</v>
      </c>
      <c r="I51" s="690"/>
      <c r="J51" s="693" t="str">
        <f>INDEX(Tbl_EquipmentDefinitions[Oil Code Efficiency],MATCH($E$13,Tbl_EquipmentDefinitions[Equipment ID],0))</f>
        <v>-</v>
      </c>
      <c r="K51" s="690"/>
    </row>
    <row r="52" spans="2:14" ht="12.75" x14ac:dyDescent="0.2">
      <c r="B52" s="16"/>
      <c r="C52" s="30" t="s">
        <v>153</v>
      </c>
      <c r="D52" s="689" t="str">
        <f>INDEX(Tbl_EquipmentDefinitions[Electricity Low Measure Efficiency],MATCH($E$13,Tbl_EquipmentDefinitions[Equipment ID],0))</f>
        <v>1 COP, 18 SEER/10.0 HSPF</v>
      </c>
      <c r="E52" s="690"/>
      <c r="F52" s="689" t="str">
        <f>INDEX(Tbl_EquipmentDefinitions[Natural Gas Low Measure Efficiency],MATCH($E$13,Tbl_EquipmentDefinitions[Equipment ID],0))</f>
        <v>-</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1 COP, 20 SEER/12.0 HSPF</v>
      </c>
      <c r="E53" s="690"/>
      <c r="F53" s="689" t="str">
        <f>INDEX(Tbl_EquipmentDefinitions[Natural Gas High Measure Efficiency],MATCH($E$13,Tbl_EquipmentDefinitions[Equipment ID],0))</f>
        <v>-</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160" t="s">
        <v>131</v>
      </c>
      <c r="D58" s="691" t="s">
        <v>132</v>
      </c>
      <c r="E58" s="692"/>
      <c r="F58" s="692"/>
      <c r="G58" s="692"/>
    </row>
    <row r="59" spans="2:14" x14ac:dyDescent="0.2">
      <c r="B59" s="16"/>
      <c r="C59" s="32" t="s">
        <v>174</v>
      </c>
      <c r="D59" s="696" t="s">
        <v>538</v>
      </c>
      <c r="E59" s="697"/>
      <c r="F59" s="697"/>
      <c r="G59" s="697"/>
    </row>
    <row r="60" spans="2:14" x14ac:dyDescent="0.2">
      <c r="B60" s="16"/>
      <c r="C60" s="32" t="s">
        <v>309</v>
      </c>
      <c r="D60" s="698" t="s">
        <v>832</v>
      </c>
      <c r="E60" s="699"/>
      <c r="F60" s="699"/>
      <c r="G60" s="699"/>
    </row>
    <row r="61" spans="2:14" x14ac:dyDescent="0.2">
      <c r="B61" s="16"/>
    </row>
    <row r="63" spans="2:14" ht="13.5" thickBot="1" x14ac:dyDescent="0.25">
      <c r="B63" s="9" t="s">
        <v>129</v>
      </c>
      <c r="C63" s="9"/>
      <c r="D63" s="9"/>
      <c r="E63" s="9"/>
      <c r="F63" s="9"/>
      <c r="G63" s="9"/>
      <c r="H63" s="9"/>
      <c r="I63" s="9"/>
      <c r="J63" s="9"/>
      <c r="K63" s="9"/>
      <c r="L63" s="9"/>
      <c r="M63" s="9"/>
      <c r="N63" s="9"/>
    </row>
    <row r="64" spans="2:14" x14ac:dyDescent="0.2">
      <c r="B64" s="15"/>
    </row>
    <row r="65" spans="2:6" ht="12.75" x14ac:dyDescent="0.2">
      <c r="B65" s="16"/>
      <c r="C65" s="10" t="s">
        <v>541</v>
      </c>
      <c r="D65" s="10"/>
    </row>
    <row r="66" spans="2:6" x14ac:dyDescent="0.2">
      <c r="B66" s="16"/>
    </row>
    <row r="67" spans="2:6" ht="12.75" x14ac:dyDescent="0.2">
      <c r="B67" s="16"/>
      <c r="C67" s="30" t="s">
        <v>155</v>
      </c>
      <c r="D67" s="88">
        <f>$D$18</f>
        <v>76.7</v>
      </c>
      <c r="E67" s="6" t="s">
        <v>156</v>
      </c>
    </row>
    <row r="68" spans="2:6" x14ac:dyDescent="0.2">
      <c r="B68" s="16"/>
    </row>
    <row r="69" spans="2:6" ht="12.75" x14ac:dyDescent="0.2">
      <c r="B69" s="16"/>
      <c r="C69" s="30" t="s">
        <v>159</v>
      </c>
      <c r="D69" s="44">
        <v>8.1999999999999993</v>
      </c>
      <c r="E69" s="6" t="s">
        <v>182</v>
      </c>
      <c r="F69" s="45" t="s">
        <v>301</v>
      </c>
    </row>
    <row r="70" spans="2:6" ht="12.75" x14ac:dyDescent="0.2">
      <c r="B70" s="16"/>
      <c r="C70" s="36" t="s">
        <v>180</v>
      </c>
      <c r="D70" s="44">
        <v>10</v>
      </c>
      <c r="E70" s="6" t="s">
        <v>182</v>
      </c>
      <c r="F70" s="8"/>
    </row>
    <row r="71" spans="2:6" ht="12.75" x14ac:dyDescent="0.2">
      <c r="B71" s="16"/>
      <c r="C71" s="36" t="s">
        <v>181</v>
      </c>
      <c r="D71" s="44">
        <v>12</v>
      </c>
      <c r="E71" s="6" t="s">
        <v>182</v>
      </c>
      <c r="F71" s="8"/>
    </row>
    <row r="72" spans="2:6" x14ac:dyDescent="0.2">
      <c r="B72" s="16"/>
    </row>
    <row r="73" spans="2:6" x14ac:dyDescent="0.2">
      <c r="B73" s="16"/>
      <c r="C73" s="5" t="s">
        <v>250</v>
      </c>
      <c r="D73" s="5"/>
    </row>
    <row r="74" spans="2:6" ht="12.75" x14ac:dyDescent="0.2">
      <c r="B74" s="16"/>
      <c r="C74" s="36" t="s">
        <v>534</v>
      </c>
      <c r="D74" s="54">
        <v>0</v>
      </c>
      <c r="E74" s="188" t="s">
        <v>176</v>
      </c>
    </row>
    <row r="75" spans="2:6" ht="12.75" x14ac:dyDescent="0.2">
      <c r="B75" s="16"/>
      <c r="C75" s="36" t="s">
        <v>535</v>
      </c>
      <c r="D75" s="189">
        <v>0.25</v>
      </c>
      <c r="E75" s="188"/>
    </row>
    <row r="76" spans="2:6" x14ac:dyDescent="0.2">
      <c r="B76" s="16"/>
    </row>
    <row r="77" spans="2:6" ht="12.75" x14ac:dyDescent="0.2">
      <c r="B77" s="16"/>
      <c r="C77" s="36" t="s">
        <v>292</v>
      </c>
      <c r="D77" s="41">
        <f>($D$67/HPFUELCALC_REF_HEATINGLOAD)/($D69/HPFUELCALC_REF_DMSHP_HSPF)*HPBASEBOARDCALC_DMSHP_HPCONSUMPTION
+($D$67/HPFUELCALC_REF_HEATINGLOAD)*HPBASEBOARDCALC_DMSHP_DMSHPRESISTANCECONSUMPTION</f>
        <v>8985.9444263806236</v>
      </c>
      <c r="E77" s="6" t="s">
        <v>170</v>
      </c>
      <c r="F77" s="45" t="s">
        <v>305</v>
      </c>
    </row>
    <row r="78" spans="2:6" ht="12.75" x14ac:dyDescent="0.2">
      <c r="B78" s="16"/>
      <c r="C78" s="36" t="s">
        <v>293</v>
      </c>
      <c r="D78" s="41">
        <f>($D$67/HPFUELCALC_REF_HEATINGLOAD)/($D70/HPFUELCALC_REF_DMSHP_HSPF)*HPBASEBOARDCALC_DMSHP_HPCONSUMPTION
+($D$67/HPFUELCALC_REF_HEATINGLOAD)*HPBASEBOARDCALC_DMSHP_DMSHPRESISTANCECONSUMPTION</f>
        <v>7368.4744296321114</v>
      </c>
      <c r="E78" s="6" t="s">
        <v>170</v>
      </c>
      <c r="F78" s="45" t="s">
        <v>527</v>
      </c>
    </row>
    <row r="79" spans="2:6" ht="12.75" x14ac:dyDescent="0.2">
      <c r="B79" s="16"/>
      <c r="C79" s="36" t="s">
        <v>294</v>
      </c>
      <c r="D79" s="41">
        <f>($D$67/HPFUELCALC_REF_HEATINGLOAD)/($D71/HPFUELCALC_REF_DMSHP_HSPF)*HPBASEBOARDCALC_DMSHP_HPCONSUMPTION
+($D$67/HPFUELCALC_REF_HEATINGLOAD)*HPBASEBOARDCALC_DMSHP_DMSHPRESISTANCECONSUMPTION</f>
        <v>6140.3953580267598</v>
      </c>
      <c r="E79" s="6" t="s">
        <v>170</v>
      </c>
      <c r="F79" s="45"/>
    </row>
    <row r="80" spans="2:6" x14ac:dyDescent="0.2">
      <c r="B80" s="16"/>
      <c r="F80" s="45"/>
    </row>
    <row r="81" spans="2:6" ht="12.75" x14ac:dyDescent="0.2">
      <c r="B81" s="16"/>
      <c r="C81" s="10" t="s">
        <v>540</v>
      </c>
      <c r="D81" s="10"/>
      <c r="F81" s="45"/>
    </row>
    <row r="82" spans="2:6" x14ac:dyDescent="0.2">
      <c r="B82" s="16"/>
      <c r="F82" s="45"/>
    </row>
    <row r="83" spans="2:6" ht="12.75" x14ac:dyDescent="0.2">
      <c r="B83" s="16"/>
      <c r="C83" s="30" t="s">
        <v>529</v>
      </c>
      <c r="D83" s="150">
        <v>1</v>
      </c>
      <c r="E83" s="6" t="s">
        <v>356</v>
      </c>
    </row>
    <row r="84" spans="2:6" x14ac:dyDescent="0.2">
      <c r="B84" s="16"/>
      <c r="F84" s="45"/>
    </row>
    <row r="85" spans="2:6" ht="12.75" x14ac:dyDescent="0.2">
      <c r="B85" s="16"/>
      <c r="C85" s="36" t="s">
        <v>530</v>
      </c>
      <c r="D85" s="41">
        <f>((D67/HPFUELCALC_REF_HEATINGLOAD)*HPBASEBOARDCALC_DMSHP_BASEBOARDCONSUMPTION/(D83/HPFUELCALC_REF_AFUE))</f>
        <v>4632.9402657883475</v>
      </c>
      <c r="E85" s="6" t="s">
        <v>365</v>
      </c>
      <c r="F85" s="45"/>
    </row>
    <row r="86" spans="2:6" ht="12.75" x14ac:dyDescent="0.2">
      <c r="B86" s="16"/>
      <c r="C86" s="36" t="s">
        <v>5</v>
      </c>
      <c r="D86" s="189" t="s">
        <v>233</v>
      </c>
      <c r="F86" s="45"/>
    </row>
    <row r="87" spans="2:6" ht="12.75" x14ac:dyDescent="0.2">
      <c r="B87" s="16"/>
      <c r="C87" s="36" t="s">
        <v>730</v>
      </c>
      <c r="D87" s="37">
        <f>INDEX(Tbl_BaselineSummary[Baseline Electric Baseline Winter Peak Demand (kW)],MATCH(D86,Tbl_BaselineSummary[Baseline ID],0))</f>
        <v>3.75</v>
      </c>
      <c r="E87" s="6" t="s">
        <v>176</v>
      </c>
      <c r="F87" s="45"/>
    </row>
    <row r="88" spans="2:6" ht="12.75" x14ac:dyDescent="0.2">
      <c r="B88" s="16"/>
      <c r="C88" s="36" t="s">
        <v>731</v>
      </c>
      <c r="D88" s="37">
        <f>D85*PRICE_PER_KWH_2018_ELECTRICITY</f>
        <v>916.39558457293515</v>
      </c>
      <c r="E88" s="188" t="s">
        <v>164</v>
      </c>
      <c r="F88" s="45"/>
    </row>
    <row r="89" spans="2:6" x14ac:dyDescent="0.2">
      <c r="B89" s="16"/>
      <c r="F89" s="45"/>
    </row>
    <row r="90" spans="2:6" ht="12.75" x14ac:dyDescent="0.2">
      <c r="B90" s="16"/>
      <c r="C90" s="10" t="s">
        <v>532</v>
      </c>
      <c r="D90" s="10"/>
      <c r="F90" s="45"/>
    </row>
    <row r="91" spans="2:6" x14ac:dyDescent="0.2">
      <c r="B91" s="16"/>
      <c r="F91" s="45"/>
    </row>
    <row r="92" spans="2:6" ht="12.75" x14ac:dyDescent="0.2">
      <c r="B92" s="16"/>
      <c r="C92" s="30" t="s">
        <v>167</v>
      </c>
      <c r="D92" s="87">
        <f>$D$19</f>
        <v>13.072800000000001</v>
      </c>
      <c r="E92" s="6" t="s">
        <v>156</v>
      </c>
    </row>
    <row r="93" spans="2:6" x14ac:dyDescent="0.2">
      <c r="B93" s="16"/>
    </row>
    <row r="94" spans="2:6" ht="12.75" x14ac:dyDescent="0.2">
      <c r="B94" s="16"/>
      <c r="C94" s="36" t="s">
        <v>168</v>
      </c>
      <c r="D94" s="44">
        <v>15</v>
      </c>
      <c r="E94" s="6" t="s">
        <v>169</v>
      </c>
      <c r="F94" s="45" t="s">
        <v>302</v>
      </c>
    </row>
    <row r="95" spans="2:6" ht="12.75" x14ac:dyDescent="0.2">
      <c r="B95" s="16"/>
      <c r="C95" s="36" t="s">
        <v>201</v>
      </c>
      <c r="D95" s="44">
        <v>18</v>
      </c>
      <c r="E95" s="6" t="s">
        <v>169</v>
      </c>
    </row>
    <row r="96" spans="2:6" ht="12.75" x14ac:dyDescent="0.2">
      <c r="B96" s="16"/>
      <c r="C96" s="36" t="s">
        <v>202</v>
      </c>
      <c r="D96" s="44">
        <v>20</v>
      </c>
      <c r="E96" s="6" t="s">
        <v>169</v>
      </c>
    </row>
    <row r="97" spans="2:6" x14ac:dyDescent="0.2">
      <c r="B97" s="16"/>
    </row>
    <row r="98" spans="2:6" ht="12.75" x14ac:dyDescent="0.2">
      <c r="B98" s="16"/>
      <c r="C98" s="36" t="s">
        <v>295</v>
      </c>
      <c r="D98" s="41">
        <f>1000*$D$92/D94</f>
        <v>871.5200000000001</v>
      </c>
      <c r="E98" s="6" t="s">
        <v>170</v>
      </c>
      <c r="F98" s="45" t="s">
        <v>306</v>
      </c>
    </row>
    <row r="99" spans="2:6" ht="12.75" x14ac:dyDescent="0.2">
      <c r="B99" s="16"/>
      <c r="C99" s="36" t="s">
        <v>296</v>
      </c>
      <c r="D99" s="41">
        <f>1000*$D$92/D95</f>
        <v>726.26666666666677</v>
      </c>
      <c r="E99" s="6" t="s">
        <v>170</v>
      </c>
    </row>
    <row r="100" spans="2:6" ht="12.75" x14ac:dyDescent="0.2">
      <c r="B100" s="16"/>
      <c r="C100" s="36" t="s">
        <v>297</v>
      </c>
      <c r="D100" s="41">
        <f>1000*$D$92/D96</f>
        <v>653.6400000000001</v>
      </c>
      <c r="E100" s="6" t="s">
        <v>170</v>
      </c>
    </row>
    <row r="101" spans="2:6" x14ac:dyDescent="0.2">
      <c r="B101" s="16"/>
    </row>
    <row r="102" spans="2:6" ht="12.75" x14ac:dyDescent="0.2">
      <c r="B102" s="16"/>
      <c r="C102" s="36" t="s">
        <v>298</v>
      </c>
      <c r="D102" s="41">
        <f>D77+D98+$D$85</f>
        <v>14490.404692168971</v>
      </c>
      <c r="E102" s="6" t="s">
        <v>170</v>
      </c>
      <c r="F102" s="45" t="s">
        <v>307</v>
      </c>
    </row>
    <row r="103" spans="2:6" ht="12.75" x14ac:dyDescent="0.2">
      <c r="B103" s="16"/>
      <c r="C103" s="36" t="s">
        <v>299</v>
      </c>
      <c r="D103" s="41">
        <f>D78+D99+$D$85</f>
        <v>12727.681362087125</v>
      </c>
      <c r="E103" s="6" t="s">
        <v>170</v>
      </c>
    </row>
    <row r="104" spans="2:6" ht="12.75" x14ac:dyDescent="0.2">
      <c r="B104" s="16"/>
      <c r="C104" s="36" t="s">
        <v>300</v>
      </c>
      <c r="D104" s="41">
        <f>D79+D100+$D$85</f>
        <v>11426.975623815108</v>
      </c>
      <c r="E104" s="6" t="s">
        <v>170</v>
      </c>
    </row>
    <row r="105" spans="2:6" x14ac:dyDescent="0.2">
      <c r="B105" s="16"/>
    </row>
    <row r="106" spans="2:6" ht="12.75" x14ac:dyDescent="0.2">
      <c r="B106" s="16"/>
      <c r="C106" s="30" t="s">
        <v>163</v>
      </c>
      <c r="D106" s="42">
        <f>D102*PRICE_PER_KWH_2018_ELECTRICITY</f>
        <v>2866.2020481110226</v>
      </c>
      <c r="E106" s="6" t="s">
        <v>164</v>
      </c>
      <c r="F106" s="45" t="s">
        <v>308</v>
      </c>
    </row>
    <row r="107" spans="2:6" ht="12.75" x14ac:dyDescent="0.2">
      <c r="B107" s="16"/>
      <c r="C107" s="36" t="s">
        <v>203</v>
      </c>
      <c r="D107" s="42">
        <f>D103*PRICE_PER_KWH_2018_ELECTRICITY</f>
        <v>2517.5353734208334</v>
      </c>
      <c r="E107" s="6" t="s">
        <v>164</v>
      </c>
    </row>
    <row r="108" spans="2:6" ht="12.75" x14ac:dyDescent="0.2">
      <c r="B108" s="16"/>
      <c r="C108" s="36" t="s">
        <v>204</v>
      </c>
      <c r="D108" s="42">
        <f>D104*PRICE_PER_KWH_2018_ELECTRICITY</f>
        <v>2260.2557783906282</v>
      </c>
      <c r="E108" s="6" t="s">
        <v>164</v>
      </c>
    </row>
    <row r="109" spans="2:6" x14ac:dyDescent="0.2">
      <c r="B109" s="16"/>
    </row>
    <row r="110" spans="2:6" x14ac:dyDescent="0.2">
      <c r="B110" s="16"/>
    </row>
    <row r="111" spans="2:6" ht="12.75" x14ac:dyDescent="0.2">
      <c r="B111" s="16"/>
      <c r="C111" s="10" t="s">
        <v>366</v>
      </c>
      <c r="D111" s="10"/>
    </row>
    <row r="112" spans="2:6" x14ac:dyDescent="0.2">
      <c r="B112" s="16"/>
    </row>
    <row r="113" spans="2:6" ht="12.75" x14ac:dyDescent="0.2">
      <c r="B113" s="16"/>
      <c r="C113" s="423" t="s">
        <v>1595</v>
      </c>
      <c r="D113" s="694" t="str">
        <f>INPUT_DMSHP_COOLCAP_NOOTHERHEAT</f>
        <v>4 ton (1x24kBtu + 2x12kBtu)</v>
      </c>
      <c r="E113" s="695"/>
    </row>
    <row r="114" spans="2:6" ht="12.75" x14ac:dyDescent="0.2">
      <c r="B114" s="16"/>
      <c r="C114" s="423" t="s">
        <v>1594</v>
      </c>
      <c r="D114" s="694" t="str">
        <f>INPUT_DMSHP_HEATCAP_NOOTHERHEAT</f>
        <v>4 ton (1x24kBtu + 2x12kBtu)</v>
      </c>
      <c r="E114" s="695"/>
    </row>
    <row r="115" spans="2:6" ht="12.75" x14ac:dyDescent="0.2">
      <c r="B115" s="16"/>
      <c r="C115" s="30" t="s">
        <v>1612</v>
      </c>
      <c r="D115" s="37" t="str">
        <f>LEFT(D113,SEARCH("ton",D113,1)-2)</f>
        <v>4</v>
      </c>
      <c r="E115" s="6" t="s">
        <v>173</v>
      </c>
    </row>
    <row r="116" spans="2:6" ht="12.75" x14ac:dyDescent="0.2">
      <c r="B116" s="16"/>
      <c r="C116" s="30" t="s">
        <v>1614</v>
      </c>
      <c r="D116" s="37" t="str">
        <f>LEFT(D114,SEARCH("ton",D114,1)-2)</f>
        <v>4</v>
      </c>
      <c r="E116" s="6" t="s">
        <v>173</v>
      </c>
    </row>
    <row r="117" spans="2:6" ht="12.75" x14ac:dyDescent="0.2">
      <c r="B117" s="16"/>
      <c r="C117" s="30" t="s">
        <v>1615</v>
      </c>
      <c r="D117" s="190">
        <f>MAX(VALUE(D115),VALUE(D116))</f>
        <v>4</v>
      </c>
      <c r="E117" s="6" t="s">
        <v>173</v>
      </c>
    </row>
    <row r="118" spans="2:6" x14ac:dyDescent="0.2">
      <c r="B118" s="16"/>
    </row>
    <row r="119" spans="2:6" ht="12.75" x14ac:dyDescent="0.2">
      <c r="B119" s="16"/>
      <c r="C119" s="36" t="s">
        <v>217</v>
      </c>
      <c r="D119" s="31">
        <f>D69</f>
        <v>8.1999999999999993</v>
      </c>
      <c r="E119" s="6" t="s">
        <v>182</v>
      </c>
      <c r="F119" s="45" t="s">
        <v>303</v>
      </c>
    </row>
    <row r="120" spans="2:6" ht="12.75" x14ac:dyDescent="0.2">
      <c r="B120" s="16"/>
      <c r="C120" s="36" t="s">
        <v>218</v>
      </c>
      <c r="D120" s="31">
        <f>D70</f>
        <v>10</v>
      </c>
      <c r="E120" s="6" t="s">
        <v>182</v>
      </c>
    </row>
    <row r="121" spans="2:6" ht="12.75" x14ac:dyDescent="0.2">
      <c r="B121" s="16"/>
      <c r="C121" s="36" t="s">
        <v>219</v>
      </c>
      <c r="D121" s="31">
        <f>D71</f>
        <v>12</v>
      </c>
      <c r="E121" s="6" t="s">
        <v>182</v>
      </c>
      <c r="F121" s="45"/>
    </row>
    <row r="122" spans="2:6" x14ac:dyDescent="0.2">
      <c r="B122" s="16"/>
    </row>
    <row r="123" spans="2:6" ht="12.75" x14ac:dyDescent="0.2">
      <c r="B123" s="16"/>
      <c r="C123" s="36" t="s">
        <v>210</v>
      </c>
      <c r="D123" s="44">
        <v>0.34</v>
      </c>
      <c r="E123" s="45" t="s">
        <v>538</v>
      </c>
    </row>
    <row r="124" spans="2:6" ht="12.75" x14ac:dyDescent="0.2">
      <c r="B124" s="16"/>
      <c r="C124" s="36" t="s">
        <v>537</v>
      </c>
      <c r="D124" s="44">
        <v>0.45</v>
      </c>
      <c r="E124" s="45" t="s">
        <v>538</v>
      </c>
    </row>
    <row r="125" spans="2:6" x14ac:dyDescent="0.2">
      <c r="B125" s="16"/>
    </row>
    <row r="126" spans="2:6" ht="12.75" x14ac:dyDescent="0.2">
      <c r="B126" s="16"/>
      <c r="C126" s="36" t="s">
        <v>220</v>
      </c>
      <c r="D126" s="46">
        <f>$D$123*$D$116*12/D119</f>
        <v>1.9902439024390246</v>
      </c>
      <c r="E126" s="6" t="s">
        <v>176</v>
      </c>
      <c r="F126" s="45" t="s">
        <v>536</v>
      </c>
    </row>
    <row r="127" spans="2:6" ht="12.75" x14ac:dyDescent="0.2">
      <c r="B127" s="16"/>
      <c r="C127" s="36" t="s">
        <v>221</v>
      </c>
      <c r="D127" s="37">
        <f>$D$123*$D$116*12/D120</f>
        <v>1.6320000000000001</v>
      </c>
      <c r="E127" s="6" t="s">
        <v>176</v>
      </c>
    </row>
    <row r="128" spans="2:6" ht="12.75" x14ac:dyDescent="0.2">
      <c r="B128" s="16"/>
      <c r="C128" s="36" t="s">
        <v>222</v>
      </c>
      <c r="D128" s="46">
        <f>$D$124*$D$116*12/D121</f>
        <v>1.8</v>
      </c>
      <c r="E128" s="6" t="s">
        <v>176</v>
      </c>
    </row>
    <row r="129" spans="2:6" x14ac:dyDescent="0.2">
      <c r="B129" s="16"/>
    </row>
    <row r="130" spans="2:6" ht="12.75" x14ac:dyDescent="0.2">
      <c r="B130" s="16"/>
      <c r="C130" s="36" t="s">
        <v>542</v>
      </c>
      <c r="D130" s="37">
        <f>INDEX(Tbl_BaselineSummary[Baseline Electric Baseline Winter Peak Demand (kW)],MATCH($D$10,Tbl_BaselineSummary[Baseline ID],0))</f>
        <v>3.75</v>
      </c>
      <c r="E130" s="6" t="s">
        <v>176</v>
      </c>
      <c r="F130" s="45"/>
    </row>
    <row r="131" spans="2:6" x14ac:dyDescent="0.2">
      <c r="B131" s="16"/>
    </row>
    <row r="132" spans="2:6" x14ac:dyDescent="0.2">
      <c r="B132" s="16"/>
    </row>
    <row r="133" spans="2:6" ht="12.75" x14ac:dyDescent="0.2">
      <c r="B133" s="16"/>
      <c r="C133" s="36" t="s">
        <v>208</v>
      </c>
      <c r="D133" s="44">
        <v>12</v>
      </c>
      <c r="E133" s="6" t="s">
        <v>175</v>
      </c>
      <c r="F133" s="45" t="s">
        <v>304</v>
      </c>
    </row>
    <row r="134" spans="2:6" ht="12.75" x14ac:dyDescent="0.2">
      <c r="B134" s="16"/>
      <c r="C134" s="36" t="s">
        <v>213</v>
      </c>
      <c r="D134" s="31">
        <f>D133</f>
        <v>12</v>
      </c>
      <c r="E134" s="6" t="s">
        <v>175</v>
      </c>
      <c r="F134" s="45" t="s">
        <v>223</v>
      </c>
    </row>
    <row r="135" spans="2:6" ht="12.75" x14ac:dyDescent="0.2">
      <c r="B135" s="16"/>
      <c r="C135" s="36" t="s">
        <v>214</v>
      </c>
      <c r="D135" s="31">
        <f>D134</f>
        <v>12</v>
      </c>
      <c r="E135" s="6" t="s">
        <v>175</v>
      </c>
      <c r="F135" s="45" t="s">
        <v>223</v>
      </c>
    </row>
    <row r="136" spans="2:6" x14ac:dyDescent="0.2">
      <c r="B136" s="16"/>
    </row>
    <row r="137" spans="2:6" ht="12.75" x14ac:dyDescent="0.2">
      <c r="B137" s="16"/>
      <c r="C137" s="36" t="s">
        <v>174</v>
      </c>
      <c r="D137" s="44">
        <v>0.38</v>
      </c>
      <c r="E137" s="45" t="s">
        <v>953</v>
      </c>
    </row>
    <row r="138" spans="2:6" x14ac:dyDescent="0.2">
      <c r="B138" s="16"/>
    </row>
    <row r="139" spans="2:6" ht="12.75" x14ac:dyDescent="0.2">
      <c r="B139" s="16"/>
      <c r="C139" s="36" t="s">
        <v>211</v>
      </c>
      <c r="D139" s="37">
        <f>$D$137*$D$115*12/D133</f>
        <v>1.5200000000000002</v>
      </c>
      <c r="E139" s="6" t="s">
        <v>176</v>
      </c>
      <c r="F139" s="45"/>
    </row>
    <row r="140" spans="2:6" ht="12.75" x14ac:dyDescent="0.2">
      <c r="B140" s="16"/>
      <c r="C140" s="36" t="s">
        <v>212</v>
      </c>
      <c r="D140" s="37">
        <f>$D$137*$D$115*12/D134</f>
        <v>1.5200000000000002</v>
      </c>
      <c r="E140" s="6" t="s">
        <v>176</v>
      </c>
    </row>
    <row r="141" spans="2:6" ht="12.75" x14ac:dyDescent="0.2">
      <c r="B141" s="16"/>
      <c r="C141" s="36" t="s">
        <v>215</v>
      </c>
      <c r="D141" s="37">
        <f>$D$137*$D$115*12/D135</f>
        <v>1.5200000000000002</v>
      </c>
      <c r="E141" s="6" t="s">
        <v>176</v>
      </c>
    </row>
    <row r="142" spans="2:6" x14ac:dyDescent="0.2">
      <c r="B142" s="16"/>
    </row>
    <row r="143" spans="2:6" x14ac:dyDescent="0.2">
      <c r="B143" s="16"/>
    </row>
    <row r="144" spans="2:6" ht="12.75" x14ac:dyDescent="0.2">
      <c r="B144" s="16"/>
      <c r="C144" s="10" t="s">
        <v>955</v>
      </c>
      <c r="D144" s="10"/>
    </row>
    <row r="145" spans="2:10" x14ac:dyDescent="0.2">
      <c r="B145" s="16"/>
    </row>
    <row r="146" spans="2:10" ht="12.75" x14ac:dyDescent="0.2">
      <c r="B146" s="16"/>
      <c r="C146" s="36" t="s">
        <v>177</v>
      </c>
      <c r="D146" s="37">
        <f>MAX(D126,$D$87)</f>
        <v>3.75</v>
      </c>
      <c r="E146" s="6" t="s">
        <v>176</v>
      </c>
      <c r="F146" s="45" t="s">
        <v>954</v>
      </c>
    </row>
    <row r="147" spans="2:10" ht="12.75" x14ac:dyDescent="0.2">
      <c r="B147" s="16"/>
      <c r="C147" s="36" t="s">
        <v>224</v>
      </c>
      <c r="D147" s="37">
        <f>MAX(D127,$D$87)</f>
        <v>3.75</v>
      </c>
      <c r="E147" s="6" t="s">
        <v>176</v>
      </c>
    </row>
    <row r="148" spans="2:10" ht="12.75" x14ac:dyDescent="0.2">
      <c r="B148" s="16"/>
      <c r="C148" s="36" t="s">
        <v>225</v>
      </c>
      <c r="D148" s="37">
        <f>MAX(D128,$D$87)</f>
        <v>3.75</v>
      </c>
      <c r="E148" s="6" t="s">
        <v>176</v>
      </c>
    </row>
    <row r="149" spans="2:10" x14ac:dyDescent="0.2">
      <c r="B149" s="16"/>
    </row>
    <row r="150" spans="2:10" ht="12.75" x14ac:dyDescent="0.2">
      <c r="B150" s="16"/>
      <c r="C150" s="10" t="s">
        <v>812</v>
      </c>
      <c r="D150" s="10"/>
    </row>
    <row r="151" spans="2:10" x14ac:dyDescent="0.2">
      <c r="B151" s="16"/>
    </row>
    <row r="152" spans="2:10" ht="12.75" x14ac:dyDescent="0.2">
      <c r="B152" s="16"/>
      <c r="C152" s="420" t="s">
        <v>1207</v>
      </c>
      <c r="D152" s="422">
        <f>INPUT_SYSTEMINTEGRATIONCOST</f>
        <v>400</v>
      </c>
      <c r="E152" s="6" t="s">
        <v>1180</v>
      </c>
    </row>
    <row r="153" spans="2:10" ht="12.75" x14ac:dyDescent="0.2">
      <c r="B153" s="16"/>
      <c r="C153" s="420" t="s">
        <v>1208</v>
      </c>
      <c r="D153" s="422">
        <f>INPUT_ELECTRICALSYSTEMUPGRADECOST</f>
        <v>500</v>
      </c>
      <c r="E153" s="6" t="s">
        <v>1180</v>
      </c>
    </row>
    <row r="154" spans="2:10" x14ac:dyDescent="0.2">
      <c r="B154" s="16"/>
    </row>
    <row r="155" spans="2:10" x14ac:dyDescent="0.2">
      <c r="B155" s="16"/>
      <c r="C155" s="6" t="s">
        <v>830</v>
      </c>
    </row>
    <row r="156" spans="2:10" x14ac:dyDescent="0.2">
      <c r="B156" s="16"/>
    </row>
    <row r="157" spans="2:10" x14ac:dyDescent="0.2">
      <c r="B157" s="16"/>
      <c r="C157" s="6" t="s">
        <v>828</v>
      </c>
    </row>
    <row r="158" spans="2:10" ht="23.25" thickBot="1" x14ac:dyDescent="0.25">
      <c r="B158" s="16"/>
      <c r="C158" s="280" t="s">
        <v>822</v>
      </c>
      <c r="D158" s="280" t="s">
        <v>824</v>
      </c>
      <c r="E158" s="280" t="s">
        <v>825</v>
      </c>
      <c r="F158" s="280" t="s">
        <v>826</v>
      </c>
      <c r="G158" s="280" t="s">
        <v>827</v>
      </c>
      <c r="H158" s="280" t="s">
        <v>814</v>
      </c>
      <c r="I158" s="280" t="s">
        <v>815</v>
      </c>
      <c r="J158" s="280" t="s">
        <v>816</v>
      </c>
    </row>
    <row r="159" spans="2:10" x14ac:dyDescent="0.2">
      <c r="B159" s="16"/>
      <c r="C159" s="14" t="s">
        <v>817</v>
      </c>
      <c r="D159" s="14">
        <v>1</v>
      </c>
      <c r="E159" s="333">
        <v>3643</v>
      </c>
      <c r="F159" s="333">
        <v>3662</v>
      </c>
      <c r="G159" s="333">
        <v>3682</v>
      </c>
      <c r="H159" s="333">
        <v>3860</v>
      </c>
      <c r="I159" s="333">
        <v>4212</v>
      </c>
      <c r="J159" s="14" t="s">
        <v>119</v>
      </c>
    </row>
    <row r="160" spans="2:10" x14ac:dyDescent="0.2">
      <c r="B160" s="16"/>
      <c r="C160" s="14" t="s">
        <v>818</v>
      </c>
      <c r="D160" s="14">
        <v>1</v>
      </c>
      <c r="E160" s="335">
        <v>3717</v>
      </c>
      <c r="F160" s="333">
        <v>3717</v>
      </c>
      <c r="G160" s="333">
        <v>3717</v>
      </c>
      <c r="H160" s="335">
        <v>3957</v>
      </c>
      <c r="I160" s="335">
        <v>4407</v>
      </c>
      <c r="J160" s="333">
        <v>4407</v>
      </c>
    </row>
    <row r="161" spans="2:15" x14ac:dyDescent="0.2">
      <c r="B161" s="16"/>
      <c r="C161" s="14">
        <v>18</v>
      </c>
      <c r="D161" s="14">
        <v>1</v>
      </c>
      <c r="E161" s="335">
        <v>4276</v>
      </c>
      <c r="F161" s="333">
        <v>4316</v>
      </c>
      <c r="G161" s="333">
        <v>4355</v>
      </c>
      <c r="H161" s="335">
        <v>4475</v>
      </c>
      <c r="I161" s="335">
        <v>4956</v>
      </c>
      <c r="J161" s="14" t="s">
        <v>119</v>
      </c>
    </row>
    <row r="162" spans="2:15" x14ac:dyDescent="0.2">
      <c r="B162" s="16"/>
      <c r="C162" s="14" t="s">
        <v>819</v>
      </c>
      <c r="D162" s="14">
        <v>1</v>
      </c>
      <c r="E162" s="333">
        <v>4586</v>
      </c>
      <c r="F162" s="333">
        <v>4665</v>
      </c>
      <c r="G162" s="333">
        <v>4743</v>
      </c>
      <c r="H162" s="333">
        <v>4811</v>
      </c>
      <c r="I162" s="333">
        <v>5256</v>
      </c>
      <c r="J162" s="14" t="s">
        <v>119</v>
      </c>
    </row>
    <row r="163" spans="2:15" x14ac:dyDescent="0.2">
      <c r="B163" s="16"/>
      <c r="C163" s="14" t="s">
        <v>819</v>
      </c>
      <c r="D163" s="14">
        <v>2</v>
      </c>
      <c r="E163" s="333">
        <v>6263</v>
      </c>
      <c r="F163" s="333">
        <v>6263</v>
      </c>
      <c r="G163" s="333">
        <v>6679</v>
      </c>
      <c r="H163" s="333">
        <v>6679</v>
      </c>
      <c r="I163" s="14" t="s">
        <v>119</v>
      </c>
      <c r="J163" s="14" t="s">
        <v>119</v>
      </c>
    </row>
    <row r="164" spans="2:15" x14ac:dyDescent="0.2">
      <c r="B164" s="16"/>
      <c r="C164" s="14" t="s">
        <v>819</v>
      </c>
      <c r="D164" s="14">
        <v>3</v>
      </c>
      <c r="E164" s="333">
        <v>7434</v>
      </c>
      <c r="F164" s="333">
        <v>7446</v>
      </c>
      <c r="G164" s="333">
        <v>7852</v>
      </c>
      <c r="H164" s="333">
        <v>7852</v>
      </c>
      <c r="I164" s="14" t="s">
        <v>119</v>
      </c>
      <c r="J164" s="14" t="s">
        <v>119</v>
      </c>
    </row>
    <row r="165" spans="2:15" x14ac:dyDescent="0.2">
      <c r="B165" s="16"/>
      <c r="C165" s="14" t="s">
        <v>820</v>
      </c>
      <c r="D165" s="14">
        <v>3</v>
      </c>
      <c r="E165" s="333">
        <v>7962</v>
      </c>
      <c r="F165" s="333">
        <v>7993</v>
      </c>
      <c r="G165" s="333">
        <v>8024</v>
      </c>
      <c r="H165" s="333">
        <v>8024</v>
      </c>
      <c r="I165" s="14" t="s">
        <v>119</v>
      </c>
      <c r="J165" s="14" t="s">
        <v>119</v>
      </c>
    </row>
    <row r="166" spans="2:15" x14ac:dyDescent="0.2">
      <c r="B166" s="16"/>
      <c r="C166" s="14" t="s">
        <v>821</v>
      </c>
      <c r="D166" s="14">
        <v>4</v>
      </c>
      <c r="E166" s="333">
        <v>8857</v>
      </c>
      <c r="F166" s="333">
        <v>8857</v>
      </c>
      <c r="G166" s="333">
        <v>8857</v>
      </c>
      <c r="H166" s="333">
        <v>8857</v>
      </c>
      <c r="I166" s="14" t="s">
        <v>119</v>
      </c>
      <c r="J166" s="14" t="s">
        <v>119</v>
      </c>
    </row>
    <row r="167" spans="2:15" x14ac:dyDescent="0.2">
      <c r="B167" s="16"/>
    </row>
    <row r="168" spans="2:15" x14ac:dyDescent="0.2">
      <c r="B168" s="16"/>
      <c r="C168" s="6" t="s">
        <v>823</v>
      </c>
    </row>
    <row r="169" spans="2:15" ht="23.25" thickBot="1" x14ac:dyDescent="0.25">
      <c r="B169" s="16"/>
      <c r="C169" s="280" t="s">
        <v>822</v>
      </c>
      <c r="D169" s="280" t="s">
        <v>813</v>
      </c>
      <c r="E169" s="280" t="s">
        <v>814</v>
      </c>
      <c r="F169" s="280" t="s">
        <v>815</v>
      </c>
      <c r="G169" s="280" t="s">
        <v>816</v>
      </c>
      <c r="J169" s="280" t="s">
        <v>835</v>
      </c>
      <c r="K169" s="280" t="s">
        <v>825</v>
      </c>
      <c r="L169" s="280" t="s">
        <v>814</v>
      </c>
      <c r="M169" s="280" t="s">
        <v>815</v>
      </c>
      <c r="N169" s="280" t="s">
        <v>1605</v>
      </c>
      <c r="O169" s="6" t="s">
        <v>1604</v>
      </c>
    </row>
    <row r="170" spans="2:15" x14ac:dyDescent="0.2">
      <c r="B170" s="16"/>
      <c r="C170" s="14" t="s">
        <v>817</v>
      </c>
      <c r="D170" s="14">
        <v>1</v>
      </c>
      <c r="E170" s="333">
        <v>3993</v>
      </c>
      <c r="F170" s="333">
        <v>4035</v>
      </c>
      <c r="G170" s="333">
        <v>4419</v>
      </c>
      <c r="J170" s="14">
        <v>5</v>
      </c>
      <c r="K170" s="333">
        <f>E162+3*0.85*E160</f>
        <v>14064.349999999999</v>
      </c>
      <c r="L170" s="333">
        <f>E173+3*0.85*E171</f>
        <v>15363.9</v>
      </c>
      <c r="M170" s="333">
        <f>F173+3*0.85*F171</f>
        <v>15883.449999999999</v>
      </c>
      <c r="N170" s="6" t="s">
        <v>1599</v>
      </c>
      <c r="O170" s="8" t="s">
        <v>1606</v>
      </c>
    </row>
    <row r="171" spans="2:15" x14ac:dyDescent="0.2">
      <c r="B171" s="16"/>
      <c r="C171" s="14" t="s">
        <v>818</v>
      </c>
      <c r="D171" s="14">
        <v>1</v>
      </c>
      <c r="E171" s="335">
        <v>4058</v>
      </c>
      <c r="F171" s="335">
        <v>4199</v>
      </c>
      <c r="G171" s="333">
        <v>4515</v>
      </c>
      <c r="J171" s="14">
        <v>4</v>
      </c>
      <c r="K171" s="333">
        <f>E162+2*0.85*E160</f>
        <v>10904.9</v>
      </c>
      <c r="L171" s="333">
        <f>E173+2*0.85*E171</f>
        <v>11914.599999999999</v>
      </c>
      <c r="M171" s="333">
        <f>F173+2*0.85*F171</f>
        <v>12314.3</v>
      </c>
      <c r="N171" s="6" t="s">
        <v>1598</v>
      </c>
      <c r="O171" s="8" t="s">
        <v>1606</v>
      </c>
    </row>
    <row r="172" spans="2:15" x14ac:dyDescent="0.2">
      <c r="B172" s="16"/>
      <c r="C172" s="14">
        <v>18</v>
      </c>
      <c r="D172" s="14">
        <v>1</v>
      </c>
      <c r="E172" s="335">
        <v>4646</v>
      </c>
      <c r="F172" s="335">
        <v>4812</v>
      </c>
      <c r="G172" s="18" t="s">
        <v>119</v>
      </c>
      <c r="J172" s="14">
        <v>3</v>
      </c>
      <c r="K172" s="333">
        <f>E160+2*0.85*E160</f>
        <v>10035.9</v>
      </c>
      <c r="L172" s="333">
        <f>E171+2*0.85*E171</f>
        <v>10956.599999999999</v>
      </c>
      <c r="M172" s="333">
        <f>F171+2*0.85*F171</f>
        <v>11337.3</v>
      </c>
      <c r="N172" s="6" t="s">
        <v>1597</v>
      </c>
      <c r="O172" s="8" t="s">
        <v>1606</v>
      </c>
    </row>
    <row r="173" spans="2:15" x14ac:dyDescent="0.2">
      <c r="B173" s="16"/>
      <c r="C173" s="14" t="s">
        <v>819</v>
      </c>
      <c r="D173" s="14">
        <v>1</v>
      </c>
      <c r="E173" s="333">
        <v>5016</v>
      </c>
      <c r="F173" s="333">
        <v>5176</v>
      </c>
      <c r="G173" s="18" t="s">
        <v>119</v>
      </c>
      <c r="J173" s="14">
        <v>2.5</v>
      </c>
      <c r="K173" s="333">
        <f>E160+2*0.85*E159</f>
        <v>9910.0999999999985</v>
      </c>
      <c r="L173" s="333">
        <f>E171+2*0.85*E170</f>
        <v>10846.099999999999</v>
      </c>
      <c r="M173" s="333">
        <f>F171+2*0.85*F170</f>
        <v>11058.5</v>
      </c>
      <c r="N173" s="6" t="s">
        <v>1596</v>
      </c>
      <c r="O173" s="8" t="s">
        <v>1606</v>
      </c>
    </row>
    <row r="174" spans="2:15" x14ac:dyDescent="0.2">
      <c r="B174" s="16"/>
      <c r="C174" s="14" t="s">
        <v>819</v>
      </c>
      <c r="D174" s="14">
        <v>2</v>
      </c>
      <c r="E174" s="333">
        <v>7060</v>
      </c>
      <c r="F174" s="18" t="s">
        <v>119</v>
      </c>
      <c r="G174" s="18" t="s">
        <v>119</v>
      </c>
      <c r="J174" s="14">
        <v>2</v>
      </c>
      <c r="K174" s="333">
        <f>E162</f>
        <v>4586</v>
      </c>
      <c r="L174" s="333">
        <f>E173</f>
        <v>5016</v>
      </c>
      <c r="M174" s="333">
        <f>F173</f>
        <v>5176</v>
      </c>
      <c r="N174" s="6" t="s">
        <v>1600</v>
      </c>
    </row>
    <row r="175" spans="2:15" x14ac:dyDescent="0.2">
      <c r="B175" s="16"/>
      <c r="C175" s="14" t="s">
        <v>819</v>
      </c>
      <c r="D175" s="14">
        <v>3</v>
      </c>
      <c r="E175" s="334">
        <v>8202</v>
      </c>
      <c r="F175" s="18" t="s">
        <v>119</v>
      </c>
      <c r="G175" s="18" t="s">
        <v>119</v>
      </c>
      <c r="J175" s="14">
        <v>1.5</v>
      </c>
      <c r="K175" s="333">
        <f>E161</f>
        <v>4276</v>
      </c>
      <c r="L175" s="333">
        <f>E172</f>
        <v>4646</v>
      </c>
      <c r="M175" s="333">
        <f>F172</f>
        <v>4812</v>
      </c>
      <c r="N175" s="6" t="s">
        <v>1601</v>
      </c>
    </row>
    <row r="176" spans="2:15" x14ac:dyDescent="0.2">
      <c r="B176" s="16"/>
      <c r="C176" s="14" t="s">
        <v>820</v>
      </c>
      <c r="D176" s="14">
        <v>3</v>
      </c>
      <c r="E176" s="333">
        <v>9049</v>
      </c>
      <c r="F176" s="18" t="s">
        <v>119</v>
      </c>
      <c r="G176" s="18" t="s">
        <v>119</v>
      </c>
      <c r="J176" s="14">
        <v>1</v>
      </c>
      <c r="K176" s="333">
        <f>E160</f>
        <v>3717</v>
      </c>
      <c r="L176" s="333">
        <f>E171</f>
        <v>4058</v>
      </c>
      <c r="M176" s="333">
        <f>F171</f>
        <v>4199</v>
      </c>
      <c r="N176" s="6" t="s">
        <v>1602</v>
      </c>
    </row>
    <row r="177" spans="2:14" x14ac:dyDescent="0.2">
      <c r="B177" s="16"/>
      <c r="C177" s="14" t="s">
        <v>821</v>
      </c>
      <c r="D177" s="14">
        <v>4</v>
      </c>
      <c r="E177" s="333">
        <v>10438</v>
      </c>
      <c r="F177" s="18" t="s">
        <v>119</v>
      </c>
      <c r="G177" s="18" t="s">
        <v>119</v>
      </c>
      <c r="J177" s="14">
        <v>0.75</v>
      </c>
      <c r="K177" s="333">
        <f>E159</f>
        <v>3643</v>
      </c>
      <c r="L177" s="333">
        <f>E170</f>
        <v>3993</v>
      </c>
      <c r="M177" s="333">
        <f>F170</f>
        <v>4035</v>
      </c>
      <c r="N177" s="6" t="s">
        <v>1603</v>
      </c>
    </row>
    <row r="178" spans="2:14" x14ac:dyDescent="0.2">
      <c r="B178" s="16"/>
      <c r="J178" s="8" t="s">
        <v>836</v>
      </c>
    </row>
    <row r="179" spans="2:14" x14ac:dyDescent="0.2">
      <c r="B179" s="16"/>
    </row>
    <row r="180" spans="2:14" ht="12.75" x14ac:dyDescent="0.2">
      <c r="B180" s="16"/>
      <c r="C180" s="30" t="s">
        <v>1615</v>
      </c>
      <c r="D180" s="190">
        <f>D117</f>
        <v>4</v>
      </c>
      <c r="E180" s="6" t="s">
        <v>173</v>
      </c>
    </row>
    <row r="181" spans="2:14" x14ac:dyDescent="0.2">
      <c r="B181" s="16"/>
    </row>
    <row r="182" spans="2:14" ht="12" thickBot="1" x14ac:dyDescent="0.25">
      <c r="B182" s="16"/>
      <c r="D182" s="280" t="s">
        <v>829</v>
      </c>
      <c r="E182" s="280" t="s">
        <v>831</v>
      </c>
    </row>
    <row r="183" spans="2:14" ht="12.75" x14ac:dyDescent="0.2">
      <c r="B183" s="16"/>
      <c r="C183" s="30" t="s">
        <v>6</v>
      </c>
      <c r="D183" s="31" t="str">
        <f>D51</f>
        <v>1 COP, 15 SEER/12 EER/8.2 HSPF</v>
      </c>
      <c r="E183" s="339">
        <f>INDEX(K170:K177,MATCH(D180,J170:J177,-1))+$D$152+$D$153</f>
        <v>11804.9</v>
      </c>
    </row>
    <row r="184" spans="2:14" ht="12.75" x14ac:dyDescent="0.2">
      <c r="B184" s="16"/>
      <c r="C184" s="30" t="s">
        <v>153</v>
      </c>
      <c r="D184" s="31" t="str">
        <f>D52</f>
        <v>1 COP, 18 SEER/10.0 HSPF</v>
      </c>
      <c r="E184" s="340">
        <f>INDEX(L170:L177,MATCH(D180,J170:J177,-1))+$D$152+$D$153</f>
        <v>12814.599999999999</v>
      </c>
    </row>
    <row r="185" spans="2:14" ht="12.75" x14ac:dyDescent="0.2">
      <c r="B185" s="16"/>
      <c r="C185" s="30" t="s">
        <v>154</v>
      </c>
      <c r="D185" s="31" t="str">
        <f>D53</f>
        <v>1 COP, 20 SEER/12.0 HSPF</v>
      </c>
      <c r="E185" s="339">
        <f>INDEX(M170:M177,MATCH(D180,J170:J177,-1))+$D$152+$D$153</f>
        <v>13214.3</v>
      </c>
    </row>
    <row r="186" spans="2:14" x14ac:dyDescent="0.2">
      <c r="B186" s="16"/>
    </row>
    <row r="187" spans="2:14" x14ac:dyDescent="0.2">
      <c r="B187" s="16"/>
    </row>
  </sheetData>
  <mergeCells count="21">
    <mergeCell ref="D113:E113"/>
    <mergeCell ref="D114:E114"/>
    <mergeCell ref="D51:E51"/>
    <mergeCell ref="F51:G51"/>
    <mergeCell ref="H51:I51"/>
    <mergeCell ref="D58:G58"/>
    <mergeCell ref="D59:G59"/>
    <mergeCell ref="D60:G60"/>
    <mergeCell ref="D52:E52"/>
    <mergeCell ref="F52:G52"/>
    <mergeCell ref="H52:I52"/>
    <mergeCell ref="J51:K51"/>
    <mergeCell ref="D50:E50"/>
    <mergeCell ref="F50:G50"/>
    <mergeCell ref="H50:I50"/>
    <mergeCell ref="J50:K50"/>
    <mergeCell ref="J52:K52"/>
    <mergeCell ref="D53:E53"/>
    <mergeCell ref="F53:G53"/>
    <mergeCell ref="H53:I53"/>
    <mergeCell ref="J53:K53"/>
  </mergeCells>
  <dataValidations disablePrompts="1" count="2">
    <dataValidation type="list" allowBlank="1" showInputMessage="1" showErrorMessage="1" sqref="D9">
      <formula1>DEFINED_MEASURES</formula1>
    </dataValidation>
    <dataValidation type="list" allowBlank="1" showInputMessage="1" showErrorMessage="1" sqref="D5">
      <formula1>"1. Not Started,2. Analyzing,3. Ready"</formula1>
    </dataValidation>
  </dataValidations>
  <pageMargins left="0.7" right="0.7" top="0.75" bottom="0.75" header="0.3" footer="0.3"/>
  <pageSetup orientation="portrait" r:id="rId1"/>
  <ignoredErrors>
    <ignoredError sqref="G28 G26 G27"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3"/>
  </sheetPr>
  <dimension ref="A1:AD142"/>
  <sheetViews>
    <sheetView topLeftCell="A61" workbookViewId="0">
      <selection activeCell="G106" sqref="F105:G106"/>
    </sheetView>
  </sheetViews>
  <sheetFormatPr defaultColWidth="9.33203125" defaultRowHeight="11.25" x14ac:dyDescent="0.2"/>
  <cols>
    <col min="1" max="2" width="3.33203125" style="6" customWidth="1"/>
    <col min="3" max="3" width="22.6640625" style="6" bestFit="1" customWidth="1"/>
    <col min="4" max="4" width="14.33203125" style="6" customWidth="1"/>
    <col min="5" max="5" width="16.33203125" style="6" customWidth="1"/>
    <col min="6" max="6" width="15" style="6" customWidth="1"/>
    <col min="7" max="7" width="13.5" style="6" customWidth="1"/>
    <col min="8" max="8" width="16.1640625" style="6" customWidth="1"/>
    <col min="9" max="9" width="22.33203125" style="6" bestFit="1" customWidth="1"/>
    <col min="10" max="10" width="20.5" style="6" bestFit="1" customWidth="1"/>
    <col min="11"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93" t="s">
        <v>93</v>
      </c>
      <c r="E9" s="7" t="s">
        <v>290</v>
      </c>
    </row>
    <row r="10" spans="1:30" ht="12.75" x14ac:dyDescent="0.2">
      <c r="B10" s="16"/>
      <c r="C10" s="30" t="s">
        <v>289</v>
      </c>
      <c r="D10" s="83" t="str">
        <f>INDEX(Tbl_MeasureList[Baseline ID],MATCH($D$9,Tbl_MeasureList[Measure ID],0))</f>
        <v>BASE08</v>
      </c>
      <c r="E10" s="7"/>
    </row>
    <row r="11" spans="1:30" x14ac:dyDescent="0.2">
      <c r="B11" s="16"/>
      <c r="C11" s="7"/>
      <c r="D11" s="7"/>
      <c r="E11" s="7"/>
    </row>
    <row r="12" spans="1:30" ht="12" thickBot="1" x14ac:dyDescent="0.25">
      <c r="B12" s="16"/>
      <c r="C12" s="7"/>
      <c r="D12" s="131" t="s">
        <v>5</v>
      </c>
      <c r="E12" s="131" t="s">
        <v>284</v>
      </c>
    </row>
    <row r="13" spans="1:30" x14ac:dyDescent="0.2">
      <c r="B13" s="16"/>
      <c r="C13" s="32" t="s">
        <v>2</v>
      </c>
      <c r="D13" s="84" t="str">
        <f>INDEX(Tbl_MeasureList[Baseline Equipment ID],MATCH($D$9,Tbl_MeasureList[Measure ID],0))</f>
        <v>EQUI014</v>
      </c>
      <c r="E13" s="84" t="str">
        <f>INDEX(Tbl_MeasureList[Replacement ID],MATCH($D$9,Tbl_MeasureList[Measure ID],0))</f>
        <v>EQUI015</v>
      </c>
      <c r="F13" s="7"/>
    </row>
    <row r="14" spans="1:30" x14ac:dyDescent="0.2">
      <c r="B14" s="16"/>
      <c r="C14" s="32" t="s">
        <v>4</v>
      </c>
      <c r="D14" s="85" t="str">
        <f>INDEX(Tbl_EquipmentDefinitions[[Equipment Name]:[Equipment Name]],MATCH(D$13,Tbl_EquipmentDefinitions[[Equipment ID]:[Equipment ID]],0))</f>
        <v>Tankless Coil WH</v>
      </c>
      <c r="E14" s="85" t="str">
        <f>INDEX(Tbl_EquipmentDefinitions[[Equipment Name]:[Equipment Name]],MATCH(E$13,Tbl_EquipmentDefinitions[[Equipment ID]:[Equipment ID]],0))</f>
        <v>HPWH</v>
      </c>
      <c r="F14" s="7"/>
    </row>
    <row r="15" spans="1:30" x14ac:dyDescent="0.2">
      <c r="B15" s="16"/>
      <c r="C15" s="32" t="s">
        <v>24</v>
      </c>
      <c r="D15" s="84" t="str">
        <f>INDEX(Tbl_EquipmentDefinitions[[Function]:[Function]],MATCH(D$13,Tbl_EquipmentDefinitions[[Equipment ID]:[Equipment ID]],0))</f>
        <v>HW</v>
      </c>
      <c r="E15" s="84" t="str">
        <f>INDEX(Tbl_EquipmentDefinitions[[Function]:[Function]],MATCH(E$13,Tbl_EquipmentDefinitions[[Equipment ID]:[Equipment ID]],0))</f>
        <v>HW</v>
      </c>
      <c r="F15" s="7"/>
    </row>
    <row r="16" spans="1:30" x14ac:dyDescent="0.2">
      <c r="B16" s="16"/>
      <c r="C16" s="32" t="s">
        <v>7</v>
      </c>
      <c r="D16" s="85" t="str">
        <f>INDEX(Tbl_EquipmentDefinitions[[Fuel Type]:[Fuel Type]],MATCH(D$13,Tbl_EquipmentDefinitions[[Equipment ID]:[Equipment ID]],0))</f>
        <v>Oil</v>
      </c>
      <c r="E16" s="85" t="str">
        <f>INDEX(Tbl_EquipmentDefinitions[[Fuel Type]:[Fuel Type]],MATCH(E$13,Tbl_EquipmentDefinitions[[Equipment ID]:[Equipment ID]],0))</f>
        <v>Electric</v>
      </c>
      <c r="F16" s="7"/>
    </row>
    <row r="17" spans="2:14" x14ac:dyDescent="0.2">
      <c r="B17" s="16"/>
      <c r="C17" s="32" t="s">
        <v>126</v>
      </c>
      <c r="D17" s="84">
        <f>IF(ISERR(SEARCH("+",D16,1)),1,2)</f>
        <v>1</v>
      </c>
      <c r="E17" s="84">
        <f>IF(ISERR(SEARCH("+",E16,1)),1,2)</f>
        <v>1</v>
      </c>
      <c r="F17" s="7"/>
    </row>
    <row r="18" spans="2:14" x14ac:dyDescent="0.2">
      <c r="B18" s="16"/>
      <c r="C18" s="32" t="s">
        <v>155</v>
      </c>
      <c r="D18" s="86">
        <f>INDEX(Tbl_BaselineSummary[Space Heating Load (MMBtu/yr)],MATCH($D$10,Tbl_BaselineSummary[Baseline ID],0))</f>
        <v>76.7</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13.9</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131" t="s">
        <v>127</v>
      </c>
      <c r="D25" s="281" t="s">
        <v>345</v>
      </c>
      <c r="E25" s="385" t="s">
        <v>956</v>
      </c>
      <c r="F25" s="281" t="s">
        <v>326</v>
      </c>
      <c r="G25" s="421" t="s">
        <v>1532</v>
      </c>
      <c r="H25" s="385" t="s">
        <v>958</v>
      </c>
      <c r="I25" s="569" t="s">
        <v>1447</v>
      </c>
      <c r="J25" s="569" t="s">
        <v>1448</v>
      </c>
      <c r="L25" s="131" t="s">
        <v>1533</v>
      </c>
      <c r="M25" s="421" t="s">
        <v>1531</v>
      </c>
    </row>
    <row r="26" spans="2:14" ht="11.25" customHeight="1" x14ac:dyDescent="0.2">
      <c r="B26" s="16"/>
      <c r="C26" s="32" t="s">
        <v>6</v>
      </c>
      <c r="D26" s="122">
        <f>E80</f>
        <v>4428.105408022835</v>
      </c>
      <c r="E26" s="126">
        <f>E90</f>
        <v>1.7481663671625878</v>
      </c>
      <c r="F26" s="111">
        <f>D26*PRICE_PER_KWH_2018_ELECTRICITY</f>
        <v>875.87924970691677</v>
      </c>
      <c r="G26" s="111">
        <f>E96</f>
        <v>1469</v>
      </c>
      <c r="H26" s="404">
        <f>E92</f>
        <v>0.82163819256641624</v>
      </c>
      <c r="I26" s="39" t="s">
        <v>1449</v>
      </c>
      <c r="J26" s="39" t="s">
        <v>1449</v>
      </c>
      <c r="L26" s="84">
        <f t="shared" ref="L26:M28" si="0">F26+E32+E38+E44</f>
        <v>875.87924970691677</v>
      </c>
      <c r="M26" s="86">
        <f t="shared" si="0"/>
        <v>1469</v>
      </c>
    </row>
    <row r="27" spans="2:14" x14ac:dyDescent="0.2">
      <c r="B27" s="16"/>
      <c r="C27" s="32" t="s">
        <v>19</v>
      </c>
      <c r="D27" s="122">
        <f>E81</f>
        <v>1662.7987654616359</v>
      </c>
      <c r="E27" s="126">
        <f>E91</f>
        <v>0.65645430930186965</v>
      </c>
      <c r="F27" s="111">
        <f>D27*PRICE_PER_KWH_2018_ELECTRICITY</f>
        <v>328.90159580831158</v>
      </c>
      <c r="G27" s="111">
        <f>E97</f>
        <v>2110</v>
      </c>
      <c r="H27" s="404">
        <f>E93</f>
        <v>0.30853352537187873</v>
      </c>
      <c r="I27" s="39" t="s">
        <v>1449</v>
      </c>
      <c r="J27" s="39" t="s">
        <v>1449</v>
      </c>
      <c r="L27" s="84">
        <f t="shared" si="0"/>
        <v>340.13167728498615</v>
      </c>
      <c r="M27" s="86">
        <f t="shared" si="0"/>
        <v>2110</v>
      </c>
    </row>
    <row r="28" spans="2:14" x14ac:dyDescent="0.2">
      <c r="B28" s="16"/>
      <c r="C28" s="32" t="s">
        <v>20</v>
      </c>
      <c r="D28" s="40">
        <v>0</v>
      </c>
      <c r="E28" s="38">
        <v>0</v>
      </c>
      <c r="F28" s="39">
        <v>0</v>
      </c>
      <c r="G28" s="139">
        <v>0</v>
      </c>
      <c r="H28" s="139">
        <v>0</v>
      </c>
      <c r="I28" s="39">
        <v>0</v>
      </c>
      <c r="J28" s="39">
        <v>0</v>
      </c>
      <c r="L28" s="84">
        <f t="shared" si="0"/>
        <v>0</v>
      </c>
      <c r="M28" s="86">
        <f t="shared" si="0"/>
        <v>0</v>
      </c>
    </row>
    <row r="29" spans="2:14" x14ac:dyDescent="0.2">
      <c r="B29" s="16"/>
    </row>
    <row r="30" spans="2:14" ht="12.75" thickBot="1" x14ac:dyDescent="0.25">
      <c r="B30" s="16"/>
      <c r="C30" s="34" t="s">
        <v>55</v>
      </c>
      <c r="D30" s="34"/>
      <c r="E30" s="33"/>
      <c r="F30" s="33"/>
    </row>
    <row r="31" spans="2:14" ht="34.5" thickBot="1" x14ac:dyDescent="0.25">
      <c r="B31" s="16"/>
      <c r="C31" s="131" t="s">
        <v>127</v>
      </c>
      <c r="D31" s="281" t="s">
        <v>325</v>
      </c>
      <c r="E31" s="281" t="s">
        <v>326</v>
      </c>
      <c r="F31" s="421" t="s">
        <v>1532</v>
      </c>
    </row>
    <row r="32" spans="2:14" x14ac:dyDescent="0.2">
      <c r="B32" s="16"/>
      <c r="C32" s="32" t="s">
        <v>6</v>
      </c>
      <c r="D32" s="40">
        <v>0</v>
      </c>
      <c r="E32" s="39">
        <v>0</v>
      </c>
      <c r="F32" s="39">
        <v>0</v>
      </c>
      <c r="G32" s="7" t="s">
        <v>128</v>
      </c>
    </row>
    <row r="33" spans="2:14" x14ac:dyDescent="0.2">
      <c r="B33" s="16"/>
      <c r="C33" s="32" t="s">
        <v>19</v>
      </c>
      <c r="D33" s="40">
        <v>0</v>
      </c>
      <c r="E33" s="39">
        <v>0</v>
      </c>
      <c r="F33" s="39">
        <v>0</v>
      </c>
    </row>
    <row r="34" spans="2:14" x14ac:dyDescent="0.2">
      <c r="B34" s="16"/>
      <c r="C34" s="32" t="s">
        <v>20</v>
      </c>
      <c r="D34" s="40">
        <v>0</v>
      </c>
      <c r="E34" s="39">
        <v>0</v>
      </c>
      <c r="F34" s="39">
        <v>0</v>
      </c>
    </row>
    <row r="35" spans="2:14" x14ac:dyDescent="0.2">
      <c r="B35" s="16"/>
    </row>
    <row r="36" spans="2:14" ht="12.75" thickBot="1" x14ac:dyDescent="0.25">
      <c r="B36" s="16"/>
      <c r="C36" s="34" t="s">
        <v>28</v>
      </c>
      <c r="D36" s="34"/>
      <c r="E36" s="33"/>
      <c r="F36" s="33"/>
    </row>
    <row r="37" spans="2:14" ht="34.5" thickBot="1" x14ac:dyDescent="0.25">
      <c r="B37" s="16"/>
      <c r="C37" s="131" t="s">
        <v>127</v>
      </c>
      <c r="D37" s="281" t="s">
        <v>756</v>
      </c>
      <c r="E37" s="281" t="s">
        <v>326</v>
      </c>
      <c r="F37" s="421"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34.5" thickBot="1" x14ac:dyDescent="0.25">
      <c r="B43" s="16"/>
      <c r="C43" s="131" t="s">
        <v>127</v>
      </c>
      <c r="D43" s="281" t="s">
        <v>756</v>
      </c>
      <c r="E43" s="281" t="s">
        <v>326</v>
      </c>
      <c r="F43" s="421" t="s">
        <v>1532</v>
      </c>
    </row>
    <row r="44" spans="2:14" x14ac:dyDescent="0.2">
      <c r="B44" s="16"/>
      <c r="C44" s="32" t="s">
        <v>6</v>
      </c>
      <c r="D44" s="40">
        <v>0</v>
      </c>
      <c r="E44" s="39">
        <v>0</v>
      </c>
      <c r="F44" s="39">
        <v>0</v>
      </c>
      <c r="G44" s="7" t="s">
        <v>128</v>
      </c>
    </row>
    <row r="45" spans="2:14" x14ac:dyDescent="0.2">
      <c r="B45" s="16"/>
      <c r="C45" s="32" t="s">
        <v>19</v>
      </c>
      <c r="D45" s="142">
        <f>E105</f>
        <v>0.5</v>
      </c>
      <c r="E45" s="111">
        <f>D45*PRICE_PER_MMBTU_2018_OIL</f>
        <v>11.230081476674599</v>
      </c>
      <c r="F45" s="39">
        <v>0</v>
      </c>
    </row>
    <row r="46" spans="2:14" x14ac:dyDescent="0.2">
      <c r="B46" s="16"/>
      <c r="C46" s="32" t="s">
        <v>20</v>
      </c>
      <c r="D46" s="40">
        <v>0</v>
      </c>
      <c r="E46" s="39">
        <v>0</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0.92 UEF</v>
      </c>
      <c r="E51" s="690"/>
      <c r="F51" s="693" t="str">
        <f>INDEX(Tbl_EquipmentDefinitions[Natural Gas Code Efficiency],MATCH($E$13,Tbl_EquipmentDefinitions[Equipment ID],0))</f>
        <v>-</v>
      </c>
      <c r="G51" s="690"/>
      <c r="H51" s="693" t="str">
        <f>INDEX(Tbl_EquipmentDefinitions[Propane Code Efficiency],MATCH($E$13,Tbl_EquipmentDefinitions[Equipment ID],0))</f>
        <v>-</v>
      </c>
      <c r="I51" s="690"/>
      <c r="J51" s="693" t="str">
        <f>INDEX(Tbl_EquipmentDefinitions[Oil Code Efficiency],MATCH($E$13,Tbl_EquipmentDefinitions[Equipment ID],0))</f>
        <v>-</v>
      </c>
      <c r="K51" s="690"/>
    </row>
    <row r="52" spans="2:14" ht="12.75" x14ac:dyDescent="0.2">
      <c r="B52" s="16"/>
      <c r="C52" s="30" t="s">
        <v>153</v>
      </c>
      <c r="D52" s="689" t="str">
        <f>INDEX(Tbl_EquipmentDefinitions[Electricity Low Measure Efficiency],MATCH($E$13,Tbl_EquipmentDefinitions[Equipment ID],0))</f>
        <v>2.45 UEF</v>
      </c>
      <c r="E52" s="690"/>
      <c r="F52" s="689" t="str">
        <f>INDEX(Tbl_EquipmentDefinitions[Natural Gas Low Measure Efficiency],MATCH($E$13,Tbl_EquipmentDefinitions[Equipment ID],0))</f>
        <v>-</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v>
      </c>
      <c r="E53" s="690"/>
      <c r="F53" s="689" t="str">
        <f>INDEX(Tbl_EquipmentDefinitions[Natural Gas High Measure Efficiency],MATCH($E$13,Tbl_EquipmentDefinitions[Equipment ID],0))</f>
        <v>-</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131" t="s">
        <v>131</v>
      </c>
      <c r="D58" s="691" t="s">
        <v>132</v>
      </c>
      <c r="E58" s="692"/>
      <c r="F58" s="692"/>
      <c r="G58" s="692"/>
    </row>
    <row r="59" spans="2:14" x14ac:dyDescent="0.2">
      <c r="B59" s="16"/>
      <c r="C59" s="32" t="s">
        <v>398</v>
      </c>
      <c r="D59" s="696" t="s">
        <v>399</v>
      </c>
      <c r="E59" s="697"/>
      <c r="F59" s="697"/>
      <c r="G59" s="697"/>
    </row>
    <row r="60" spans="2:14" x14ac:dyDescent="0.2">
      <c r="B60" s="16"/>
      <c r="C60" s="32" t="s">
        <v>386</v>
      </c>
      <c r="D60" s="698" t="s">
        <v>316</v>
      </c>
      <c r="E60" s="699"/>
      <c r="F60" s="699"/>
      <c r="G60" s="699"/>
      <c r="H60" s="94" t="s">
        <v>317</v>
      </c>
    </row>
    <row r="61" spans="2:14" x14ac:dyDescent="0.2">
      <c r="B61" s="16"/>
      <c r="C61" s="32" t="s">
        <v>346</v>
      </c>
      <c r="D61" s="698" t="s">
        <v>336</v>
      </c>
      <c r="E61" s="699"/>
      <c r="F61" s="699"/>
      <c r="G61" s="699"/>
      <c r="H61" s="94" t="s">
        <v>337</v>
      </c>
    </row>
    <row r="62" spans="2:14" x14ac:dyDescent="0.2">
      <c r="B62" s="16"/>
      <c r="C62" s="6" t="s">
        <v>410</v>
      </c>
      <c r="D62" s="6" t="s">
        <v>411</v>
      </c>
      <c r="H62" s="94" t="s">
        <v>412</v>
      </c>
    </row>
    <row r="64" spans="2:14" ht="13.5" thickBot="1" x14ac:dyDescent="0.25">
      <c r="B64" s="9" t="s">
        <v>129</v>
      </c>
      <c r="C64" s="9"/>
      <c r="D64" s="9"/>
      <c r="E64" s="9"/>
      <c r="F64" s="9"/>
      <c r="G64" s="9"/>
      <c r="H64" s="9"/>
      <c r="I64" s="9"/>
      <c r="J64" s="9"/>
      <c r="K64" s="9"/>
      <c r="L64" s="9"/>
      <c r="M64" s="9"/>
      <c r="N64" s="9"/>
    </row>
    <row r="65" spans="2:7" x14ac:dyDescent="0.2">
      <c r="B65" s="15"/>
    </row>
    <row r="66" spans="2:7" x14ac:dyDescent="0.2">
      <c r="B66" s="16"/>
      <c r="C66" s="6" t="s">
        <v>327</v>
      </c>
    </row>
    <row r="67" spans="2:7" x14ac:dyDescent="0.2">
      <c r="B67" s="16"/>
      <c r="C67" s="6" t="s">
        <v>401</v>
      </c>
    </row>
    <row r="68" spans="2:7" x14ac:dyDescent="0.2">
      <c r="B68" s="16"/>
      <c r="C68" s="6" t="s">
        <v>402</v>
      </c>
    </row>
    <row r="69" spans="2:7" x14ac:dyDescent="0.2">
      <c r="B69" s="16"/>
      <c r="C69" s="6" t="s">
        <v>338</v>
      </c>
    </row>
    <row r="70" spans="2:7" x14ac:dyDescent="0.2">
      <c r="B70" s="16"/>
    </row>
    <row r="71" spans="2:7" ht="12.75" x14ac:dyDescent="0.2">
      <c r="B71" s="16"/>
      <c r="D71" s="95" t="s">
        <v>244</v>
      </c>
      <c r="E71" s="140">
        <f>D20</f>
        <v>13.9</v>
      </c>
      <c r="F71" s="6" t="s">
        <v>381</v>
      </c>
      <c r="G71" s="6" t="s">
        <v>382</v>
      </c>
    </row>
    <row r="72" spans="2:7" x14ac:dyDescent="0.2">
      <c r="B72" s="16"/>
    </row>
    <row r="73" spans="2:7" ht="15" x14ac:dyDescent="0.25">
      <c r="B73" s="16"/>
      <c r="C73" s="137" t="s">
        <v>405</v>
      </c>
    </row>
    <row r="74" spans="2:7" x14ac:dyDescent="0.2">
      <c r="B74" s="16"/>
      <c r="C74" s="137" t="s">
        <v>403</v>
      </c>
    </row>
    <row r="75" spans="2:7" x14ac:dyDescent="0.2">
      <c r="B75" s="16"/>
      <c r="C75" s="137" t="s">
        <v>404</v>
      </c>
    </row>
    <row r="76" spans="2:7" x14ac:dyDescent="0.2">
      <c r="B76" s="16"/>
      <c r="C76" s="137"/>
    </row>
    <row r="77" spans="2:7" ht="12.75" x14ac:dyDescent="0.2">
      <c r="B77" s="16"/>
      <c r="D77" s="95" t="s">
        <v>318</v>
      </c>
      <c r="E77" s="107">
        <v>0.92</v>
      </c>
      <c r="F77" s="6" t="s">
        <v>319</v>
      </c>
    </row>
    <row r="78" spans="2:7" ht="12.75" x14ac:dyDescent="0.2">
      <c r="B78" s="16"/>
      <c r="D78" s="95" t="s">
        <v>320</v>
      </c>
      <c r="E78" s="44">
        <v>2.4500000000000002</v>
      </c>
      <c r="F78" s="6" t="s">
        <v>319</v>
      </c>
    </row>
    <row r="79" spans="2:7" x14ac:dyDescent="0.2">
      <c r="B79" s="16"/>
    </row>
    <row r="80" spans="2:7" ht="12.75" x14ac:dyDescent="0.2">
      <c r="B80" s="16"/>
      <c r="D80" s="95" t="s">
        <v>408</v>
      </c>
      <c r="E80" s="288">
        <f>(E71*Btu_per_MMBtu/Btu_per_kWh)/E77</f>
        <v>4428.105408022835</v>
      </c>
      <c r="F80" s="6" t="s">
        <v>170</v>
      </c>
      <c r="G80" s="665"/>
    </row>
    <row r="81" spans="2:7" ht="12.75" x14ac:dyDescent="0.2">
      <c r="B81" s="16"/>
      <c r="D81" s="95" t="s">
        <v>409</v>
      </c>
      <c r="E81" s="288">
        <f>(E71*Btu_per_MMBtu/Btu_per_kWh)/E78</f>
        <v>1662.7987654616359</v>
      </c>
      <c r="F81" s="6" t="s">
        <v>170</v>
      </c>
    </row>
    <row r="82" spans="2:7" x14ac:dyDescent="0.2">
      <c r="B82" s="16"/>
    </row>
    <row r="83" spans="2:7" ht="12.75" x14ac:dyDescent="0.2">
      <c r="B83" s="16"/>
      <c r="D83" s="95" t="s">
        <v>347</v>
      </c>
      <c r="E83" s="124">
        <v>2533</v>
      </c>
      <c r="F83" s="6" t="s">
        <v>397</v>
      </c>
      <c r="G83" s="6" t="s">
        <v>348</v>
      </c>
    </row>
    <row r="84" spans="2:7" x14ac:dyDescent="0.2">
      <c r="B84" s="16"/>
      <c r="D84" s="123"/>
      <c r="E84" s="97"/>
      <c r="F84" s="97"/>
    </row>
    <row r="85" spans="2:7" x14ac:dyDescent="0.2">
      <c r="B85" s="16"/>
      <c r="D85" s="6" t="s">
        <v>755</v>
      </c>
      <c r="F85" s="97"/>
    </row>
    <row r="86" spans="2:7" x14ac:dyDescent="0.2">
      <c r="B86" s="16"/>
      <c r="D86" s="155" t="s">
        <v>950</v>
      </c>
      <c r="E86" s="295">
        <v>1</v>
      </c>
      <c r="F86" s="97"/>
    </row>
    <row r="87" spans="2:7" x14ac:dyDescent="0.2">
      <c r="B87" s="16"/>
      <c r="D87" s="155" t="s">
        <v>982</v>
      </c>
      <c r="E87" s="295">
        <v>0.47</v>
      </c>
      <c r="F87" s="97"/>
    </row>
    <row r="88" spans="2:7" x14ac:dyDescent="0.2">
      <c r="B88" s="16"/>
      <c r="D88" s="123"/>
      <c r="E88" s="97"/>
      <c r="F88" s="97"/>
    </row>
    <row r="89" spans="2:7" x14ac:dyDescent="0.2">
      <c r="B89" s="16"/>
      <c r="D89" s="97" t="s">
        <v>1114</v>
      </c>
      <c r="E89" s="97"/>
      <c r="F89" s="97"/>
    </row>
    <row r="90" spans="2:7" ht="12.75" x14ac:dyDescent="0.2">
      <c r="B90" s="16"/>
      <c r="D90" s="95" t="s">
        <v>1112</v>
      </c>
      <c r="E90" s="125">
        <f>E86*E80/E83</f>
        <v>1.7481663671625878</v>
      </c>
      <c r="F90" s="6" t="s">
        <v>176</v>
      </c>
    </row>
    <row r="91" spans="2:7" ht="12.75" x14ac:dyDescent="0.2">
      <c r="B91" s="16"/>
      <c r="D91" s="95" t="s">
        <v>1113</v>
      </c>
      <c r="E91" s="125">
        <f>E86*E81/E83</f>
        <v>0.65645430930186965</v>
      </c>
      <c r="F91" s="6" t="s">
        <v>176</v>
      </c>
    </row>
    <row r="92" spans="2:7" ht="12.75" x14ac:dyDescent="0.2">
      <c r="B92" s="16"/>
      <c r="D92" s="95" t="s">
        <v>1115</v>
      </c>
      <c r="E92" s="125">
        <f>E87*E80/E83</f>
        <v>0.82163819256641624</v>
      </c>
      <c r="F92" s="6" t="s">
        <v>176</v>
      </c>
    </row>
    <row r="93" spans="2:7" ht="12.75" x14ac:dyDescent="0.2">
      <c r="B93" s="16"/>
      <c r="D93" s="95" t="s">
        <v>1116</v>
      </c>
      <c r="E93" s="125">
        <f>E87*E81/E83</f>
        <v>0.30853352537187873</v>
      </c>
      <c r="F93" s="6" t="s">
        <v>176</v>
      </c>
    </row>
    <row r="94" spans="2:7" x14ac:dyDescent="0.2">
      <c r="B94" s="16"/>
    </row>
    <row r="95" spans="2:7" x14ac:dyDescent="0.2">
      <c r="B95" s="16"/>
      <c r="C95" s="109" t="s">
        <v>324</v>
      </c>
    </row>
    <row r="96" spans="2:7" ht="12.75" x14ac:dyDescent="0.2">
      <c r="B96" s="16"/>
      <c r="D96" s="95" t="s">
        <v>331</v>
      </c>
      <c r="E96" s="108">
        <v>1469</v>
      </c>
      <c r="F96" s="6" t="s">
        <v>164</v>
      </c>
      <c r="G96" s="6" t="s">
        <v>419</v>
      </c>
    </row>
    <row r="97" spans="2:14" ht="12.75" x14ac:dyDescent="0.2">
      <c r="B97" s="16"/>
      <c r="D97" s="95" t="s">
        <v>332</v>
      </c>
      <c r="E97" s="108">
        <v>2110</v>
      </c>
      <c r="F97" s="6" t="s">
        <v>164</v>
      </c>
      <c r="G97" s="6" t="s">
        <v>788</v>
      </c>
    </row>
    <row r="98" spans="2:14" x14ac:dyDescent="0.2">
      <c r="B98" s="16"/>
    </row>
    <row r="99" spans="2:14" x14ac:dyDescent="0.2">
      <c r="B99" s="16"/>
      <c r="C99" s="6" t="s">
        <v>413</v>
      </c>
    </row>
    <row r="100" spans="2:14" x14ac:dyDescent="0.2">
      <c r="B100" s="16"/>
      <c r="C100" s="6" t="s">
        <v>414</v>
      </c>
    </row>
    <row r="101" spans="2:14" x14ac:dyDescent="0.2">
      <c r="B101" s="16"/>
      <c r="C101" s="6" t="s">
        <v>415</v>
      </c>
    </row>
    <row r="102" spans="2:14" x14ac:dyDescent="0.2">
      <c r="B102" s="16"/>
      <c r="C102" s="6" t="s">
        <v>416</v>
      </c>
    </row>
    <row r="103" spans="2:14" x14ac:dyDescent="0.2">
      <c r="B103" s="16"/>
      <c r="C103" s="6" t="s">
        <v>417</v>
      </c>
    </row>
    <row r="104" spans="2:14" x14ac:dyDescent="0.2">
      <c r="B104" s="16"/>
    </row>
    <row r="105" spans="2:14" ht="12.75" x14ac:dyDescent="0.2">
      <c r="B105" s="16"/>
      <c r="D105" s="95" t="s">
        <v>418</v>
      </c>
      <c r="E105" s="141">
        <v>0.5</v>
      </c>
      <c r="F105" s="6" t="s">
        <v>156</v>
      </c>
    </row>
    <row r="106" spans="2:14" x14ac:dyDescent="0.2">
      <c r="B106" s="16"/>
    </row>
    <row r="107" spans="2:14" x14ac:dyDescent="0.2">
      <c r="B107" s="16"/>
    </row>
    <row r="109" spans="2:14" ht="13.5" thickBot="1" x14ac:dyDescent="0.25">
      <c r="B109" s="9" t="s">
        <v>322</v>
      </c>
      <c r="C109" s="9"/>
      <c r="D109" s="9"/>
      <c r="E109" s="9"/>
      <c r="F109" s="9"/>
      <c r="G109" s="9"/>
      <c r="H109" s="9"/>
      <c r="I109" s="9"/>
      <c r="J109" s="9"/>
      <c r="K109" s="9"/>
      <c r="L109" s="9"/>
      <c r="M109" s="9"/>
      <c r="N109" s="9"/>
    </row>
    <row r="110" spans="2:14" x14ac:dyDescent="0.2">
      <c r="B110" s="16"/>
    </row>
    <row r="111" spans="2:14" x14ac:dyDescent="0.2">
      <c r="B111" s="16"/>
    </row>
    <row r="112" spans="2:14" x14ac:dyDescent="0.2">
      <c r="B112" s="16"/>
    </row>
    <row r="113" spans="2:2" x14ac:dyDescent="0.2">
      <c r="B113" s="16"/>
    </row>
    <row r="114" spans="2:2" x14ac:dyDescent="0.2">
      <c r="B114" s="16"/>
    </row>
    <row r="115" spans="2:2" x14ac:dyDescent="0.2">
      <c r="B115" s="16"/>
    </row>
    <row r="116" spans="2:2" x14ac:dyDescent="0.2">
      <c r="B116" s="16"/>
    </row>
    <row r="117" spans="2:2" x14ac:dyDescent="0.2">
      <c r="B117" s="16"/>
    </row>
    <row r="118" spans="2:2" x14ac:dyDescent="0.2">
      <c r="B118" s="16"/>
    </row>
    <row r="119" spans="2:2" x14ac:dyDescent="0.2">
      <c r="B119" s="16"/>
    </row>
    <row r="120" spans="2:2" x14ac:dyDescent="0.2">
      <c r="B120" s="16"/>
    </row>
    <row r="121" spans="2:2" x14ac:dyDescent="0.2">
      <c r="B121" s="16"/>
    </row>
    <row r="122" spans="2:2" x14ac:dyDescent="0.2">
      <c r="B122" s="16"/>
    </row>
    <row r="123" spans="2:2" x14ac:dyDescent="0.2">
      <c r="B123" s="16"/>
    </row>
    <row r="124" spans="2:2" x14ac:dyDescent="0.2">
      <c r="B124" s="16"/>
    </row>
    <row r="125" spans="2:2" x14ac:dyDescent="0.2">
      <c r="B125" s="16"/>
    </row>
    <row r="126" spans="2:2" x14ac:dyDescent="0.2">
      <c r="B126" s="16"/>
    </row>
    <row r="127" spans="2:2" x14ac:dyDescent="0.2">
      <c r="B127" s="16"/>
    </row>
    <row r="128" spans="2:2" x14ac:dyDescent="0.2">
      <c r="B128" s="16"/>
    </row>
    <row r="129" spans="2:2" x14ac:dyDescent="0.2">
      <c r="B129" s="16"/>
    </row>
    <row r="130" spans="2:2" x14ac:dyDescent="0.2">
      <c r="B130" s="16"/>
    </row>
    <row r="131" spans="2:2" x14ac:dyDescent="0.2">
      <c r="B131" s="16"/>
    </row>
    <row r="132" spans="2:2" x14ac:dyDescent="0.2">
      <c r="B132" s="16"/>
    </row>
    <row r="133" spans="2:2" x14ac:dyDescent="0.2">
      <c r="B133" s="16"/>
    </row>
    <row r="134" spans="2:2" x14ac:dyDescent="0.2">
      <c r="B134" s="16"/>
    </row>
    <row r="135" spans="2:2" x14ac:dyDescent="0.2">
      <c r="B135" s="16"/>
    </row>
    <row r="136" spans="2:2" x14ac:dyDescent="0.2">
      <c r="B136" s="16"/>
    </row>
    <row r="137" spans="2:2" x14ac:dyDescent="0.2">
      <c r="B137" s="16"/>
    </row>
    <row r="138" spans="2:2" x14ac:dyDescent="0.2">
      <c r="B138" s="16"/>
    </row>
    <row r="139" spans="2:2" x14ac:dyDescent="0.2">
      <c r="B139" s="16"/>
    </row>
    <row r="140" spans="2:2" x14ac:dyDescent="0.2">
      <c r="B140" s="16"/>
    </row>
    <row r="141" spans="2:2" x14ac:dyDescent="0.2">
      <c r="B141" s="16"/>
    </row>
    <row r="142" spans="2:2" x14ac:dyDescent="0.2">
      <c r="B142" s="16"/>
    </row>
  </sheetData>
  <mergeCells count="20">
    <mergeCell ref="D59:G59"/>
    <mergeCell ref="D60:G60"/>
    <mergeCell ref="D61:G61"/>
    <mergeCell ref="D52:E52"/>
    <mergeCell ref="F52:G52"/>
    <mergeCell ref="D53:E53"/>
    <mergeCell ref="F53:G53"/>
    <mergeCell ref="D58:G58"/>
    <mergeCell ref="D50:E50"/>
    <mergeCell ref="F50:G50"/>
    <mergeCell ref="H50:I50"/>
    <mergeCell ref="J50:K50"/>
    <mergeCell ref="H53:I53"/>
    <mergeCell ref="J53:K53"/>
    <mergeCell ref="D51:E51"/>
    <mergeCell ref="F51:G51"/>
    <mergeCell ref="H51:I51"/>
    <mergeCell ref="J51:K51"/>
    <mergeCell ref="H52:I52"/>
    <mergeCell ref="J52:K52"/>
  </mergeCells>
  <dataValidations disablePrompts="1" count="2">
    <dataValidation type="list" allowBlank="1" showInputMessage="1" showErrorMessage="1" sqref="D9">
      <formula1>DEFINED_MEASURES</formula1>
    </dataValidation>
    <dataValidation type="list" allowBlank="1" showInputMessage="1" showErrorMessage="1" sqref="D5">
      <formula1>"1. Not Started,2. Analyzing,3. Ready"</formula1>
    </dataValidation>
  </dataValidations>
  <hyperlinks>
    <hyperlink ref="H60" r:id="rId1"/>
    <hyperlink ref="H61" r:id="rId2"/>
    <hyperlink ref="H62" r:id="rId3"/>
  </hyperlinks>
  <pageMargins left="0.7" right="0.7" top="0.75" bottom="0.75" header="0.3" footer="0.3"/>
  <pageSetup orientation="portrait"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3"/>
  </sheetPr>
  <dimension ref="A1:AD146"/>
  <sheetViews>
    <sheetView topLeftCell="A58" workbookViewId="0"/>
  </sheetViews>
  <sheetFormatPr defaultColWidth="9.33203125" defaultRowHeight="11.25" x14ac:dyDescent="0.2"/>
  <cols>
    <col min="1" max="2" width="3.33203125" style="6" customWidth="1"/>
    <col min="3" max="3" width="22.6640625" style="6" bestFit="1" customWidth="1"/>
    <col min="4" max="4" width="14.33203125" style="6" customWidth="1"/>
    <col min="5" max="5" width="16.33203125" style="6" customWidth="1"/>
    <col min="6" max="6" width="15" style="6" customWidth="1"/>
    <col min="7" max="7" width="13.5" style="6" customWidth="1"/>
    <col min="8" max="8" width="16.1640625" style="6" customWidth="1"/>
    <col min="9" max="9" width="22.33203125" style="6" bestFit="1" customWidth="1"/>
    <col min="10" max="10" width="20.5" style="6" bestFit="1" customWidth="1"/>
    <col min="11"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29" t="s">
        <v>94</v>
      </c>
      <c r="E9" s="7" t="s">
        <v>290</v>
      </c>
    </row>
    <row r="10" spans="1:30" ht="12.75" x14ac:dyDescent="0.2">
      <c r="B10" s="16"/>
      <c r="C10" s="30" t="s">
        <v>289</v>
      </c>
      <c r="D10" s="83" t="str">
        <f>INDEX(Tbl_MeasureList[Baseline ID],MATCH($D$9,Tbl_MeasureList[Measure ID],0))</f>
        <v>BASE05</v>
      </c>
      <c r="E10" s="7"/>
    </row>
    <row r="11" spans="1:30" x14ac:dyDescent="0.2">
      <c r="B11" s="16"/>
      <c r="C11" s="7"/>
      <c r="D11" s="7"/>
      <c r="E11" s="7"/>
    </row>
    <row r="12" spans="1:30" ht="12" thickBot="1" x14ac:dyDescent="0.25">
      <c r="B12" s="16"/>
      <c r="C12" s="7"/>
      <c r="D12" s="127" t="s">
        <v>5</v>
      </c>
      <c r="E12" s="127" t="s">
        <v>284</v>
      </c>
    </row>
    <row r="13" spans="1:30" x14ac:dyDescent="0.2">
      <c r="B13" s="16"/>
      <c r="C13" s="32" t="s">
        <v>2</v>
      </c>
      <c r="D13" s="84" t="str">
        <f>INDEX(Tbl_MeasureList[Baseline Equipment ID],MATCH($D$9,Tbl_MeasureList[Measure ID],0))</f>
        <v>EQUI008</v>
      </c>
      <c r="E13" s="84" t="str">
        <f>INDEX(Tbl_MeasureList[Replacement ID],MATCH($D$9,Tbl_MeasureList[Measure ID],0))</f>
        <v>EQUI016</v>
      </c>
      <c r="F13" s="7"/>
    </row>
    <row r="14" spans="1:30" x14ac:dyDescent="0.2">
      <c r="B14" s="16"/>
      <c r="C14" s="32" t="s">
        <v>4</v>
      </c>
      <c r="D14" s="85" t="str">
        <f>INDEX(Tbl_EquipmentDefinitions[[Equipment Name]:[Equipment Name]],MATCH(D$13,Tbl_EquipmentDefinitions[[Equipment ID]:[Equipment ID]],0))</f>
        <v>Oil Boiler</v>
      </c>
      <c r="E14" s="85" t="str">
        <f>INDEX(Tbl_EquipmentDefinitions[[Equipment Name]:[Equipment Name]],MATCH(E$13,Tbl_EquipmentDefinitions[[Equipment ID]:[Equipment ID]],0))</f>
        <v>Gas Boiler</v>
      </c>
      <c r="F14" s="7"/>
    </row>
    <row r="15" spans="1:30" x14ac:dyDescent="0.2">
      <c r="B15" s="16"/>
      <c r="C15" s="32" t="s">
        <v>24</v>
      </c>
      <c r="D15" s="84" t="str">
        <f>INDEX(Tbl_EquipmentDefinitions[[Function]:[Function]],MATCH(D$13,Tbl_EquipmentDefinitions[[Equipment ID]:[Equipment ID]],0))</f>
        <v>Heat</v>
      </c>
      <c r="E15" s="84" t="str">
        <f>INDEX(Tbl_EquipmentDefinitions[[Function]:[Function]],MATCH(E$13,Tbl_EquipmentDefinitions[[Equipment ID]:[Equipment ID]],0))</f>
        <v>Heat</v>
      </c>
      <c r="F15" s="7"/>
    </row>
    <row r="16" spans="1:30" x14ac:dyDescent="0.2">
      <c r="B16" s="16"/>
      <c r="C16" s="32" t="s">
        <v>7</v>
      </c>
      <c r="D16" s="85" t="str">
        <f>INDEX(Tbl_EquipmentDefinitions[[Fuel Type]:[Fuel Type]],MATCH(D$13,Tbl_EquipmentDefinitions[[Equipment ID]:[Equipment ID]],0))</f>
        <v>Oil</v>
      </c>
      <c r="E16" s="85" t="str">
        <f>INDEX(Tbl_EquipmentDefinitions[[Fuel Type]:[Fuel Type]],MATCH(E$13,Tbl_EquipmentDefinitions[[Equipment ID]:[Equipment ID]],0))</f>
        <v>Natural Gas</v>
      </c>
      <c r="F16" s="7"/>
    </row>
    <row r="17" spans="2:14" x14ac:dyDescent="0.2">
      <c r="B17" s="16"/>
      <c r="C17" s="32" t="s">
        <v>126</v>
      </c>
      <c r="D17" s="84">
        <f>IF(ISERR(SEARCH("+",D16,1)),1,2)</f>
        <v>1</v>
      </c>
      <c r="E17" s="84">
        <f>IF(ISERR(SEARCH("+",E16,1)),1,2)</f>
        <v>1</v>
      </c>
      <c r="F17" s="7"/>
    </row>
    <row r="18" spans="2:14" x14ac:dyDescent="0.2">
      <c r="B18" s="16"/>
      <c r="C18" s="32" t="s">
        <v>155</v>
      </c>
      <c r="D18" s="86">
        <f>INDEX(Tbl_BaselineSummary[Space Heating Load (MMBtu/yr)],MATCH($D$10,Tbl_BaselineSummary[Baseline ID],0))</f>
        <v>76.7</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13.9</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127" t="s">
        <v>127</v>
      </c>
      <c r="D25" s="281" t="s">
        <v>345</v>
      </c>
      <c r="E25" s="385" t="s">
        <v>956</v>
      </c>
      <c r="F25" s="281" t="s">
        <v>326</v>
      </c>
      <c r="G25" s="421" t="s">
        <v>1532</v>
      </c>
      <c r="H25" s="385" t="s">
        <v>958</v>
      </c>
      <c r="I25" s="569" t="s">
        <v>1447</v>
      </c>
      <c r="J25" s="569" t="s">
        <v>1448</v>
      </c>
      <c r="L25" s="127" t="s">
        <v>1533</v>
      </c>
      <c r="M25" s="421" t="s">
        <v>1531</v>
      </c>
    </row>
    <row r="26" spans="2:14" ht="11.25" customHeight="1" x14ac:dyDescent="0.2">
      <c r="B26" s="16"/>
      <c r="C26" s="32" t="s">
        <v>6</v>
      </c>
      <c r="D26" s="122">
        <f>D76</f>
        <v>197</v>
      </c>
      <c r="E26" s="149">
        <f>D85</f>
        <v>3.0220517737296261E-2</v>
      </c>
      <c r="F26" s="122">
        <f>D26*PRICE_PER_KWH_2018_ELECTRICITY</f>
        <v>38.9666</v>
      </c>
      <c r="G26" s="40">
        <v>0</v>
      </c>
      <c r="H26" s="139">
        <v>0</v>
      </c>
      <c r="I26" s="39">
        <v>0</v>
      </c>
      <c r="J26" s="122">
        <f>D76</f>
        <v>197</v>
      </c>
      <c r="L26" s="84">
        <f t="shared" ref="L26:M28" si="0">F26+E32+E38+E44</f>
        <v>1599.0813540983609</v>
      </c>
      <c r="M26" s="86">
        <f t="shared" si="0"/>
        <v>11642</v>
      </c>
    </row>
    <row r="27" spans="2:14" x14ac:dyDescent="0.2">
      <c r="B27" s="16"/>
      <c r="C27" s="32" t="s">
        <v>19</v>
      </c>
      <c r="D27" s="122">
        <f>D77</f>
        <v>329</v>
      </c>
      <c r="E27" s="149">
        <f>D86</f>
        <v>5.0469798657718119E-2</v>
      </c>
      <c r="F27" s="122">
        <f>D27*PRICE_PER_KWH_2018_ELECTRICITY</f>
        <v>65.0762</v>
      </c>
      <c r="G27" s="40">
        <v>0</v>
      </c>
      <c r="H27" s="139">
        <v>0</v>
      </c>
      <c r="I27" s="39">
        <v>0</v>
      </c>
      <c r="J27" s="122">
        <f t="shared" ref="J27:J28" si="1">D77</f>
        <v>329</v>
      </c>
      <c r="L27" s="84">
        <f t="shared" si="0"/>
        <v>1483.8502825688074</v>
      </c>
      <c r="M27" s="86">
        <f t="shared" si="0"/>
        <v>14810</v>
      </c>
    </row>
    <row r="28" spans="2:14" x14ac:dyDescent="0.2">
      <c r="B28" s="16"/>
      <c r="C28" s="32" t="s">
        <v>20</v>
      </c>
      <c r="D28" s="122">
        <f>D78</f>
        <v>312</v>
      </c>
      <c r="E28" s="149">
        <f>D87</f>
        <v>4.7861936720997124E-2</v>
      </c>
      <c r="F28" s="122">
        <f>D28*PRICE_PER_KWH_2018_ELECTRICITY</f>
        <v>61.7136</v>
      </c>
      <c r="G28" s="40">
        <v>0</v>
      </c>
      <c r="H28" s="139">
        <v>0</v>
      </c>
      <c r="I28" s="39">
        <v>0</v>
      </c>
      <c r="J28" s="122">
        <f t="shared" si="1"/>
        <v>312</v>
      </c>
      <c r="L28" s="84">
        <f t="shared" si="0"/>
        <v>1445.5737789709174</v>
      </c>
      <c r="M28" s="86">
        <f t="shared" si="0"/>
        <v>15071</v>
      </c>
    </row>
    <row r="29" spans="2:14" x14ac:dyDescent="0.2">
      <c r="B29" s="16"/>
    </row>
    <row r="30" spans="2:14" ht="12.75" thickBot="1" x14ac:dyDescent="0.25">
      <c r="B30" s="16"/>
      <c r="C30" s="34" t="s">
        <v>55</v>
      </c>
      <c r="D30" s="34"/>
      <c r="E30" s="33"/>
      <c r="F30" s="33"/>
    </row>
    <row r="31" spans="2:14" ht="34.5" thickBot="1" x14ac:dyDescent="0.25">
      <c r="B31" s="16"/>
      <c r="C31" s="127" t="s">
        <v>127</v>
      </c>
      <c r="D31" s="281" t="s">
        <v>325</v>
      </c>
      <c r="E31" s="281" t="s">
        <v>326</v>
      </c>
      <c r="F31" s="421" t="s">
        <v>1532</v>
      </c>
    </row>
    <row r="32" spans="2:14" x14ac:dyDescent="0.2">
      <c r="B32" s="16"/>
      <c r="C32" s="32" t="s">
        <v>6</v>
      </c>
      <c r="D32" s="122">
        <f>D72</f>
        <v>967.21311475409834</v>
      </c>
      <c r="E32" s="111">
        <f>D32*PRICE_PER_THERM_2018_NATURALGAS</f>
        <v>1560.1147540983609</v>
      </c>
      <c r="F32" s="111">
        <f>6042+$D$90+$D$92</f>
        <v>11642</v>
      </c>
      <c r="G32" s="7" t="s">
        <v>128</v>
      </c>
    </row>
    <row r="33" spans="2:14" x14ac:dyDescent="0.2">
      <c r="B33" s="16"/>
      <c r="C33" s="32" t="s">
        <v>19</v>
      </c>
      <c r="D33" s="122">
        <f>D73</f>
        <v>879.58715596330273</v>
      </c>
      <c r="E33" s="111">
        <f>D33*PRICE_PER_THERM_2018_NATURALGAS</f>
        <v>1418.7740825688074</v>
      </c>
      <c r="F33" s="111">
        <f>9210+$D$90+$D$92</f>
        <v>14810</v>
      </c>
    </row>
    <row r="34" spans="2:14" x14ac:dyDescent="0.2">
      <c r="B34" s="16"/>
      <c r="C34" s="32" t="s">
        <v>20</v>
      </c>
      <c r="D34" s="122">
        <f>D74</f>
        <v>857.94183445190151</v>
      </c>
      <c r="E34" s="111">
        <f>D34*PRICE_PER_THERM_2018_NATURALGAS</f>
        <v>1383.8601789709173</v>
      </c>
      <c r="F34" s="111">
        <f>9471+$D$90+$D$92</f>
        <v>15071</v>
      </c>
    </row>
    <row r="35" spans="2:14" x14ac:dyDescent="0.2">
      <c r="B35" s="16"/>
    </row>
    <row r="36" spans="2:14" ht="12.75" thickBot="1" x14ac:dyDescent="0.25">
      <c r="B36" s="16"/>
      <c r="C36" s="34" t="s">
        <v>28</v>
      </c>
      <c r="D36" s="34"/>
      <c r="E36" s="33"/>
      <c r="F36" s="33"/>
    </row>
    <row r="37" spans="2:14" ht="34.5" thickBot="1" x14ac:dyDescent="0.25">
      <c r="B37" s="16"/>
      <c r="C37" s="127" t="s">
        <v>127</v>
      </c>
      <c r="D37" s="281" t="s">
        <v>756</v>
      </c>
      <c r="E37" s="281" t="s">
        <v>326</v>
      </c>
      <c r="F37" s="421"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34.5" thickBot="1" x14ac:dyDescent="0.25">
      <c r="B43" s="16"/>
      <c r="C43" s="127" t="s">
        <v>127</v>
      </c>
      <c r="D43" s="281" t="s">
        <v>756</v>
      </c>
      <c r="E43" s="281" t="s">
        <v>326</v>
      </c>
      <c r="F43" s="421" t="s">
        <v>1532</v>
      </c>
    </row>
    <row r="44" spans="2:14" x14ac:dyDescent="0.2">
      <c r="B44" s="16"/>
      <c r="C44" s="32" t="s">
        <v>6</v>
      </c>
      <c r="D44" s="40">
        <v>0</v>
      </c>
      <c r="E44" s="39">
        <v>0</v>
      </c>
      <c r="F44" s="39">
        <v>0</v>
      </c>
      <c r="G44" s="7" t="s">
        <v>128</v>
      </c>
    </row>
    <row r="45" spans="2:14" x14ac:dyDescent="0.2">
      <c r="B45" s="16"/>
      <c r="C45" s="32" t="s">
        <v>19</v>
      </c>
      <c r="D45" s="40">
        <v>0</v>
      </c>
      <c r="E45" s="39">
        <v>0</v>
      </c>
      <c r="F45" s="39">
        <v>0</v>
      </c>
    </row>
    <row r="46" spans="2:14" x14ac:dyDescent="0.2">
      <c r="B46" s="16"/>
      <c r="C46" s="32" t="s">
        <v>20</v>
      </c>
      <c r="D46" s="40">
        <v>0</v>
      </c>
      <c r="E46" s="39">
        <v>0</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v>
      </c>
      <c r="E51" s="690"/>
      <c r="F51" s="693" t="str">
        <f>INDEX(Tbl_EquipmentDefinitions[Natural Gas Code Efficiency],MATCH($E$13,Tbl_EquipmentDefinitions[Equipment ID],0))</f>
        <v>82% AFUE (79.3% actual)</v>
      </c>
      <c r="G51" s="690"/>
      <c r="H51" s="693" t="str">
        <f>INDEX(Tbl_EquipmentDefinitions[Propane Code Efficiency],MATCH($E$13,Tbl_EquipmentDefinitions[Equipment ID],0))</f>
        <v>-</v>
      </c>
      <c r="I51" s="690"/>
      <c r="J51" s="693" t="str">
        <f>INDEX(Tbl_EquipmentDefinitions[Oil Code Efficiency],MATCH($E$13,Tbl_EquipmentDefinitions[Equipment ID],0))</f>
        <v>-</v>
      </c>
      <c r="K51" s="690"/>
    </row>
    <row r="52" spans="2:14" ht="12.75" x14ac:dyDescent="0.2">
      <c r="B52" s="16"/>
      <c r="C52" s="30" t="s">
        <v>153</v>
      </c>
      <c r="D52" s="689" t="str">
        <f>INDEX(Tbl_EquipmentDefinitions[Electricity Low Measure Efficiency],MATCH($E$13,Tbl_EquipmentDefinitions[Equipment ID],0))</f>
        <v>-</v>
      </c>
      <c r="E52" s="690"/>
      <c r="F52" s="689" t="str">
        <f>INDEX(Tbl_EquipmentDefinitions[Natural Gas Low Measure Efficiency],MATCH($E$13,Tbl_EquipmentDefinitions[Equipment ID],0))</f>
        <v>90% AFUE (87.2% actual)</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v>
      </c>
      <c r="E53" s="690"/>
      <c r="F53" s="689" t="str">
        <f>INDEX(Tbl_EquipmentDefinitions[Natural Gas High Measure Efficiency],MATCH($E$13,Tbl_EquipmentDefinitions[Equipment ID],0))</f>
        <v>95% AFUE (89.4% actual)</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127" t="s">
        <v>131</v>
      </c>
      <c r="D58" s="691" t="s">
        <v>132</v>
      </c>
      <c r="E58" s="692"/>
      <c r="F58" s="692"/>
      <c r="G58" s="692"/>
    </row>
    <row r="59" spans="2:14" x14ac:dyDescent="0.2">
      <c r="B59" s="16"/>
      <c r="C59" s="32" t="s">
        <v>309</v>
      </c>
      <c r="D59" s="698" t="s">
        <v>370</v>
      </c>
      <c r="E59" s="699"/>
      <c r="F59" s="699"/>
      <c r="G59" s="699"/>
    </row>
    <row r="60" spans="2:14" x14ac:dyDescent="0.2">
      <c r="B60" s="16"/>
      <c r="C60" s="32" t="s">
        <v>436</v>
      </c>
      <c r="D60" s="698" t="s">
        <v>437</v>
      </c>
      <c r="E60" s="699"/>
      <c r="F60" s="699"/>
      <c r="G60" s="699"/>
    </row>
    <row r="61" spans="2:14" x14ac:dyDescent="0.2">
      <c r="B61" s="16"/>
      <c r="C61" s="32" t="s">
        <v>438</v>
      </c>
      <c r="D61" s="698" t="s">
        <v>439</v>
      </c>
      <c r="E61" s="699"/>
      <c r="F61" s="699"/>
      <c r="G61" s="699"/>
    </row>
    <row r="62" spans="2:14" x14ac:dyDescent="0.2">
      <c r="B62" s="16"/>
    </row>
    <row r="64" spans="2:14" ht="13.5" thickBot="1" x14ac:dyDescent="0.25">
      <c r="B64" s="9" t="s">
        <v>129</v>
      </c>
      <c r="C64" s="9"/>
      <c r="D64" s="9"/>
      <c r="E64" s="9"/>
      <c r="F64" s="9"/>
      <c r="G64" s="9"/>
      <c r="H64" s="9"/>
      <c r="I64" s="9"/>
      <c r="J64" s="9"/>
      <c r="K64" s="9"/>
      <c r="L64" s="9"/>
      <c r="M64" s="9"/>
      <c r="N64" s="9"/>
    </row>
    <row r="65" spans="2:6" x14ac:dyDescent="0.2">
      <c r="B65" s="15"/>
    </row>
    <row r="66" spans="2:6" ht="12.75" x14ac:dyDescent="0.2">
      <c r="B66" s="16"/>
      <c r="C66" s="30" t="s">
        <v>155</v>
      </c>
      <c r="D66" s="151">
        <f>$D$18</f>
        <v>76.7</v>
      </c>
      <c r="E66" s="6" t="s">
        <v>156</v>
      </c>
      <c r="F66" s="6" t="s">
        <v>382</v>
      </c>
    </row>
    <row r="67" spans="2:6" x14ac:dyDescent="0.2">
      <c r="B67" s="16"/>
    </row>
    <row r="68" spans="2:6" ht="12.75" x14ac:dyDescent="0.2">
      <c r="B68" s="16"/>
      <c r="C68" s="30" t="s">
        <v>159</v>
      </c>
      <c r="D68" s="150">
        <v>0.79300000000000004</v>
      </c>
      <c r="E68" s="6" t="s">
        <v>158</v>
      </c>
      <c r="F68" s="45" t="s">
        <v>371</v>
      </c>
    </row>
    <row r="69" spans="2:6" ht="12.75" x14ac:dyDescent="0.2">
      <c r="B69" s="16"/>
      <c r="C69" s="36" t="s">
        <v>180</v>
      </c>
      <c r="D69" s="150">
        <v>0.872</v>
      </c>
      <c r="E69" s="6" t="s">
        <v>158</v>
      </c>
      <c r="F69" s="8"/>
    </row>
    <row r="70" spans="2:6" ht="12.75" x14ac:dyDescent="0.2">
      <c r="B70" s="16"/>
      <c r="C70" s="36" t="s">
        <v>181</v>
      </c>
      <c r="D70" s="150">
        <v>0.89400000000000002</v>
      </c>
      <c r="E70" s="6" t="s">
        <v>158</v>
      </c>
      <c r="F70" s="8"/>
    </row>
    <row r="71" spans="2:6" x14ac:dyDescent="0.2">
      <c r="B71" s="16"/>
    </row>
    <row r="72" spans="2:6" ht="12.75" x14ac:dyDescent="0.2">
      <c r="B72" s="16"/>
      <c r="C72" s="36" t="s">
        <v>430</v>
      </c>
      <c r="D72" s="41">
        <f>Therm_per_MMBtu*$D$66/D68</f>
        <v>967.21311475409834</v>
      </c>
      <c r="E72" s="6" t="s">
        <v>372</v>
      </c>
      <c r="F72" s="45" t="s">
        <v>305</v>
      </c>
    </row>
    <row r="73" spans="2:6" ht="12.75" x14ac:dyDescent="0.2">
      <c r="B73" s="16"/>
      <c r="C73" s="36" t="s">
        <v>431</v>
      </c>
      <c r="D73" s="41">
        <f>Therm_per_MMBtu*$D$66/D69</f>
        <v>879.58715596330273</v>
      </c>
      <c r="E73" s="6" t="s">
        <v>372</v>
      </c>
    </row>
    <row r="74" spans="2:6" ht="12.75" x14ac:dyDescent="0.2">
      <c r="B74" s="16"/>
      <c r="C74" s="36" t="s">
        <v>432</v>
      </c>
      <c r="D74" s="41">
        <f>Therm_per_MMBtu*$D$66/D70</f>
        <v>857.94183445190151</v>
      </c>
      <c r="E74" s="6" t="s">
        <v>372</v>
      </c>
    </row>
    <row r="75" spans="2:6" x14ac:dyDescent="0.2">
      <c r="B75" s="16"/>
    </row>
    <row r="76" spans="2:6" ht="12.75" x14ac:dyDescent="0.2">
      <c r="B76" s="16"/>
      <c r="C76" s="30" t="s">
        <v>408</v>
      </c>
      <c r="D76" s="88">
        <v>197</v>
      </c>
      <c r="E76" s="6" t="s">
        <v>434</v>
      </c>
      <c r="F76" s="6" t="s">
        <v>435</v>
      </c>
    </row>
    <row r="77" spans="2:6" ht="12.75" x14ac:dyDescent="0.2">
      <c r="B77" s="16"/>
      <c r="C77" s="30" t="s">
        <v>409</v>
      </c>
      <c r="D77" s="88">
        <v>329</v>
      </c>
      <c r="E77" s="6" t="s">
        <v>434</v>
      </c>
      <c r="F77" s="6" t="s">
        <v>435</v>
      </c>
    </row>
    <row r="78" spans="2:6" ht="12.75" x14ac:dyDescent="0.2">
      <c r="B78" s="16"/>
      <c r="C78" s="30" t="s">
        <v>433</v>
      </c>
      <c r="D78" s="88">
        <v>312</v>
      </c>
      <c r="E78" s="6" t="s">
        <v>434</v>
      </c>
      <c r="F78" s="6" t="s">
        <v>435</v>
      </c>
    </row>
    <row r="79" spans="2:6" x14ac:dyDescent="0.2">
      <c r="B79" s="16"/>
    </row>
    <row r="80" spans="2:6" x14ac:dyDescent="0.2">
      <c r="B80" s="16"/>
      <c r="C80" s="5" t="s">
        <v>422</v>
      </c>
      <c r="D80" s="146">
        <f>AVERAGE(530,984,1329,1329)</f>
        <v>1043</v>
      </c>
      <c r="E80" s="6" t="s">
        <v>397</v>
      </c>
      <c r="F80" s="6" t="s">
        <v>423</v>
      </c>
    </row>
    <row r="81" spans="2:14" x14ac:dyDescent="0.2">
      <c r="B81" s="16"/>
    </row>
    <row r="82" spans="2:14" x14ac:dyDescent="0.2">
      <c r="B82" s="16"/>
      <c r="C82" s="6" t="s">
        <v>740</v>
      </c>
    </row>
    <row r="83" spans="2:14" x14ac:dyDescent="0.2">
      <c r="B83" s="16"/>
      <c r="C83" s="155" t="s">
        <v>949</v>
      </c>
      <c r="D83" s="146">
        <v>0.16</v>
      </c>
    </row>
    <row r="84" spans="2:14" x14ac:dyDescent="0.2">
      <c r="B84" s="16"/>
    </row>
    <row r="85" spans="2:14" x14ac:dyDescent="0.2">
      <c r="B85" s="16"/>
      <c r="C85" s="5" t="s">
        <v>425</v>
      </c>
      <c r="D85" s="145">
        <f>$D$83*D76/$D$80</f>
        <v>3.0220517737296261E-2</v>
      </c>
      <c r="E85" s="5" t="s">
        <v>176</v>
      </c>
    </row>
    <row r="86" spans="2:14" x14ac:dyDescent="0.2">
      <c r="B86" s="16"/>
      <c r="C86" s="5" t="s">
        <v>440</v>
      </c>
      <c r="D86" s="145">
        <f>$D$83*D77/$D$80</f>
        <v>5.0469798657718119E-2</v>
      </c>
      <c r="E86" s="5" t="s">
        <v>176</v>
      </c>
    </row>
    <row r="87" spans="2:14" x14ac:dyDescent="0.2">
      <c r="B87" s="16"/>
      <c r="C87" s="5" t="s">
        <v>441</v>
      </c>
      <c r="D87" s="145">
        <f>$D$83*D78/$D$80</f>
        <v>4.7861936720997124E-2</v>
      </c>
      <c r="E87" s="5" t="s">
        <v>176</v>
      </c>
    </row>
    <row r="88" spans="2:14" x14ac:dyDescent="0.2">
      <c r="B88" s="16"/>
    </row>
    <row r="89" spans="2:14" ht="12.75" x14ac:dyDescent="0.2">
      <c r="B89" s="16"/>
      <c r="C89" s="36" t="s">
        <v>1181</v>
      </c>
      <c r="D89" s="41" t="str">
        <f>INPUT_INCLUDEGASLINE</f>
        <v>Yes</v>
      </c>
    </row>
    <row r="90" spans="2:14" ht="12.75" x14ac:dyDescent="0.2">
      <c r="B90" s="16"/>
      <c r="C90" s="36" t="s">
        <v>1182</v>
      </c>
      <c r="D90" s="233">
        <f>IF(D89="No",0,INPUT_GASLINECOST)</f>
        <v>5600</v>
      </c>
      <c r="E90" s="188" t="s">
        <v>1180</v>
      </c>
    </row>
    <row r="91" spans="2:14" x14ac:dyDescent="0.2">
      <c r="B91" s="16"/>
      <c r="C91" s="188"/>
      <c r="D91" s="188"/>
      <c r="E91" s="188"/>
    </row>
    <row r="92" spans="2:14" ht="12.75" x14ac:dyDescent="0.2">
      <c r="B92" s="16"/>
      <c r="C92" s="420" t="s">
        <v>1196</v>
      </c>
      <c r="D92" s="146">
        <v>0</v>
      </c>
      <c r="E92" s="188" t="s">
        <v>1180</v>
      </c>
      <c r="F92" s="8" t="s">
        <v>1340</v>
      </c>
    </row>
    <row r="93" spans="2:14" x14ac:dyDescent="0.2">
      <c r="B93" s="16"/>
    </row>
    <row r="95" spans="2:14" ht="13.5" thickBot="1" x14ac:dyDescent="0.25">
      <c r="B95" s="9" t="s">
        <v>322</v>
      </c>
      <c r="C95" s="9"/>
      <c r="D95" s="9"/>
      <c r="E95" s="9"/>
      <c r="F95" s="9"/>
      <c r="G95" s="9"/>
      <c r="H95" s="9"/>
      <c r="I95" s="9"/>
      <c r="J95" s="9"/>
      <c r="K95" s="9"/>
      <c r="L95" s="9"/>
      <c r="M95" s="9"/>
      <c r="N95" s="9"/>
    </row>
    <row r="96" spans="2:14" x14ac:dyDescent="0.2">
      <c r="B96" s="16"/>
    </row>
    <row r="97" spans="2:2" x14ac:dyDescent="0.2">
      <c r="B97" s="16"/>
    </row>
    <row r="98" spans="2:2" x14ac:dyDescent="0.2">
      <c r="B98" s="16"/>
    </row>
    <row r="99" spans="2:2" x14ac:dyDescent="0.2">
      <c r="B99" s="16"/>
    </row>
    <row r="100" spans="2:2" x14ac:dyDescent="0.2">
      <c r="B100" s="16"/>
    </row>
    <row r="101" spans="2:2" x14ac:dyDescent="0.2">
      <c r="B101" s="16"/>
    </row>
    <row r="102" spans="2:2" x14ac:dyDescent="0.2">
      <c r="B102" s="16"/>
    </row>
    <row r="103" spans="2:2" x14ac:dyDescent="0.2">
      <c r="B103" s="16"/>
    </row>
    <row r="104" spans="2:2" x14ac:dyDescent="0.2">
      <c r="B104" s="16"/>
    </row>
    <row r="105" spans="2:2" x14ac:dyDescent="0.2">
      <c r="B105" s="16"/>
    </row>
    <row r="106" spans="2:2" x14ac:dyDescent="0.2">
      <c r="B106" s="16"/>
    </row>
    <row r="107" spans="2:2" x14ac:dyDescent="0.2">
      <c r="B107" s="16"/>
    </row>
    <row r="108" spans="2:2" x14ac:dyDescent="0.2">
      <c r="B108" s="16"/>
    </row>
    <row r="109" spans="2:2" x14ac:dyDescent="0.2">
      <c r="B109" s="16"/>
    </row>
    <row r="110" spans="2:2" x14ac:dyDescent="0.2">
      <c r="B110" s="16"/>
    </row>
    <row r="111" spans="2:2" x14ac:dyDescent="0.2">
      <c r="B111" s="16"/>
    </row>
    <row r="112" spans="2:2" x14ac:dyDescent="0.2">
      <c r="B112" s="16"/>
    </row>
    <row r="113" spans="2:2" x14ac:dyDescent="0.2">
      <c r="B113" s="16"/>
    </row>
    <row r="114" spans="2:2" x14ac:dyDescent="0.2">
      <c r="B114" s="16"/>
    </row>
    <row r="115" spans="2:2" x14ac:dyDescent="0.2">
      <c r="B115" s="16"/>
    </row>
    <row r="116" spans="2:2" x14ac:dyDescent="0.2">
      <c r="B116" s="16"/>
    </row>
    <row r="117" spans="2:2" x14ac:dyDescent="0.2">
      <c r="B117" s="16"/>
    </row>
    <row r="118" spans="2:2" x14ac:dyDescent="0.2">
      <c r="B118" s="16"/>
    </row>
    <row r="119" spans="2:2" x14ac:dyDescent="0.2">
      <c r="B119" s="16"/>
    </row>
    <row r="120" spans="2:2" x14ac:dyDescent="0.2">
      <c r="B120" s="16"/>
    </row>
    <row r="121" spans="2:2" x14ac:dyDescent="0.2">
      <c r="B121" s="16"/>
    </row>
    <row r="122" spans="2:2" x14ac:dyDescent="0.2">
      <c r="B122" s="16"/>
    </row>
    <row r="123" spans="2:2" x14ac:dyDescent="0.2">
      <c r="B123" s="16"/>
    </row>
    <row r="124" spans="2:2" x14ac:dyDescent="0.2">
      <c r="B124" s="16"/>
    </row>
    <row r="125" spans="2:2" x14ac:dyDescent="0.2">
      <c r="B125" s="16"/>
    </row>
    <row r="126" spans="2:2" x14ac:dyDescent="0.2">
      <c r="B126" s="16"/>
    </row>
    <row r="127" spans="2:2" x14ac:dyDescent="0.2">
      <c r="B127" s="16"/>
    </row>
    <row r="128" spans="2:2" x14ac:dyDescent="0.2">
      <c r="B128" s="16"/>
    </row>
    <row r="129" spans="2:2" x14ac:dyDescent="0.2">
      <c r="B129" s="16"/>
    </row>
    <row r="130" spans="2:2" x14ac:dyDescent="0.2">
      <c r="B130" s="16"/>
    </row>
    <row r="131" spans="2:2" x14ac:dyDescent="0.2">
      <c r="B131" s="16"/>
    </row>
    <row r="132" spans="2:2" x14ac:dyDescent="0.2">
      <c r="B132" s="16"/>
    </row>
    <row r="133" spans="2:2" x14ac:dyDescent="0.2">
      <c r="B133" s="16"/>
    </row>
    <row r="134" spans="2:2" x14ac:dyDescent="0.2">
      <c r="B134" s="16"/>
    </row>
    <row r="135" spans="2:2" x14ac:dyDescent="0.2">
      <c r="B135" s="16"/>
    </row>
    <row r="136" spans="2:2" x14ac:dyDescent="0.2">
      <c r="B136" s="16"/>
    </row>
    <row r="137" spans="2:2" x14ac:dyDescent="0.2">
      <c r="B137" s="16"/>
    </row>
    <row r="138" spans="2:2" x14ac:dyDescent="0.2">
      <c r="B138" s="16"/>
    </row>
    <row r="139" spans="2:2" x14ac:dyDescent="0.2">
      <c r="B139" s="16"/>
    </row>
    <row r="140" spans="2:2" x14ac:dyDescent="0.2">
      <c r="B140" s="16"/>
    </row>
    <row r="141" spans="2:2" x14ac:dyDescent="0.2">
      <c r="B141" s="16"/>
    </row>
    <row r="142" spans="2:2" x14ac:dyDescent="0.2">
      <c r="B142" s="16"/>
    </row>
    <row r="143" spans="2:2" x14ac:dyDescent="0.2">
      <c r="B143" s="16"/>
    </row>
    <row r="144" spans="2:2" x14ac:dyDescent="0.2">
      <c r="B144" s="16"/>
    </row>
    <row r="145" spans="2:2" x14ac:dyDescent="0.2">
      <c r="B145" s="16"/>
    </row>
    <row r="146" spans="2:2" x14ac:dyDescent="0.2">
      <c r="B146" s="16"/>
    </row>
  </sheetData>
  <mergeCells count="20">
    <mergeCell ref="D59:G59"/>
    <mergeCell ref="D60:G60"/>
    <mergeCell ref="D61:G61"/>
    <mergeCell ref="D52:E52"/>
    <mergeCell ref="F52:G52"/>
    <mergeCell ref="D53:E53"/>
    <mergeCell ref="F53:G53"/>
    <mergeCell ref="D58:G58"/>
    <mergeCell ref="D50:E50"/>
    <mergeCell ref="F50:G50"/>
    <mergeCell ref="H50:I50"/>
    <mergeCell ref="J50:K50"/>
    <mergeCell ref="H53:I53"/>
    <mergeCell ref="J53:K53"/>
    <mergeCell ref="D51:E51"/>
    <mergeCell ref="F51:G51"/>
    <mergeCell ref="H51:I51"/>
    <mergeCell ref="J51:K51"/>
    <mergeCell ref="H52:I52"/>
    <mergeCell ref="J52:K52"/>
  </mergeCells>
  <dataValidations count="2">
    <dataValidation type="list" allowBlank="1" showInputMessage="1" showErrorMessage="1" sqref="D5">
      <formula1>"1. Not Started,2. Analyzing,3. Ready"</formula1>
    </dataValidation>
    <dataValidation type="list" allowBlank="1" showInputMessage="1" showErrorMessage="1" sqref="D9">
      <formula1>DEFINED_MEASURES</formula1>
    </dataValidation>
  </dataValidation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3"/>
  </sheetPr>
  <dimension ref="A1:AD136"/>
  <sheetViews>
    <sheetView workbookViewId="0"/>
  </sheetViews>
  <sheetFormatPr defaultColWidth="9.33203125" defaultRowHeight="11.25" x14ac:dyDescent="0.2"/>
  <cols>
    <col min="1" max="2" width="3.33203125" style="6" customWidth="1"/>
    <col min="3" max="3" width="22.6640625" style="6" bestFit="1" customWidth="1"/>
    <col min="4" max="4" width="14.33203125" style="6" customWidth="1"/>
    <col min="5" max="5" width="16.33203125" style="6" customWidth="1"/>
    <col min="6" max="6" width="15" style="6" customWidth="1"/>
    <col min="7" max="7" width="13.5" style="6" customWidth="1"/>
    <col min="8" max="8" width="16.83203125" style="6" customWidth="1"/>
    <col min="9" max="9" width="22.33203125" style="6" bestFit="1" customWidth="1"/>
    <col min="10" max="10" width="20.5" style="6" bestFit="1" customWidth="1"/>
    <col min="11"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93" t="s">
        <v>95</v>
      </c>
      <c r="E9" s="7" t="s">
        <v>290</v>
      </c>
    </row>
    <row r="10" spans="1:30" ht="12.75" x14ac:dyDescent="0.2">
      <c r="B10" s="16"/>
      <c r="C10" s="30" t="s">
        <v>289</v>
      </c>
      <c r="D10" s="83" t="str">
        <f>INDEX(Tbl_MeasureList[Baseline ID],MATCH($D$9,Tbl_MeasureList[Measure ID],0))</f>
        <v>BASE06</v>
      </c>
      <c r="E10" s="7"/>
    </row>
    <row r="11" spans="1:30" x14ac:dyDescent="0.2">
      <c r="B11" s="16"/>
      <c r="C11" s="7"/>
      <c r="D11" s="7"/>
      <c r="E11" s="7"/>
    </row>
    <row r="12" spans="1:30" ht="12" thickBot="1" x14ac:dyDescent="0.25">
      <c r="B12" s="16"/>
      <c r="C12" s="7"/>
      <c r="D12" s="89" t="s">
        <v>5</v>
      </c>
      <c r="E12" s="89" t="s">
        <v>284</v>
      </c>
    </row>
    <row r="13" spans="1:30" x14ac:dyDescent="0.2">
      <c r="B13" s="16"/>
      <c r="C13" s="32" t="s">
        <v>2</v>
      </c>
      <c r="D13" s="84" t="str">
        <f>INDEX(Tbl_MeasureList[Baseline Equipment ID],MATCH($D$9,Tbl_MeasureList[Measure ID],0))</f>
        <v>EQUI009</v>
      </c>
      <c r="E13" s="84" t="str">
        <f>INDEX(Tbl_MeasureList[Replacement ID],MATCH($D$9,Tbl_MeasureList[Measure ID],0))</f>
        <v>EQUI016</v>
      </c>
      <c r="F13" s="7"/>
    </row>
    <row r="14" spans="1:30" x14ac:dyDescent="0.2">
      <c r="B14" s="16"/>
      <c r="C14" s="32" t="s">
        <v>4</v>
      </c>
      <c r="D14" s="85" t="str">
        <f>INDEX(Tbl_EquipmentDefinitions[[Equipment Name]:[Equipment Name]],MATCH(D$13,Tbl_EquipmentDefinitions[[Equipment ID]:[Equipment ID]],0))</f>
        <v>Propane Boiler</v>
      </c>
      <c r="E14" s="85" t="str">
        <f>INDEX(Tbl_EquipmentDefinitions[[Equipment Name]:[Equipment Name]],MATCH(E$13,Tbl_EquipmentDefinitions[[Equipment ID]:[Equipment ID]],0))</f>
        <v>Gas Boiler</v>
      </c>
      <c r="F14" s="7"/>
    </row>
    <row r="15" spans="1:30" x14ac:dyDescent="0.2">
      <c r="B15" s="16"/>
      <c r="C15" s="32" t="s">
        <v>24</v>
      </c>
      <c r="D15" s="84" t="str">
        <f>INDEX(Tbl_EquipmentDefinitions[[Function]:[Function]],MATCH(D$13,Tbl_EquipmentDefinitions[[Equipment ID]:[Equipment ID]],0))</f>
        <v>Heat</v>
      </c>
      <c r="E15" s="84" t="str">
        <f>INDEX(Tbl_EquipmentDefinitions[[Function]:[Function]],MATCH(E$13,Tbl_EquipmentDefinitions[[Equipment ID]:[Equipment ID]],0))</f>
        <v>Heat</v>
      </c>
      <c r="F15" s="7"/>
    </row>
    <row r="16" spans="1:30" x14ac:dyDescent="0.2">
      <c r="B16" s="16"/>
      <c r="C16" s="32" t="s">
        <v>7</v>
      </c>
      <c r="D16" s="85" t="str">
        <f>INDEX(Tbl_EquipmentDefinitions[[Fuel Type]:[Fuel Type]],MATCH(D$13,Tbl_EquipmentDefinitions[[Equipment ID]:[Equipment ID]],0))</f>
        <v>Propane</v>
      </c>
      <c r="E16" s="85" t="str">
        <f>INDEX(Tbl_EquipmentDefinitions[[Fuel Type]:[Fuel Type]],MATCH(E$13,Tbl_EquipmentDefinitions[[Equipment ID]:[Equipment ID]],0))</f>
        <v>Natural Gas</v>
      </c>
      <c r="F16" s="7"/>
    </row>
    <row r="17" spans="2:14" x14ac:dyDescent="0.2">
      <c r="B17" s="16"/>
      <c r="C17" s="32" t="s">
        <v>126</v>
      </c>
      <c r="D17" s="84">
        <f>IF(ISERR(SEARCH("+",D16,1)),1,2)</f>
        <v>1</v>
      </c>
      <c r="E17" s="84">
        <f>IF(ISERR(SEARCH("+",E16,1)),1,2)</f>
        <v>1</v>
      </c>
      <c r="F17" s="7"/>
    </row>
    <row r="18" spans="2:14" x14ac:dyDescent="0.2">
      <c r="B18" s="16"/>
      <c r="C18" s="32" t="s">
        <v>155</v>
      </c>
      <c r="D18" s="86">
        <f>INDEX(Tbl_BaselineSummary[Space Heating Load (MMBtu/yr)],MATCH($D$10,Tbl_BaselineSummary[Baseline ID],0))</f>
        <v>76.7</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11.3</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89" t="s">
        <v>127</v>
      </c>
      <c r="D25" s="281" t="s">
        <v>345</v>
      </c>
      <c r="E25" s="385" t="s">
        <v>956</v>
      </c>
      <c r="F25" s="281" t="s">
        <v>326</v>
      </c>
      <c r="G25" s="421" t="s">
        <v>1532</v>
      </c>
      <c r="H25" s="385" t="s">
        <v>958</v>
      </c>
      <c r="I25" s="569" t="s">
        <v>1447</v>
      </c>
      <c r="J25" s="569" t="s">
        <v>1448</v>
      </c>
      <c r="L25" s="89" t="s">
        <v>1533</v>
      </c>
      <c r="M25" s="421" t="s">
        <v>1531</v>
      </c>
    </row>
    <row r="26" spans="2:14" ht="11.25" customHeight="1" x14ac:dyDescent="0.2">
      <c r="B26" s="16"/>
      <c r="C26" s="32" t="s">
        <v>6</v>
      </c>
      <c r="D26" s="122">
        <f>D76</f>
        <v>197</v>
      </c>
      <c r="E26" s="149">
        <f>D85</f>
        <v>3.0220517737296261E-2</v>
      </c>
      <c r="F26" s="122">
        <f>D26*PRICE_PER_KWH_2018_ELECTRICITY</f>
        <v>38.9666</v>
      </c>
      <c r="G26" s="40">
        <v>0</v>
      </c>
      <c r="H26" s="139">
        <v>0</v>
      </c>
      <c r="I26" s="39">
        <v>0</v>
      </c>
      <c r="J26" s="122">
        <f>D76</f>
        <v>197</v>
      </c>
      <c r="L26" s="84">
        <f t="shared" ref="L26:M28" si="0">F26+E32+E38+E44</f>
        <v>1599.0813540983609</v>
      </c>
      <c r="M26" s="86">
        <f t="shared" si="0"/>
        <v>11642</v>
      </c>
    </row>
    <row r="27" spans="2:14" x14ac:dyDescent="0.2">
      <c r="B27" s="16"/>
      <c r="C27" s="32" t="s">
        <v>19</v>
      </c>
      <c r="D27" s="122">
        <f>D77</f>
        <v>329</v>
      </c>
      <c r="E27" s="149">
        <f>D86</f>
        <v>5.0469798657718119E-2</v>
      </c>
      <c r="F27" s="122">
        <f>D27*PRICE_PER_KWH_2018_ELECTRICITY</f>
        <v>65.0762</v>
      </c>
      <c r="G27" s="40">
        <v>0</v>
      </c>
      <c r="H27" s="139">
        <v>0</v>
      </c>
      <c r="I27" s="39">
        <v>0</v>
      </c>
      <c r="J27" s="122">
        <f t="shared" ref="J27:J28" si="1">D77</f>
        <v>329</v>
      </c>
      <c r="L27" s="84">
        <f t="shared" si="0"/>
        <v>1483.8502825688074</v>
      </c>
      <c r="M27" s="86">
        <f t="shared" si="0"/>
        <v>14810</v>
      </c>
    </row>
    <row r="28" spans="2:14" x14ac:dyDescent="0.2">
      <c r="B28" s="16"/>
      <c r="C28" s="32" t="s">
        <v>20</v>
      </c>
      <c r="D28" s="122">
        <f>D78</f>
        <v>312</v>
      </c>
      <c r="E28" s="149">
        <f>D87</f>
        <v>4.7861936720997124E-2</v>
      </c>
      <c r="F28" s="122">
        <f>D28*PRICE_PER_KWH_2018_ELECTRICITY</f>
        <v>61.7136</v>
      </c>
      <c r="G28" s="40">
        <v>0</v>
      </c>
      <c r="H28" s="139">
        <v>0</v>
      </c>
      <c r="I28" s="39">
        <v>0</v>
      </c>
      <c r="J28" s="122">
        <f t="shared" si="1"/>
        <v>312</v>
      </c>
      <c r="L28" s="84">
        <f t="shared" si="0"/>
        <v>1445.5737789709174</v>
      </c>
      <c r="M28" s="86">
        <f t="shared" si="0"/>
        <v>15071</v>
      </c>
    </row>
    <row r="29" spans="2:14" x14ac:dyDescent="0.2">
      <c r="B29" s="16"/>
    </row>
    <row r="30" spans="2:14" ht="12.75" thickBot="1" x14ac:dyDescent="0.25">
      <c r="B30" s="16"/>
      <c r="C30" s="34" t="s">
        <v>55</v>
      </c>
      <c r="D30" s="34"/>
      <c r="E30" s="33"/>
      <c r="F30" s="33"/>
    </row>
    <row r="31" spans="2:14" ht="34.5" thickBot="1" x14ac:dyDescent="0.25">
      <c r="B31" s="16"/>
      <c r="C31" s="89" t="s">
        <v>127</v>
      </c>
      <c r="D31" s="281" t="s">
        <v>325</v>
      </c>
      <c r="E31" s="281" t="s">
        <v>326</v>
      </c>
      <c r="F31" s="421" t="s">
        <v>1532</v>
      </c>
    </row>
    <row r="32" spans="2:14" x14ac:dyDescent="0.2">
      <c r="B32" s="16"/>
      <c r="C32" s="32" t="s">
        <v>6</v>
      </c>
      <c r="D32" s="122">
        <f>D72</f>
        <v>967.21311475409834</v>
      </c>
      <c r="E32" s="111">
        <f>D32*PRICE_PER_THERM_2018_NATURALGAS</f>
        <v>1560.1147540983609</v>
      </c>
      <c r="F32" s="111">
        <f>6042+$D$90+$D$92</f>
        <v>11642</v>
      </c>
      <c r="G32" s="7" t="s">
        <v>128</v>
      </c>
    </row>
    <row r="33" spans="2:14" x14ac:dyDescent="0.2">
      <c r="B33" s="16"/>
      <c r="C33" s="32" t="s">
        <v>19</v>
      </c>
      <c r="D33" s="122">
        <f>D73</f>
        <v>879.58715596330273</v>
      </c>
      <c r="E33" s="111">
        <f>D33*PRICE_PER_THERM_2018_NATURALGAS</f>
        <v>1418.7740825688074</v>
      </c>
      <c r="F33" s="111">
        <f>9210+$D$90+$D$92</f>
        <v>14810</v>
      </c>
    </row>
    <row r="34" spans="2:14" x14ac:dyDescent="0.2">
      <c r="B34" s="16"/>
      <c r="C34" s="32" t="s">
        <v>20</v>
      </c>
      <c r="D34" s="122">
        <f>D74</f>
        <v>857.94183445190151</v>
      </c>
      <c r="E34" s="111">
        <f>D34*PRICE_PER_THERM_2018_NATURALGAS</f>
        <v>1383.8601789709173</v>
      </c>
      <c r="F34" s="111">
        <f>9471+$D$90+$D$92</f>
        <v>15071</v>
      </c>
    </row>
    <row r="35" spans="2:14" x14ac:dyDescent="0.2">
      <c r="B35" s="16"/>
    </row>
    <row r="36" spans="2:14" ht="12.75" thickBot="1" x14ac:dyDescent="0.25">
      <c r="B36" s="16"/>
      <c r="C36" s="34" t="s">
        <v>28</v>
      </c>
      <c r="D36" s="34"/>
      <c r="E36" s="33"/>
      <c r="F36" s="33"/>
    </row>
    <row r="37" spans="2:14" ht="34.5" thickBot="1" x14ac:dyDescent="0.25">
      <c r="B37" s="16"/>
      <c r="C37" s="89" t="s">
        <v>127</v>
      </c>
      <c r="D37" s="281" t="s">
        <v>756</v>
      </c>
      <c r="E37" s="281" t="s">
        <v>326</v>
      </c>
      <c r="F37" s="421"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34.5" thickBot="1" x14ac:dyDescent="0.25">
      <c r="B43" s="16"/>
      <c r="C43" s="89" t="s">
        <v>127</v>
      </c>
      <c r="D43" s="281" t="s">
        <v>756</v>
      </c>
      <c r="E43" s="281" t="s">
        <v>326</v>
      </c>
      <c r="F43" s="421" t="s">
        <v>1532</v>
      </c>
    </row>
    <row r="44" spans="2:14" x14ac:dyDescent="0.2">
      <c r="B44" s="16"/>
      <c r="C44" s="32" t="s">
        <v>6</v>
      </c>
      <c r="D44" s="40">
        <v>0</v>
      </c>
      <c r="E44" s="39">
        <v>0</v>
      </c>
      <c r="F44" s="39">
        <v>0</v>
      </c>
      <c r="G44" s="7" t="s">
        <v>128</v>
      </c>
    </row>
    <row r="45" spans="2:14" x14ac:dyDescent="0.2">
      <c r="B45" s="16"/>
      <c r="C45" s="32" t="s">
        <v>19</v>
      </c>
      <c r="D45" s="40">
        <v>0</v>
      </c>
      <c r="E45" s="39">
        <v>0</v>
      </c>
      <c r="F45" s="39">
        <v>0</v>
      </c>
    </row>
    <row r="46" spans="2:14" x14ac:dyDescent="0.2">
      <c r="B46" s="16"/>
      <c r="C46" s="32" t="s">
        <v>20</v>
      </c>
      <c r="D46" s="40">
        <v>0</v>
      </c>
      <c r="E46" s="39">
        <v>0</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v>
      </c>
      <c r="E51" s="690"/>
      <c r="F51" s="693" t="str">
        <f>INDEX(Tbl_EquipmentDefinitions[Natural Gas Code Efficiency],MATCH($E$13,Tbl_EquipmentDefinitions[Equipment ID],0))</f>
        <v>82% AFUE (79.3% actual)</v>
      </c>
      <c r="G51" s="690"/>
      <c r="H51" s="693" t="str">
        <f>INDEX(Tbl_EquipmentDefinitions[Propane Code Efficiency],MATCH($E$13,Tbl_EquipmentDefinitions[Equipment ID],0))</f>
        <v>-</v>
      </c>
      <c r="I51" s="690"/>
      <c r="J51" s="693" t="str">
        <f>INDEX(Tbl_EquipmentDefinitions[Oil Code Efficiency],MATCH($E$13,Tbl_EquipmentDefinitions[Equipment ID],0))</f>
        <v>-</v>
      </c>
      <c r="K51" s="690"/>
    </row>
    <row r="52" spans="2:14" ht="12.75" x14ac:dyDescent="0.2">
      <c r="B52" s="16"/>
      <c r="C52" s="30" t="s">
        <v>153</v>
      </c>
      <c r="D52" s="689" t="str">
        <f>INDEX(Tbl_EquipmentDefinitions[Electricity Low Measure Efficiency],MATCH($E$13,Tbl_EquipmentDefinitions[Equipment ID],0))</f>
        <v>-</v>
      </c>
      <c r="E52" s="690"/>
      <c r="F52" s="689" t="str">
        <f>INDEX(Tbl_EquipmentDefinitions[Natural Gas Low Measure Efficiency],MATCH($E$13,Tbl_EquipmentDefinitions[Equipment ID],0))</f>
        <v>90% AFUE (87.2% actual)</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v>
      </c>
      <c r="E53" s="690"/>
      <c r="F53" s="689" t="str">
        <f>INDEX(Tbl_EquipmentDefinitions[Natural Gas High Measure Efficiency],MATCH($E$13,Tbl_EquipmentDefinitions[Equipment ID],0))</f>
        <v>95% AFUE (89.4% actual)</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134" t="s">
        <v>131</v>
      </c>
      <c r="D58" s="691" t="s">
        <v>132</v>
      </c>
      <c r="E58" s="692"/>
      <c r="F58" s="692"/>
      <c r="G58" s="692"/>
    </row>
    <row r="59" spans="2:14" x14ac:dyDescent="0.2">
      <c r="B59" s="16"/>
      <c r="C59" s="32" t="s">
        <v>309</v>
      </c>
      <c r="D59" s="698" t="s">
        <v>370</v>
      </c>
      <c r="E59" s="699"/>
      <c r="F59" s="699"/>
      <c r="G59" s="699"/>
    </row>
    <row r="60" spans="2:14" x14ac:dyDescent="0.2">
      <c r="B60" s="16"/>
      <c r="C60" s="32" t="s">
        <v>436</v>
      </c>
      <c r="D60" s="698" t="s">
        <v>437</v>
      </c>
      <c r="E60" s="699"/>
      <c r="F60" s="699"/>
      <c r="G60" s="699"/>
    </row>
    <row r="61" spans="2:14" x14ac:dyDescent="0.2">
      <c r="B61" s="16"/>
      <c r="C61" s="32" t="s">
        <v>438</v>
      </c>
      <c r="D61" s="698" t="s">
        <v>439</v>
      </c>
      <c r="E61" s="699"/>
      <c r="F61" s="699"/>
      <c r="G61" s="699"/>
    </row>
    <row r="62" spans="2:14" x14ac:dyDescent="0.2">
      <c r="B62" s="16"/>
    </row>
    <row r="64" spans="2:14" ht="13.5" thickBot="1" x14ac:dyDescent="0.25">
      <c r="B64" s="9" t="s">
        <v>129</v>
      </c>
      <c r="C64" s="9"/>
      <c r="D64" s="9"/>
      <c r="E64" s="9"/>
      <c r="F64" s="9"/>
      <c r="G64" s="9"/>
      <c r="H64" s="9"/>
      <c r="I64" s="9"/>
      <c r="J64" s="9"/>
      <c r="K64" s="9"/>
      <c r="L64" s="9"/>
      <c r="M64" s="9"/>
      <c r="N64" s="9"/>
    </row>
    <row r="65" spans="2:6" x14ac:dyDescent="0.2">
      <c r="B65" s="15"/>
    </row>
    <row r="66" spans="2:6" ht="12.75" x14ac:dyDescent="0.2">
      <c r="B66" s="16"/>
      <c r="C66" s="30" t="s">
        <v>155</v>
      </c>
      <c r="D66" s="151">
        <f>$D$18</f>
        <v>76.7</v>
      </c>
      <c r="E66" s="6" t="s">
        <v>156</v>
      </c>
      <c r="F66" s="6" t="s">
        <v>382</v>
      </c>
    </row>
    <row r="67" spans="2:6" x14ac:dyDescent="0.2">
      <c r="B67" s="16"/>
    </row>
    <row r="68" spans="2:6" ht="12.75" x14ac:dyDescent="0.2">
      <c r="B68" s="16"/>
      <c r="C68" s="30" t="s">
        <v>159</v>
      </c>
      <c r="D68" s="150">
        <v>0.79300000000000004</v>
      </c>
      <c r="E68" s="6" t="s">
        <v>158</v>
      </c>
      <c r="F68" s="45" t="s">
        <v>371</v>
      </c>
    </row>
    <row r="69" spans="2:6" ht="12.75" x14ac:dyDescent="0.2">
      <c r="B69" s="16"/>
      <c r="C69" s="36" t="s">
        <v>180</v>
      </c>
      <c r="D69" s="150">
        <v>0.872</v>
      </c>
      <c r="E69" s="6" t="s">
        <v>158</v>
      </c>
      <c r="F69" s="8"/>
    </row>
    <row r="70" spans="2:6" ht="12.75" x14ac:dyDescent="0.2">
      <c r="B70" s="16"/>
      <c r="C70" s="36" t="s">
        <v>181</v>
      </c>
      <c r="D70" s="150">
        <v>0.89400000000000002</v>
      </c>
      <c r="E70" s="6" t="s">
        <v>158</v>
      </c>
      <c r="F70" s="8"/>
    </row>
    <row r="71" spans="2:6" x14ac:dyDescent="0.2">
      <c r="B71" s="16"/>
    </row>
    <row r="72" spans="2:6" ht="12.75" x14ac:dyDescent="0.2">
      <c r="B72" s="16"/>
      <c r="C72" s="36" t="s">
        <v>430</v>
      </c>
      <c r="D72" s="41">
        <f>Therm_per_MMBtu*$D$66/D68</f>
        <v>967.21311475409834</v>
      </c>
      <c r="E72" s="6" t="s">
        <v>372</v>
      </c>
      <c r="F72" s="45" t="s">
        <v>305</v>
      </c>
    </row>
    <row r="73" spans="2:6" ht="12.75" x14ac:dyDescent="0.2">
      <c r="B73" s="16"/>
      <c r="C73" s="36" t="s">
        <v>431</v>
      </c>
      <c r="D73" s="41">
        <f>Therm_per_MMBtu*$D$66/D69</f>
        <v>879.58715596330273</v>
      </c>
      <c r="E73" s="6" t="s">
        <v>372</v>
      </c>
    </row>
    <row r="74" spans="2:6" ht="12.75" x14ac:dyDescent="0.2">
      <c r="B74" s="16"/>
      <c r="C74" s="36" t="s">
        <v>432</v>
      </c>
      <c r="D74" s="41">
        <f>Therm_per_MMBtu*$D$66/D70</f>
        <v>857.94183445190151</v>
      </c>
      <c r="E74" s="6" t="s">
        <v>372</v>
      </c>
    </row>
    <row r="75" spans="2:6" x14ac:dyDescent="0.2">
      <c r="B75" s="16"/>
    </row>
    <row r="76" spans="2:6" ht="12.75" x14ac:dyDescent="0.2">
      <c r="B76" s="16"/>
      <c r="C76" s="30" t="s">
        <v>408</v>
      </c>
      <c r="D76" s="88">
        <v>197</v>
      </c>
      <c r="E76" s="6" t="s">
        <v>434</v>
      </c>
      <c r="F76" s="6" t="s">
        <v>435</v>
      </c>
    </row>
    <row r="77" spans="2:6" ht="12.75" x14ac:dyDescent="0.2">
      <c r="B77" s="16"/>
      <c r="C77" s="30" t="s">
        <v>409</v>
      </c>
      <c r="D77" s="88">
        <v>329</v>
      </c>
      <c r="E77" s="6" t="s">
        <v>434</v>
      </c>
      <c r="F77" s="6" t="s">
        <v>435</v>
      </c>
    </row>
    <row r="78" spans="2:6" ht="12.75" x14ac:dyDescent="0.2">
      <c r="B78" s="16"/>
      <c r="C78" s="30" t="s">
        <v>433</v>
      </c>
      <c r="D78" s="88">
        <v>312</v>
      </c>
      <c r="E78" s="6" t="s">
        <v>434</v>
      </c>
      <c r="F78" s="6" t="s">
        <v>435</v>
      </c>
    </row>
    <row r="79" spans="2:6" x14ac:dyDescent="0.2">
      <c r="B79" s="16"/>
    </row>
    <row r="80" spans="2:6" x14ac:dyDescent="0.2">
      <c r="B80" s="16"/>
      <c r="C80" s="5" t="s">
        <v>422</v>
      </c>
      <c r="D80" s="146">
        <f>AVERAGE(530,984,1329,1329)</f>
        <v>1043</v>
      </c>
      <c r="E80" s="6" t="s">
        <v>397</v>
      </c>
      <c r="F80" s="6" t="s">
        <v>423</v>
      </c>
    </row>
    <row r="81" spans="2:14" x14ac:dyDescent="0.2">
      <c r="B81" s="16"/>
    </row>
    <row r="82" spans="2:14" x14ac:dyDescent="0.2">
      <c r="B82" s="16"/>
      <c r="C82" s="6" t="s">
        <v>740</v>
      </c>
    </row>
    <row r="83" spans="2:14" x14ac:dyDescent="0.2">
      <c r="B83" s="16"/>
      <c r="C83" s="155" t="s">
        <v>949</v>
      </c>
      <c r="D83" s="146">
        <v>0.16</v>
      </c>
    </row>
    <row r="84" spans="2:14" x14ac:dyDescent="0.2">
      <c r="B84" s="16"/>
    </row>
    <row r="85" spans="2:14" x14ac:dyDescent="0.2">
      <c r="B85" s="16"/>
      <c r="C85" s="5" t="s">
        <v>425</v>
      </c>
      <c r="D85" s="145">
        <f>$D$83*D76/$D$80</f>
        <v>3.0220517737296261E-2</v>
      </c>
      <c r="E85" s="5" t="s">
        <v>176</v>
      </c>
    </row>
    <row r="86" spans="2:14" x14ac:dyDescent="0.2">
      <c r="B86" s="16"/>
      <c r="C86" s="5" t="s">
        <v>440</v>
      </c>
      <c r="D86" s="145">
        <f>$D$83*D77/$D$80</f>
        <v>5.0469798657718119E-2</v>
      </c>
      <c r="E86" s="5" t="s">
        <v>176</v>
      </c>
    </row>
    <row r="87" spans="2:14" x14ac:dyDescent="0.2">
      <c r="B87" s="16"/>
      <c r="C87" s="5" t="s">
        <v>441</v>
      </c>
      <c r="D87" s="145">
        <f>$D$83*D78/$D$80</f>
        <v>4.7861936720997124E-2</v>
      </c>
      <c r="E87" s="5" t="s">
        <v>176</v>
      </c>
    </row>
    <row r="88" spans="2:14" x14ac:dyDescent="0.2">
      <c r="B88" s="16"/>
    </row>
    <row r="89" spans="2:14" ht="12.75" x14ac:dyDescent="0.2">
      <c r="B89" s="16"/>
      <c r="C89" s="36" t="s">
        <v>1181</v>
      </c>
      <c r="D89" s="41" t="str">
        <f>INPUT_INCLUDEGASLINE</f>
        <v>Yes</v>
      </c>
    </row>
    <row r="90" spans="2:14" ht="12.75" x14ac:dyDescent="0.2">
      <c r="B90" s="16"/>
      <c r="C90" s="36" t="s">
        <v>1182</v>
      </c>
      <c r="D90" s="233">
        <f>IF(D89="No",0,INPUT_GASLINECOST)</f>
        <v>5600</v>
      </c>
      <c r="E90" s="188" t="s">
        <v>1180</v>
      </c>
    </row>
    <row r="91" spans="2:14" x14ac:dyDescent="0.2">
      <c r="B91" s="16"/>
      <c r="C91" s="188"/>
      <c r="D91" s="188"/>
      <c r="E91" s="188"/>
    </row>
    <row r="92" spans="2:14" ht="12.75" x14ac:dyDescent="0.2">
      <c r="B92" s="16"/>
      <c r="C92" s="420" t="s">
        <v>1196</v>
      </c>
      <c r="D92" s="146">
        <v>0</v>
      </c>
      <c r="E92" s="188" t="s">
        <v>1180</v>
      </c>
      <c r="F92" s="8" t="s">
        <v>1340</v>
      </c>
    </row>
    <row r="93" spans="2:14" x14ac:dyDescent="0.2">
      <c r="B93" s="16"/>
    </row>
    <row r="95" spans="2:14" ht="13.5" thickBot="1" x14ac:dyDescent="0.25">
      <c r="B95" s="9" t="s">
        <v>322</v>
      </c>
      <c r="C95" s="9"/>
      <c r="D95" s="9"/>
      <c r="E95" s="9"/>
      <c r="F95" s="9"/>
      <c r="G95" s="9"/>
      <c r="H95" s="9"/>
      <c r="I95" s="9"/>
      <c r="J95" s="9"/>
      <c r="K95" s="9"/>
      <c r="L95" s="9"/>
      <c r="M95" s="9"/>
      <c r="N95" s="9"/>
    </row>
    <row r="96" spans="2:14" x14ac:dyDescent="0.2">
      <c r="B96" s="16"/>
    </row>
    <row r="97" spans="2:2" x14ac:dyDescent="0.2">
      <c r="B97" s="16"/>
    </row>
    <row r="98" spans="2:2" x14ac:dyDescent="0.2">
      <c r="B98" s="16"/>
    </row>
    <row r="99" spans="2:2" x14ac:dyDescent="0.2">
      <c r="B99" s="16"/>
    </row>
    <row r="100" spans="2:2" x14ac:dyDescent="0.2">
      <c r="B100" s="16"/>
    </row>
    <row r="101" spans="2:2" x14ac:dyDescent="0.2">
      <c r="B101" s="16"/>
    </row>
    <row r="102" spans="2:2" x14ac:dyDescent="0.2">
      <c r="B102" s="16"/>
    </row>
    <row r="103" spans="2:2" x14ac:dyDescent="0.2">
      <c r="B103" s="16"/>
    </row>
    <row r="104" spans="2:2" x14ac:dyDescent="0.2">
      <c r="B104" s="16"/>
    </row>
    <row r="105" spans="2:2" x14ac:dyDescent="0.2">
      <c r="B105" s="16"/>
    </row>
    <row r="106" spans="2:2" x14ac:dyDescent="0.2">
      <c r="B106" s="16"/>
    </row>
    <row r="107" spans="2:2" x14ac:dyDescent="0.2">
      <c r="B107" s="16"/>
    </row>
    <row r="108" spans="2:2" x14ac:dyDescent="0.2">
      <c r="B108" s="16"/>
    </row>
    <row r="109" spans="2:2" x14ac:dyDescent="0.2">
      <c r="B109" s="16"/>
    </row>
    <row r="110" spans="2:2" x14ac:dyDescent="0.2">
      <c r="B110" s="16"/>
    </row>
    <row r="111" spans="2:2" x14ac:dyDescent="0.2">
      <c r="B111" s="16"/>
    </row>
    <row r="112" spans="2:2" x14ac:dyDescent="0.2">
      <c r="B112" s="16"/>
    </row>
    <row r="113" spans="2:2" x14ac:dyDescent="0.2">
      <c r="B113" s="16"/>
    </row>
    <row r="114" spans="2:2" x14ac:dyDescent="0.2">
      <c r="B114" s="16"/>
    </row>
    <row r="115" spans="2:2" x14ac:dyDescent="0.2">
      <c r="B115" s="16"/>
    </row>
    <row r="116" spans="2:2" x14ac:dyDescent="0.2">
      <c r="B116" s="16"/>
    </row>
    <row r="117" spans="2:2" x14ac:dyDescent="0.2">
      <c r="B117" s="16"/>
    </row>
    <row r="118" spans="2:2" x14ac:dyDescent="0.2">
      <c r="B118" s="16"/>
    </row>
    <row r="119" spans="2:2" x14ac:dyDescent="0.2">
      <c r="B119" s="16"/>
    </row>
    <row r="120" spans="2:2" x14ac:dyDescent="0.2">
      <c r="B120" s="16"/>
    </row>
    <row r="121" spans="2:2" x14ac:dyDescent="0.2">
      <c r="B121" s="16"/>
    </row>
    <row r="122" spans="2:2" x14ac:dyDescent="0.2">
      <c r="B122" s="16"/>
    </row>
    <row r="123" spans="2:2" x14ac:dyDescent="0.2">
      <c r="B123" s="16"/>
    </row>
    <row r="124" spans="2:2" x14ac:dyDescent="0.2">
      <c r="B124" s="16"/>
    </row>
    <row r="125" spans="2:2" x14ac:dyDescent="0.2">
      <c r="B125" s="16"/>
    </row>
    <row r="126" spans="2:2" x14ac:dyDescent="0.2">
      <c r="B126" s="16"/>
    </row>
    <row r="127" spans="2:2" x14ac:dyDescent="0.2">
      <c r="B127" s="16"/>
    </row>
    <row r="128" spans="2:2" x14ac:dyDescent="0.2">
      <c r="B128" s="16"/>
    </row>
    <row r="129" spans="2:2" x14ac:dyDescent="0.2">
      <c r="B129" s="16"/>
    </row>
    <row r="130" spans="2:2" x14ac:dyDescent="0.2">
      <c r="B130" s="16"/>
    </row>
    <row r="131" spans="2:2" x14ac:dyDescent="0.2">
      <c r="B131" s="16"/>
    </row>
    <row r="132" spans="2:2" x14ac:dyDescent="0.2">
      <c r="B132" s="16"/>
    </row>
    <row r="133" spans="2:2" x14ac:dyDescent="0.2">
      <c r="B133" s="16"/>
    </row>
    <row r="134" spans="2:2" x14ac:dyDescent="0.2">
      <c r="B134" s="16"/>
    </row>
    <row r="135" spans="2:2" x14ac:dyDescent="0.2">
      <c r="B135" s="16"/>
    </row>
    <row r="136" spans="2:2" x14ac:dyDescent="0.2">
      <c r="B136" s="16"/>
    </row>
  </sheetData>
  <mergeCells count="20">
    <mergeCell ref="D59:G59"/>
    <mergeCell ref="D60:G60"/>
    <mergeCell ref="D61:G61"/>
    <mergeCell ref="D52:E52"/>
    <mergeCell ref="F52:G52"/>
    <mergeCell ref="D53:E53"/>
    <mergeCell ref="F53:G53"/>
    <mergeCell ref="D58:G58"/>
    <mergeCell ref="D50:E50"/>
    <mergeCell ref="F50:G50"/>
    <mergeCell ref="H50:I50"/>
    <mergeCell ref="J50:K50"/>
    <mergeCell ref="H53:I53"/>
    <mergeCell ref="J53:K53"/>
    <mergeCell ref="D51:E51"/>
    <mergeCell ref="F51:G51"/>
    <mergeCell ref="H51:I51"/>
    <mergeCell ref="J51:K51"/>
    <mergeCell ref="H52:I52"/>
    <mergeCell ref="J52:K52"/>
  </mergeCells>
  <dataValidations count="2">
    <dataValidation type="list" allowBlank="1" showInputMessage="1" showErrorMessage="1" sqref="D9">
      <formula1>DEFINED_MEASURES</formula1>
    </dataValidation>
    <dataValidation type="list" allowBlank="1" showInputMessage="1" showErrorMessage="1" sqref="D5">
      <formula1>"1. Not Started,2. Analyzing,3. Ready"</formula1>
    </dataValidation>
  </dataValidation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3"/>
  </sheetPr>
  <dimension ref="A1:AD142"/>
  <sheetViews>
    <sheetView workbookViewId="0"/>
  </sheetViews>
  <sheetFormatPr defaultColWidth="9.33203125" defaultRowHeight="11.25" x14ac:dyDescent="0.2"/>
  <cols>
    <col min="1" max="2" width="3.33203125" style="6" customWidth="1"/>
    <col min="3" max="3" width="22.6640625" style="6" bestFit="1" customWidth="1"/>
    <col min="4" max="4" width="14.33203125" style="6" customWidth="1"/>
    <col min="5" max="5" width="16.33203125" style="6" customWidth="1"/>
    <col min="6" max="6" width="15" style="6" customWidth="1"/>
    <col min="7" max="7" width="13.5" style="6" customWidth="1"/>
    <col min="8" max="8" width="17" style="6" customWidth="1"/>
    <col min="9" max="9" width="22.33203125" style="6" bestFit="1" customWidth="1"/>
    <col min="10" max="10" width="20.5" style="6" bestFit="1" customWidth="1"/>
    <col min="11"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93" t="s">
        <v>96</v>
      </c>
      <c r="E9" s="7" t="s">
        <v>290</v>
      </c>
    </row>
    <row r="10" spans="1:30" ht="12.75" x14ac:dyDescent="0.2">
      <c r="B10" s="16"/>
      <c r="C10" s="30" t="s">
        <v>289</v>
      </c>
      <c r="D10" s="83" t="str">
        <f>INDEX(Tbl_MeasureList[Baseline ID],MATCH($D$9,Tbl_MeasureList[Measure ID],0))</f>
        <v>BASE09</v>
      </c>
      <c r="E10" s="7"/>
    </row>
    <row r="11" spans="1:30" x14ac:dyDescent="0.2">
      <c r="B11" s="16"/>
      <c r="C11" s="7"/>
      <c r="D11" s="7"/>
      <c r="E11" s="7"/>
    </row>
    <row r="12" spans="1:30" ht="12" thickBot="1" x14ac:dyDescent="0.25">
      <c r="B12" s="16"/>
      <c r="C12" s="7"/>
      <c r="D12" s="89" t="s">
        <v>5</v>
      </c>
      <c r="E12" s="89" t="s">
        <v>284</v>
      </c>
    </row>
    <row r="13" spans="1:30" x14ac:dyDescent="0.2">
      <c r="B13" s="16"/>
      <c r="C13" s="32" t="s">
        <v>2</v>
      </c>
      <c r="D13" s="84" t="str">
        <f>INDEX(Tbl_MeasureList[Baseline Equipment ID],MATCH($D$9,Tbl_MeasureList[Measure ID],0))</f>
        <v>EQUI017</v>
      </c>
      <c r="E13" s="84" t="str">
        <f>INDEX(Tbl_MeasureList[Replacement ID],MATCH($D$9,Tbl_MeasureList[Measure ID],0))</f>
        <v>EQUI019</v>
      </c>
      <c r="F13" s="7"/>
    </row>
    <row r="14" spans="1:30" ht="33.75" x14ac:dyDescent="0.2">
      <c r="B14" s="16"/>
      <c r="C14" s="32" t="s">
        <v>4</v>
      </c>
      <c r="D14" s="223" t="str">
        <f>INDEX(Tbl_EquipmentDefinitions[[Equipment Name]:[Equipment Name]],MATCH(D$13,Tbl_EquipmentDefinitions[[Equipment ID]:[Equipment ID]],0))</f>
        <v>Oil Boiler+Indirect WH</v>
      </c>
      <c r="E14" s="223" t="str">
        <f>INDEX(Tbl_EquipmentDefinitions[[Equipment Name]:[Equipment Name]],MATCH(E$13,Tbl_EquipmentDefinitions[[Equipment ID]:[Equipment ID]],0))</f>
        <v>Gas Boiler+Indirect WH</v>
      </c>
      <c r="F14" s="7"/>
    </row>
    <row r="15" spans="1:30" x14ac:dyDescent="0.2">
      <c r="B15" s="16"/>
      <c r="C15" s="32" t="s">
        <v>24</v>
      </c>
      <c r="D15" s="84" t="str">
        <f>INDEX(Tbl_EquipmentDefinitions[[Function]:[Function]],MATCH(D$13,Tbl_EquipmentDefinitions[[Equipment ID]:[Equipment ID]],0))</f>
        <v>Heat+HW</v>
      </c>
      <c r="E15" s="84" t="str">
        <f>INDEX(Tbl_EquipmentDefinitions[[Function]:[Function]],MATCH(E$13,Tbl_EquipmentDefinitions[[Equipment ID]:[Equipment ID]],0))</f>
        <v>Heat+HW</v>
      </c>
      <c r="F15" s="7"/>
    </row>
    <row r="16" spans="1:30" x14ac:dyDescent="0.2">
      <c r="B16" s="16"/>
      <c r="C16" s="32" t="s">
        <v>7</v>
      </c>
      <c r="D16" s="85" t="str">
        <f>INDEX(Tbl_EquipmentDefinitions[[Fuel Type]:[Fuel Type]],MATCH(D$13,Tbl_EquipmentDefinitions[[Equipment ID]:[Equipment ID]],0))</f>
        <v>Oil</v>
      </c>
      <c r="E16" s="85" t="str">
        <f>INDEX(Tbl_EquipmentDefinitions[[Fuel Type]:[Fuel Type]],MATCH(E$13,Tbl_EquipmentDefinitions[[Equipment ID]:[Equipment ID]],0))</f>
        <v>Natural Gas</v>
      </c>
      <c r="F16" s="7"/>
    </row>
    <row r="17" spans="2:14" x14ac:dyDescent="0.2">
      <c r="B17" s="16"/>
      <c r="C17" s="32" t="s">
        <v>126</v>
      </c>
      <c r="D17" s="84">
        <f>IF(ISERR(SEARCH("+",D16,1)),1,2)</f>
        <v>1</v>
      </c>
      <c r="E17" s="84">
        <f>IF(ISERR(SEARCH("+",E16,1)),1,2)</f>
        <v>1</v>
      </c>
      <c r="F17" s="7"/>
    </row>
    <row r="18" spans="2:14" x14ac:dyDescent="0.2">
      <c r="B18" s="16"/>
      <c r="C18" s="32" t="s">
        <v>155</v>
      </c>
      <c r="D18" s="86">
        <f>INDEX(Tbl_BaselineSummary[Space Heating Load (MMBtu/yr)],MATCH($D$10,Tbl_BaselineSummary[Baseline ID],0))</f>
        <v>76.7</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13.9</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89" t="s">
        <v>127</v>
      </c>
      <c r="D25" s="281" t="s">
        <v>345</v>
      </c>
      <c r="E25" s="385" t="s">
        <v>956</v>
      </c>
      <c r="F25" s="281" t="s">
        <v>326</v>
      </c>
      <c r="G25" s="421" t="s">
        <v>1532</v>
      </c>
      <c r="H25" s="385" t="s">
        <v>958</v>
      </c>
      <c r="I25" s="569" t="s">
        <v>1447</v>
      </c>
      <c r="J25" s="569" t="s">
        <v>1448</v>
      </c>
      <c r="L25" s="89" t="s">
        <v>1533</v>
      </c>
      <c r="M25" s="421" t="s">
        <v>1531</v>
      </c>
    </row>
    <row r="26" spans="2:14" ht="11.25" customHeight="1" x14ac:dyDescent="0.2">
      <c r="B26" s="16"/>
      <c r="C26" s="32" t="s">
        <v>6</v>
      </c>
      <c r="D26" s="122">
        <f>E85</f>
        <v>329</v>
      </c>
      <c r="E26" s="126">
        <f>E94</f>
        <v>5.0469798657718119E-2</v>
      </c>
      <c r="F26" s="111">
        <f>D26*PRICE_PER_KWH_2018_ELECTRICITY</f>
        <v>65.0762</v>
      </c>
      <c r="G26" s="139">
        <v>0</v>
      </c>
      <c r="H26" s="404">
        <f>E100</f>
        <v>0</v>
      </c>
      <c r="I26" s="39" t="s">
        <v>1449</v>
      </c>
      <c r="J26" s="39" t="s">
        <v>1449</v>
      </c>
      <c r="L26" s="84">
        <f t="shared" ref="L26:M28" si="0">F26+E32+E38+E44</f>
        <v>1944.4510474148806</v>
      </c>
      <c r="M26" s="86">
        <f t="shared" si="0"/>
        <v>15228</v>
      </c>
    </row>
    <row r="27" spans="2:14" x14ac:dyDescent="0.2">
      <c r="B27" s="16"/>
      <c r="C27" s="32" t="s">
        <v>19</v>
      </c>
      <c r="D27" s="122">
        <f>E86</f>
        <v>329</v>
      </c>
      <c r="E27" s="126">
        <f>E95</f>
        <v>5.0469798657718119E-2</v>
      </c>
      <c r="F27" s="111">
        <f>D27*PRICE_PER_KWH_2018_ELECTRICITY</f>
        <v>65.0762</v>
      </c>
      <c r="G27" s="139">
        <v>0</v>
      </c>
      <c r="H27" s="404">
        <f>E101</f>
        <v>0</v>
      </c>
      <c r="I27" s="39" t="s">
        <v>1449</v>
      </c>
      <c r="J27" s="39" t="s">
        <v>1449</v>
      </c>
      <c r="L27" s="84">
        <f t="shared" si="0"/>
        <v>1774.1865830275233</v>
      </c>
      <c r="M27" s="86">
        <f t="shared" si="0"/>
        <v>18396</v>
      </c>
    </row>
    <row r="28" spans="2:14" x14ac:dyDescent="0.2">
      <c r="B28" s="16"/>
      <c r="C28" s="32" t="s">
        <v>20</v>
      </c>
      <c r="D28" s="122">
        <f>E87</f>
        <v>312</v>
      </c>
      <c r="E28" s="126">
        <f>E96</f>
        <v>4.7861936720997124E-2</v>
      </c>
      <c r="F28" s="111">
        <f>D28*PRICE_PER_KWH_2018_ELECTRICITY</f>
        <v>61.7136</v>
      </c>
      <c r="G28" s="139">
        <v>0</v>
      </c>
      <c r="H28" s="404">
        <f>E102</f>
        <v>0</v>
      </c>
      <c r="I28" s="39" t="s">
        <v>1449</v>
      </c>
      <c r="J28" s="39" t="s">
        <v>1449</v>
      </c>
      <c r="L28" s="84">
        <f t="shared" si="0"/>
        <v>1728.7653382550338</v>
      </c>
      <c r="M28" s="86">
        <f t="shared" si="0"/>
        <v>18657</v>
      </c>
    </row>
    <row r="29" spans="2:14" x14ac:dyDescent="0.2">
      <c r="B29" s="16"/>
    </row>
    <row r="30" spans="2:14" ht="12.75" thickBot="1" x14ac:dyDescent="0.25">
      <c r="B30" s="16"/>
      <c r="C30" s="34" t="s">
        <v>55</v>
      </c>
      <c r="D30" s="34"/>
      <c r="E30" s="33"/>
      <c r="F30" s="33"/>
    </row>
    <row r="31" spans="2:14" ht="34.5" thickBot="1" x14ac:dyDescent="0.25">
      <c r="B31" s="16"/>
      <c r="C31" s="89" t="s">
        <v>127</v>
      </c>
      <c r="D31" s="281" t="s">
        <v>325</v>
      </c>
      <c r="E31" s="281" t="s">
        <v>326</v>
      </c>
      <c r="F31" s="421" t="s">
        <v>1532</v>
      </c>
    </row>
    <row r="32" spans="2:14" x14ac:dyDescent="0.2">
      <c r="B32" s="16"/>
      <c r="C32" s="32" t="s">
        <v>6</v>
      </c>
      <c r="D32" s="122">
        <f>E81</f>
        <v>1165.142496847415</v>
      </c>
      <c r="E32" s="111">
        <f>D32*PRICE_PER_THERM_2018_NATURALGAS</f>
        <v>1879.3748474148806</v>
      </c>
      <c r="F32" s="111">
        <f>E116</f>
        <v>15228</v>
      </c>
      <c r="G32" s="7" t="s">
        <v>128</v>
      </c>
    </row>
    <row r="33" spans="2:14" x14ac:dyDescent="0.2">
      <c r="B33" s="16"/>
      <c r="C33" s="32" t="s">
        <v>19</v>
      </c>
      <c r="D33" s="122">
        <f>E82</f>
        <v>1059.5848623853212</v>
      </c>
      <c r="E33" s="111">
        <f>D33*PRICE_PER_THERM_2018_NATURALGAS</f>
        <v>1709.1103830275233</v>
      </c>
      <c r="F33" s="111">
        <f>E117</f>
        <v>18396</v>
      </c>
    </row>
    <row r="34" spans="2:14" x14ac:dyDescent="0.2">
      <c r="B34" s="16"/>
      <c r="C34" s="32" t="s">
        <v>20</v>
      </c>
      <c r="D34" s="122">
        <f>E83</f>
        <v>1033.510067114094</v>
      </c>
      <c r="E34" s="111">
        <f>D34*PRICE_PER_THERM_2018_NATURALGAS</f>
        <v>1667.0517382550338</v>
      </c>
      <c r="F34" s="111">
        <f>E118</f>
        <v>18657</v>
      </c>
    </row>
    <row r="35" spans="2:14" x14ac:dyDescent="0.2">
      <c r="B35" s="16"/>
    </row>
    <row r="36" spans="2:14" ht="12.75" thickBot="1" x14ac:dyDescent="0.25">
      <c r="B36" s="16"/>
      <c r="C36" s="34" t="s">
        <v>28</v>
      </c>
      <c r="D36" s="34"/>
      <c r="E36" s="33"/>
      <c r="F36" s="33"/>
    </row>
    <row r="37" spans="2:14" ht="34.5" thickBot="1" x14ac:dyDescent="0.25">
      <c r="B37" s="16"/>
      <c r="C37" s="89" t="s">
        <v>127</v>
      </c>
      <c r="D37" s="281" t="s">
        <v>756</v>
      </c>
      <c r="E37" s="281" t="s">
        <v>326</v>
      </c>
      <c r="F37" s="421"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34.5" thickBot="1" x14ac:dyDescent="0.25">
      <c r="B43" s="16"/>
      <c r="C43" s="89" t="s">
        <v>127</v>
      </c>
      <c r="D43" s="281" t="s">
        <v>756</v>
      </c>
      <c r="E43" s="281" t="s">
        <v>326</v>
      </c>
      <c r="F43" s="421" t="s">
        <v>1532</v>
      </c>
    </row>
    <row r="44" spans="2:14" x14ac:dyDescent="0.2">
      <c r="B44" s="16"/>
      <c r="C44" s="32" t="s">
        <v>6</v>
      </c>
      <c r="D44" s="40">
        <v>0</v>
      </c>
      <c r="E44" s="39">
        <v>0</v>
      </c>
      <c r="F44" s="39">
        <v>0</v>
      </c>
      <c r="G44" s="7" t="s">
        <v>128</v>
      </c>
    </row>
    <row r="45" spans="2:14" x14ac:dyDescent="0.2">
      <c r="B45" s="16"/>
      <c r="C45" s="32" t="s">
        <v>19</v>
      </c>
      <c r="D45" s="40">
        <v>0</v>
      </c>
      <c r="E45" s="39">
        <v>0</v>
      </c>
      <c r="F45" s="39">
        <v>0</v>
      </c>
    </row>
    <row r="46" spans="2:14" x14ac:dyDescent="0.2">
      <c r="B46" s="16"/>
      <c r="C46" s="32" t="s">
        <v>20</v>
      </c>
      <c r="D46" s="40">
        <v>0</v>
      </c>
      <c r="E46" s="39">
        <v>0</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v>
      </c>
      <c r="E51" s="690"/>
      <c r="F51" s="693" t="str">
        <f>INDEX(Tbl_EquipmentDefinitions[Natural Gas Code Efficiency],MATCH($E$13,Tbl_EquipmentDefinitions[Equipment ID],0))</f>
        <v>82% AFUE (79.3% actual)</v>
      </c>
      <c r="G51" s="690"/>
      <c r="H51" s="693" t="str">
        <f>INDEX(Tbl_EquipmentDefinitions[Propane Code Efficiency],MATCH($E$13,Tbl_EquipmentDefinitions[Equipment ID],0))</f>
        <v>-</v>
      </c>
      <c r="I51" s="690"/>
      <c r="J51" s="693" t="str">
        <f>INDEX(Tbl_EquipmentDefinitions[Oil Code Efficiency],MATCH($E$13,Tbl_EquipmentDefinitions[Equipment ID],0))</f>
        <v>-</v>
      </c>
      <c r="K51" s="690"/>
    </row>
    <row r="52" spans="2:14" ht="12.75" x14ac:dyDescent="0.2">
      <c r="B52" s="16"/>
      <c r="C52" s="30" t="s">
        <v>153</v>
      </c>
      <c r="D52" s="689" t="str">
        <f>INDEX(Tbl_EquipmentDefinitions[Electricity Low Measure Efficiency],MATCH($E$13,Tbl_EquipmentDefinitions[Equipment ID],0))</f>
        <v>-</v>
      </c>
      <c r="E52" s="690"/>
      <c r="F52" s="689" t="str">
        <f>INDEX(Tbl_EquipmentDefinitions[Natural Gas Low Measure Efficiency],MATCH($E$13,Tbl_EquipmentDefinitions[Equipment ID],0))</f>
        <v>90% AFUE (87.2% actual)</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v>
      </c>
      <c r="E53" s="690"/>
      <c r="F53" s="689" t="str">
        <f>INDEX(Tbl_EquipmentDefinitions[Natural Gas High Measure Efficiency],MATCH($E$13,Tbl_EquipmentDefinitions[Equipment ID],0))</f>
        <v>95% AFUE (89.4% actual)</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89" t="s">
        <v>131</v>
      </c>
      <c r="D58" s="691" t="s">
        <v>132</v>
      </c>
      <c r="E58" s="692"/>
      <c r="F58" s="692"/>
      <c r="G58" s="692"/>
    </row>
    <row r="59" spans="2:14" x14ac:dyDescent="0.2">
      <c r="B59" s="16"/>
      <c r="C59" s="32" t="s">
        <v>386</v>
      </c>
      <c r="D59" s="698" t="s">
        <v>316</v>
      </c>
      <c r="E59" s="699"/>
      <c r="F59" s="699"/>
      <c r="G59" s="699"/>
      <c r="H59" s="94" t="s">
        <v>317</v>
      </c>
    </row>
    <row r="60" spans="2:14" x14ac:dyDescent="0.2">
      <c r="B60" s="16"/>
      <c r="C60" s="32" t="s">
        <v>436</v>
      </c>
      <c r="D60" s="698" t="s">
        <v>437</v>
      </c>
      <c r="E60" s="699"/>
      <c r="F60" s="699"/>
      <c r="G60" s="699"/>
    </row>
    <row r="61" spans="2:14" x14ac:dyDescent="0.2">
      <c r="B61" s="16"/>
      <c r="C61" s="32" t="s">
        <v>438</v>
      </c>
      <c r="D61" s="698" t="s">
        <v>439</v>
      </c>
      <c r="E61" s="699"/>
      <c r="F61" s="699"/>
      <c r="G61" s="699"/>
    </row>
    <row r="62" spans="2:14" x14ac:dyDescent="0.2">
      <c r="B62" s="16"/>
    </row>
    <row r="64" spans="2:14" ht="13.5" thickBot="1" x14ac:dyDescent="0.25">
      <c r="B64" s="9" t="s">
        <v>129</v>
      </c>
      <c r="C64" s="9"/>
      <c r="D64" s="9"/>
      <c r="E64" s="9"/>
      <c r="F64" s="9"/>
      <c r="G64" s="9"/>
      <c r="H64" s="9"/>
      <c r="I64" s="9"/>
      <c r="J64" s="9"/>
      <c r="K64" s="9"/>
      <c r="L64" s="9"/>
      <c r="M64" s="9"/>
      <c r="N64" s="9"/>
    </row>
    <row r="65" spans="2:7" x14ac:dyDescent="0.2">
      <c r="B65" s="15"/>
    </row>
    <row r="66" spans="2:7" x14ac:dyDescent="0.2">
      <c r="B66" s="16"/>
      <c r="C66" s="6" t="s">
        <v>453</v>
      </c>
    </row>
    <row r="67" spans="2:7" x14ac:dyDescent="0.2">
      <c r="B67" s="16"/>
      <c r="C67" s="6" t="s">
        <v>617</v>
      </c>
    </row>
    <row r="68" spans="2:7" x14ac:dyDescent="0.2">
      <c r="B68" s="16"/>
    </row>
    <row r="69" spans="2:7" ht="12.75" x14ac:dyDescent="0.2">
      <c r="B69" s="16"/>
      <c r="D69" s="95" t="s">
        <v>155</v>
      </c>
      <c r="E69" s="140">
        <f>D18</f>
        <v>76.7</v>
      </c>
      <c r="F69" s="6" t="s">
        <v>381</v>
      </c>
      <c r="G69" s="6" t="s">
        <v>382</v>
      </c>
    </row>
    <row r="70" spans="2:7" ht="12.75" x14ac:dyDescent="0.2">
      <c r="B70" s="16"/>
      <c r="D70" s="95" t="s">
        <v>244</v>
      </c>
      <c r="E70" s="140">
        <f>D20</f>
        <v>13.9</v>
      </c>
      <c r="F70" s="6" t="s">
        <v>381</v>
      </c>
      <c r="G70" s="6" t="s">
        <v>382</v>
      </c>
    </row>
    <row r="71" spans="2:7" x14ac:dyDescent="0.2">
      <c r="B71" s="16"/>
    </row>
    <row r="72" spans="2:7" ht="12.75" x14ac:dyDescent="0.2">
      <c r="B72" s="16"/>
      <c r="D72" s="95" t="s">
        <v>159</v>
      </c>
      <c r="E72" s="150">
        <v>0.79300000000000004</v>
      </c>
      <c r="F72" s="6" t="s">
        <v>158</v>
      </c>
      <c r="G72" s="45" t="s">
        <v>371</v>
      </c>
    </row>
    <row r="73" spans="2:7" ht="12.75" x14ac:dyDescent="0.2">
      <c r="B73" s="16"/>
      <c r="D73" s="95" t="s">
        <v>180</v>
      </c>
      <c r="E73" s="150">
        <v>0.872</v>
      </c>
      <c r="F73" s="6" t="s">
        <v>158</v>
      </c>
      <c r="G73" s="8"/>
    </row>
    <row r="74" spans="2:7" ht="12.75" x14ac:dyDescent="0.2">
      <c r="B74" s="16"/>
      <c r="D74" s="95" t="s">
        <v>181</v>
      </c>
      <c r="E74" s="150">
        <v>0.89400000000000002</v>
      </c>
      <c r="F74" s="6" t="s">
        <v>158</v>
      </c>
      <c r="G74" s="8"/>
    </row>
    <row r="75" spans="2:7" x14ac:dyDescent="0.2">
      <c r="B75" s="16"/>
    </row>
    <row r="76" spans="2:7" ht="12.75" x14ac:dyDescent="0.2">
      <c r="B76" s="16"/>
      <c r="D76" s="115" t="s">
        <v>592</v>
      </c>
      <c r="E76" s="144">
        <v>50</v>
      </c>
      <c r="F76" s="5" t="s">
        <v>593</v>
      </c>
    </row>
    <row r="77" spans="2:7" ht="12.75" x14ac:dyDescent="0.2">
      <c r="B77" s="16"/>
      <c r="D77" s="115" t="s">
        <v>595</v>
      </c>
      <c r="E77" s="144">
        <f>24*365</f>
        <v>8760</v>
      </c>
      <c r="F77" s="5" t="s">
        <v>397</v>
      </c>
    </row>
    <row r="78" spans="2:7" ht="12.75" x14ac:dyDescent="0.2">
      <c r="B78" s="16"/>
      <c r="D78" s="115" t="s">
        <v>596</v>
      </c>
      <c r="E78" s="135">
        <v>4.0999999999999996</v>
      </c>
      <c r="F78" s="6" t="s">
        <v>597</v>
      </c>
    </row>
    <row r="79" spans="2:7" ht="12.75" x14ac:dyDescent="0.2">
      <c r="B79" s="16"/>
      <c r="D79" s="115" t="s">
        <v>598</v>
      </c>
      <c r="E79" s="56">
        <f>E78*E77*E76/Btu_per_MMBtu</f>
        <v>1.7958000000000001</v>
      </c>
      <c r="F79" s="6" t="s">
        <v>381</v>
      </c>
    </row>
    <row r="80" spans="2:7" x14ac:dyDescent="0.2">
      <c r="B80" s="16"/>
    </row>
    <row r="81" spans="2:7" ht="12.75" x14ac:dyDescent="0.2">
      <c r="B81" s="16"/>
      <c r="D81" s="95" t="s">
        <v>430</v>
      </c>
      <c r="E81" s="41">
        <f>Therm_per_MMBtu*($E$69+$E$70+$E$79)/E72</f>
        <v>1165.142496847415</v>
      </c>
      <c r="F81" s="6" t="s">
        <v>372</v>
      </c>
    </row>
    <row r="82" spans="2:7" ht="12.75" x14ac:dyDescent="0.2">
      <c r="B82" s="16"/>
      <c r="D82" s="95" t="s">
        <v>431</v>
      </c>
      <c r="E82" s="41">
        <f>Therm_per_MMBtu*($E$69+$E$70+$E$79)/E73</f>
        <v>1059.5848623853212</v>
      </c>
      <c r="F82" s="6" t="s">
        <v>372</v>
      </c>
    </row>
    <row r="83" spans="2:7" ht="12.75" x14ac:dyDescent="0.2">
      <c r="B83" s="16"/>
      <c r="D83" s="95" t="s">
        <v>432</v>
      </c>
      <c r="E83" s="41">
        <f>Therm_per_MMBtu*($E$69+$E$70+$E$79)/E74</f>
        <v>1033.510067114094</v>
      </c>
      <c r="F83" s="6" t="s">
        <v>372</v>
      </c>
    </row>
    <row r="84" spans="2:7" x14ac:dyDescent="0.2">
      <c r="B84" s="16"/>
    </row>
    <row r="85" spans="2:7" ht="12.75" x14ac:dyDescent="0.2">
      <c r="B85" s="16"/>
      <c r="D85" s="154" t="s">
        <v>408</v>
      </c>
      <c r="E85" s="88">
        <v>329</v>
      </c>
      <c r="F85" s="6" t="s">
        <v>434</v>
      </c>
      <c r="G85" s="6" t="s">
        <v>461</v>
      </c>
    </row>
    <row r="86" spans="2:7" ht="12.75" x14ac:dyDescent="0.2">
      <c r="B86" s="16"/>
      <c r="D86" s="154" t="s">
        <v>409</v>
      </c>
      <c r="E86" s="88">
        <v>329</v>
      </c>
      <c r="F86" s="6" t="s">
        <v>434</v>
      </c>
      <c r="G86" s="6" t="s">
        <v>461</v>
      </c>
    </row>
    <row r="87" spans="2:7" ht="12.75" x14ac:dyDescent="0.2">
      <c r="B87" s="16"/>
      <c r="D87" s="154" t="s">
        <v>433</v>
      </c>
      <c r="E87" s="88">
        <v>312</v>
      </c>
      <c r="F87" s="6" t="s">
        <v>434</v>
      </c>
      <c r="G87" s="6" t="s">
        <v>461</v>
      </c>
    </row>
    <row r="88" spans="2:7" x14ac:dyDescent="0.2">
      <c r="B88" s="16"/>
      <c r="D88" s="155"/>
    </row>
    <row r="89" spans="2:7" x14ac:dyDescent="0.2">
      <c r="B89" s="16"/>
      <c r="D89" s="156" t="s">
        <v>422</v>
      </c>
      <c r="E89" s="146">
        <f>AVERAGE(530,984,1329,1329)</f>
        <v>1043</v>
      </c>
      <c r="F89" s="6" t="s">
        <v>397</v>
      </c>
      <c r="G89" s="6" t="s">
        <v>423</v>
      </c>
    </row>
    <row r="90" spans="2:7" x14ac:dyDescent="0.2">
      <c r="B90" s="16"/>
      <c r="D90" s="155"/>
    </row>
    <row r="91" spans="2:7" x14ac:dyDescent="0.2">
      <c r="B91" s="16"/>
      <c r="D91" s="6" t="s">
        <v>740</v>
      </c>
    </row>
    <row r="92" spans="2:7" x14ac:dyDescent="0.2">
      <c r="B92" s="16"/>
      <c r="D92" s="155" t="s">
        <v>949</v>
      </c>
      <c r="E92" s="146">
        <v>0.16</v>
      </c>
    </row>
    <row r="93" spans="2:7" x14ac:dyDescent="0.2">
      <c r="B93" s="16"/>
      <c r="D93" s="155"/>
    </row>
    <row r="94" spans="2:7" x14ac:dyDescent="0.2">
      <c r="B94" s="16"/>
      <c r="D94" s="156" t="s">
        <v>1107</v>
      </c>
      <c r="E94" s="145">
        <f>$E$92*E85/$E$89</f>
        <v>5.0469798657718119E-2</v>
      </c>
      <c r="F94" s="5" t="s">
        <v>176</v>
      </c>
    </row>
    <row r="95" spans="2:7" x14ac:dyDescent="0.2">
      <c r="B95" s="16"/>
      <c r="D95" s="156" t="s">
        <v>1117</v>
      </c>
      <c r="E95" s="145">
        <f>$E$92*E86/$E$89</f>
        <v>5.0469798657718119E-2</v>
      </c>
      <c r="F95" s="5" t="s">
        <v>176</v>
      </c>
    </row>
    <row r="96" spans="2:7" x14ac:dyDescent="0.2">
      <c r="B96" s="16"/>
      <c r="D96" s="156" t="s">
        <v>1118</v>
      </c>
      <c r="E96" s="145">
        <f>$E$92*E87/$E$89</f>
        <v>4.7861936720997124E-2</v>
      </c>
      <c r="F96" s="5" t="s">
        <v>176</v>
      </c>
    </row>
    <row r="97" spans="2:7" x14ac:dyDescent="0.2">
      <c r="B97" s="16"/>
    </row>
    <row r="98" spans="2:7" x14ac:dyDescent="0.2">
      <c r="B98" s="16"/>
      <c r="D98" s="6" t="s">
        <v>976</v>
      </c>
    </row>
    <row r="99" spans="2:7" x14ac:dyDescent="0.2">
      <c r="B99" s="16"/>
      <c r="D99" s="6" t="s">
        <v>977</v>
      </c>
      <c r="F99" s="5"/>
    </row>
    <row r="100" spans="2:7" x14ac:dyDescent="0.2">
      <c r="B100" s="16"/>
      <c r="D100" s="156" t="s">
        <v>1109</v>
      </c>
      <c r="E100" s="387">
        <v>0</v>
      </c>
      <c r="F100" s="5" t="s">
        <v>176</v>
      </c>
    </row>
    <row r="101" spans="2:7" x14ac:dyDescent="0.2">
      <c r="B101" s="16"/>
      <c r="D101" s="156" t="s">
        <v>1119</v>
      </c>
      <c r="E101" s="387">
        <v>0</v>
      </c>
      <c r="F101" s="5" t="s">
        <v>176</v>
      </c>
    </row>
    <row r="102" spans="2:7" x14ac:dyDescent="0.2">
      <c r="B102" s="16"/>
      <c r="D102" s="156" t="s">
        <v>1120</v>
      </c>
      <c r="E102" s="387">
        <v>0</v>
      </c>
      <c r="F102" s="5" t="s">
        <v>176</v>
      </c>
    </row>
    <row r="103" spans="2:7" x14ac:dyDescent="0.2">
      <c r="B103" s="16"/>
    </row>
    <row r="104" spans="2:7" x14ac:dyDescent="0.2">
      <c r="B104" s="16"/>
      <c r="C104" s="109" t="s">
        <v>324</v>
      </c>
    </row>
    <row r="105" spans="2:7" ht="12.75" x14ac:dyDescent="0.2">
      <c r="B105" s="16"/>
      <c r="D105" s="95" t="s">
        <v>618</v>
      </c>
      <c r="E105" s="225">
        <v>6042</v>
      </c>
      <c r="F105" s="6" t="s">
        <v>164</v>
      </c>
      <c r="G105" s="6" t="s">
        <v>455</v>
      </c>
    </row>
    <row r="106" spans="2:7" ht="12.75" x14ac:dyDescent="0.2">
      <c r="B106" s="16"/>
      <c r="D106" s="95" t="s">
        <v>619</v>
      </c>
      <c r="E106" s="225">
        <v>9210</v>
      </c>
      <c r="F106" s="6" t="s">
        <v>164</v>
      </c>
      <c r="G106" s="6" t="s">
        <v>455</v>
      </c>
    </row>
    <row r="107" spans="2:7" ht="12.75" x14ac:dyDescent="0.2">
      <c r="B107" s="16"/>
      <c r="D107" s="95" t="s">
        <v>620</v>
      </c>
      <c r="E107" s="225">
        <v>9471</v>
      </c>
      <c r="F107" s="6" t="s">
        <v>164</v>
      </c>
      <c r="G107" s="6" t="s">
        <v>456</v>
      </c>
    </row>
    <row r="108" spans="2:7" x14ac:dyDescent="0.2">
      <c r="B108" s="16"/>
      <c r="E108" s="226"/>
    </row>
    <row r="109" spans="2:7" ht="12.75" x14ac:dyDescent="0.2">
      <c r="B109" s="16"/>
      <c r="D109" s="95" t="s">
        <v>621</v>
      </c>
      <c r="E109" s="225">
        <v>3586</v>
      </c>
      <c r="F109" s="6" t="s">
        <v>164</v>
      </c>
      <c r="G109" s="6" t="s">
        <v>456</v>
      </c>
    </row>
    <row r="110" spans="2:7" x14ac:dyDescent="0.2">
      <c r="B110" s="16"/>
    </row>
    <row r="111" spans="2:7" ht="12.75" x14ac:dyDescent="0.2">
      <c r="B111" s="16"/>
      <c r="C111" s="36" t="s">
        <v>1181</v>
      </c>
      <c r="D111" s="41" t="str">
        <f>INPUT_INCLUDEGASLINE</f>
        <v>Yes</v>
      </c>
    </row>
    <row r="112" spans="2:7" ht="12.75" x14ac:dyDescent="0.2">
      <c r="B112" s="16"/>
      <c r="C112" s="36" t="s">
        <v>1182</v>
      </c>
      <c r="D112" s="233">
        <f>IF(D111="No",0,INPUT_GASLINECOST)</f>
        <v>5600</v>
      </c>
      <c r="E112" s="188" t="s">
        <v>1180</v>
      </c>
    </row>
    <row r="113" spans="2:6" x14ac:dyDescent="0.2">
      <c r="B113" s="16"/>
    </row>
    <row r="114" spans="2:6" ht="12.75" x14ac:dyDescent="0.2">
      <c r="B114" s="16"/>
      <c r="C114" s="420" t="s">
        <v>1196</v>
      </c>
      <c r="D114" s="146">
        <v>0</v>
      </c>
      <c r="E114" s="188" t="s">
        <v>1180</v>
      </c>
      <c r="F114" s="8" t="s">
        <v>1340</v>
      </c>
    </row>
    <row r="115" spans="2:6" x14ac:dyDescent="0.2">
      <c r="B115" s="16"/>
    </row>
    <row r="116" spans="2:6" ht="12.75" x14ac:dyDescent="0.2">
      <c r="B116" s="16"/>
      <c r="D116" s="95" t="s">
        <v>331</v>
      </c>
      <c r="E116" s="224">
        <f>E105+$E$109+$D$112+$D$114</f>
        <v>15228</v>
      </c>
      <c r="F116" s="6" t="s">
        <v>164</v>
      </c>
    </row>
    <row r="117" spans="2:6" ht="12.75" x14ac:dyDescent="0.2">
      <c r="B117" s="16"/>
      <c r="D117" s="95" t="s">
        <v>332</v>
      </c>
      <c r="E117" s="224">
        <f>E106+$E$109+$D$112+$D$114</f>
        <v>18396</v>
      </c>
      <c r="F117" s="6" t="s">
        <v>164</v>
      </c>
    </row>
    <row r="118" spans="2:6" ht="12.75" x14ac:dyDescent="0.2">
      <c r="B118" s="16"/>
      <c r="D118" s="95" t="s">
        <v>393</v>
      </c>
      <c r="E118" s="224">
        <f>E107+$E$109+$D$112+$D$114</f>
        <v>18657</v>
      </c>
      <c r="F118" s="6" t="s">
        <v>164</v>
      </c>
    </row>
    <row r="119" spans="2:6" x14ac:dyDescent="0.2">
      <c r="B119" s="16"/>
    </row>
    <row r="120" spans="2:6" x14ac:dyDescent="0.2">
      <c r="B120" s="16"/>
    </row>
    <row r="121" spans="2:6" x14ac:dyDescent="0.2">
      <c r="B121" s="16"/>
    </row>
    <row r="122" spans="2:6" x14ac:dyDescent="0.2">
      <c r="B122" s="16"/>
    </row>
    <row r="123" spans="2:6" x14ac:dyDescent="0.2">
      <c r="B123" s="16"/>
    </row>
    <row r="124" spans="2:6" x14ac:dyDescent="0.2">
      <c r="B124" s="16"/>
    </row>
    <row r="125" spans="2:6" x14ac:dyDescent="0.2">
      <c r="B125" s="16"/>
    </row>
    <row r="126" spans="2:6" x14ac:dyDescent="0.2">
      <c r="B126" s="16"/>
    </row>
    <row r="127" spans="2:6" x14ac:dyDescent="0.2">
      <c r="B127" s="16"/>
    </row>
    <row r="128" spans="2:6" x14ac:dyDescent="0.2">
      <c r="B128" s="16"/>
    </row>
    <row r="129" spans="2:2" x14ac:dyDescent="0.2">
      <c r="B129" s="16"/>
    </row>
    <row r="130" spans="2:2" x14ac:dyDescent="0.2">
      <c r="B130" s="16"/>
    </row>
    <row r="131" spans="2:2" x14ac:dyDescent="0.2">
      <c r="B131" s="16"/>
    </row>
    <row r="132" spans="2:2" x14ac:dyDescent="0.2">
      <c r="B132" s="16"/>
    </row>
    <row r="133" spans="2:2" x14ac:dyDescent="0.2">
      <c r="B133" s="16"/>
    </row>
    <row r="134" spans="2:2" x14ac:dyDescent="0.2">
      <c r="B134" s="16"/>
    </row>
    <row r="135" spans="2:2" x14ac:dyDescent="0.2">
      <c r="B135" s="16"/>
    </row>
    <row r="136" spans="2:2" x14ac:dyDescent="0.2">
      <c r="B136" s="16"/>
    </row>
    <row r="137" spans="2:2" x14ac:dyDescent="0.2">
      <c r="B137" s="16"/>
    </row>
    <row r="138" spans="2:2" x14ac:dyDescent="0.2">
      <c r="B138" s="16"/>
    </row>
    <row r="139" spans="2:2" x14ac:dyDescent="0.2">
      <c r="B139" s="16"/>
    </row>
    <row r="140" spans="2:2" x14ac:dyDescent="0.2">
      <c r="B140" s="16"/>
    </row>
    <row r="141" spans="2:2" x14ac:dyDescent="0.2">
      <c r="B141" s="16"/>
    </row>
    <row r="142" spans="2:2" x14ac:dyDescent="0.2">
      <c r="B142" s="16"/>
    </row>
  </sheetData>
  <mergeCells count="20">
    <mergeCell ref="D59:G59"/>
    <mergeCell ref="D60:G60"/>
    <mergeCell ref="D61:G61"/>
    <mergeCell ref="D52:E52"/>
    <mergeCell ref="F52:G52"/>
    <mergeCell ref="D53:E53"/>
    <mergeCell ref="F53:G53"/>
    <mergeCell ref="D58:G58"/>
    <mergeCell ref="D50:E50"/>
    <mergeCell ref="F50:G50"/>
    <mergeCell ref="H50:I50"/>
    <mergeCell ref="J50:K50"/>
    <mergeCell ref="H53:I53"/>
    <mergeCell ref="J53:K53"/>
    <mergeCell ref="D51:E51"/>
    <mergeCell ref="F51:G51"/>
    <mergeCell ref="H51:I51"/>
    <mergeCell ref="J51:K51"/>
    <mergeCell ref="H52:I52"/>
    <mergeCell ref="J52:K52"/>
  </mergeCells>
  <dataValidations count="2">
    <dataValidation type="list" allowBlank="1" showInputMessage="1" showErrorMessage="1" sqref="D9">
      <formula1>DEFINED_MEASURES</formula1>
    </dataValidation>
    <dataValidation type="list" allowBlank="1" showInputMessage="1" showErrorMessage="1" sqref="D5">
      <formula1>"1. Not Started,2. Analyzing,3. Ready"</formula1>
    </dataValidation>
  </dataValidations>
  <hyperlinks>
    <hyperlink ref="H59" r:id="rId1"/>
  </hyperlinks>
  <pageMargins left="0.7" right="0.7" top="0.75" bottom="0.75" header="0.3" footer="0.3"/>
  <pageSetup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3"/>
  </sheetPr>
  <dimension ref="A1:AD143"/>
  <sheetViews>
    <sheetView workbookViewId="0"/>
  </sheetViews>
  <sheetFormatPr defaultColWidth="9.33203125" defaultRowHeight="11.25" x14ac:dyDescent="0.2"/>
  <cols>
    <col min="1" max="2" width="3.33203125" style="6" customWidth="1"/>
    <col min="3" max="3" width="22.6640625" style="6" bestFit="1" customWidth="1"/>
    <col min="4" max="4" width="14.33203125" style="6" customWidth="1"/>
    <col min="5" max="5" width="16.33203125" style="6" customWidth="1"/>
    <col min="6" max="6" width="15" style="6" customWidth="1"/>
    <col min="7" max="7" width="13.5" style="6" customWidth="1"/>
    <col min="8" max="8" width="14.83203125" style="6" customWidth="1"/>
    <col min="9" max="9" width="22.33203125" style="6" bestFit="1" customWidth="1"/>
    <col min="10" max="10" width="20.5" style="6" bestFit="1" customWidth="1"/>
    <col min="11"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93" t="s">
        <v>97</v>
      </c>
      <c r="E9" s="7" t="s">
        <v>290</v>
      </c>
    </row>
    <row r="10" spans="1:30" ht="12.75" x14ac:dyDescent="0.2">
      <c r="B10" s="16"/>
      <c r="C10" s="30" t="s">
        <v>289</v>
      </c>
      <c r="D10" s="83" t="str">
        <f>INDEX(Tbl_MeasureList[Baseline ID],MATCH($D$9,Tbl_MeasureList[Measure ID],0))</f>
        <v>BASE10</v>
      </c>
      <c r="E10" s="7"/>
    </row>
    <row r="11" spans="1:30" x14ac:dyDescent="0.2">
      <c r="B11" s="16"/>
      <c r="C11" s="7"/>
      <c r="D11" s="7"/>
      <c r="E11" s="7"/>
    </row>
    <row r="12" spans="1:30" ht="12" thickBot="1" x14ac:dyDescent="0.25">
      <c r="B12" s="16"/>
      <c r="C12" s="7"/>
      <c r="D12" s="89" t="s">
        <v>5</v>
      </c>
      <c r="E12" s="89" t="s">
        <v>284</v>
      </c>
    </row>
    <row r="13" spans="1:30" x14ac:dyDescent="0.2">
      <c r="B13" s="16"/>
      <c r="C13" s="32" t="s">
        <v>2</v>
      </c>
      <c r="D13" s="84" t="str">
        <f>INDEX(Tbl_MeasureList[Baseline Equipment ID],MATCH($D$9,Tbl_MeasureList[Measure ID],0))</f>
        <v>EQUI018</v>
      </c>
      <c r="E13" s="84" t="str">
        <f>INDEX(Tbl_MeasureList[Replacement ID],MATCH($D$9,Tbl_MeasureList[Measure ID],0))</f>
        <v>EQUI019</v>
      </c>
      <c r="F13" s="7"/>
    </row>
    <row r="14" spans="1:30" ht="33.75" x14ac:dyDescent="0.2">
      <c r="B14" s="16"/>
      <c r="C14" s="32" t="s">
        <v>4</v>
      </c>
      <c r="D14" s="223" t="str">
        <f>INDEX(Tbl_EquipmentDefinitions[[Equipment Name]:[Equipment Name]],MATCH(D$13,Tbl_EquipmentDefinitions[[Equipment ID]:[Equipment ID]],0))</f>
        <v>Propane Boiler+Indirect WH</v>
      </c>
      <c r="E14" s="223" t="str">
        <f>INDEX(Tbl_EquipmentDefinitions[[Equipment Name]:[Equipment Name]],MATCH(E$13,Tbl_EquipmentDefinitions[[Equipment ID]:[Equipment ID]],0))</f>
        <v>Gas Boiler+Indirect WH</v>
      </c>
      <c r="F14" s="7"/>
    </row>
    <row r="15" spans="1:30" x14ac:dyDescent="0.2">
      <c r="B15" s="16"/>
      <c r="C15" s="32" t="s">
        <v>24</v>
      </c>
      <c r="D15" s="84" t="str">
        <f>INDEX(Tbl_EquipmentDefinitions[[Function]:[Function]],MATCH(D$13,Tbl_EquipmentDefinitions[[Equipment ID]:[Equipment ID]],0))</f>
        <v>Heat+HW</v>
      </c>
      <c r="E15" s="84" t="str">
        <f>INDEX(Tbl_EquipmentDefinitions[[Function]:[Function]],MATCH(E$13,Tbl_EquipmentDefinitions[[Equipment ID]:[Equipment ID]],0))</f>
        <v>Heat+HW</v>
      </c>
      <c r="F15" s="7"/>
    </row>
    <row r="16" spans="1:30" x14ac:dyDescent="0.2">
      <c r="B16" s="16"/>
      <c r="C16" s="32" t="s">
        <v>7</v>
      </c>
      <c r="D16" s="85" t="str">
        <f>INDEX(Tbl_EquipmentDefinitions[[Fuel Type]:[Fuel Type]],MATCH(D$13,Tbl_EquipmentDefinitions[[Equipment ID]:[Equipment ID]],0))</f>
        <v>Propane</v>
      </c>
      <c r="E16" s="85" t="str">
        <f>INDEX(Tbl_EquipmentDefinitions[[Fuel Type]:[Fuel Type]],MATCH(E$13,Tbl_EquipmentDefinitions[[Equipment ID]:[Equipment ID]],0))</f>
        <v>Natural Gas</v>
      </c>
      <c r="F16" s="7"/>
    </row>
    <row r="17" spans="2:14" x14ac:dyDescent="0.2">
      <c r="B17" s="16"/>
      <c r="C17" s="32" t="s">
        <v>126</v>
      </c>
      <c r="D17" s="84">
        <f>IF(ISERR(SEARCH("+",D16,1)),1,2)</f>
        <v>1</v>
      </c>
      <c r="E17" s="84">
        <f>IF(ISERR(SEARCH("+",E16,1)),1,2)</f>
        <v>1</v>
      </c>
      <c r="F17" s="7"/>
    </row>
    <row r="18" spans="2:14" x14ac:dyDescent="0.2">
      <c r="B18" s="16"/>
      <c r="C18" s="32" t="s">
        <v>155</v>
      </c>
      <c r="D18" s="86">
        <f>INDEX(Tbl_BaselineSummary[Space Heating Load (MMBtu/yr)],MATCH($D$10,Tbl_BaselineSummary[Baseline ID],0))</f>
        <v>76.7</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11.3</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89" t="s">
        <v>127</v>
      </c>
      <c r="D25" s="281" t="s">
        <v>345</v>
      </c>
      <c r="E25" s="385" t="s">
        <v>956</v>
      </c>
      <c r="F25" s="281" t="s">
        <v>326</v>
      </c>
      <c r="G25" s="421" t="s">
        <v>1532</v>
      </c>
      <c r="H25" s="385" t="s">
        <v>958</v>
      </c>
      <c r="I25" s="569" t="s">
        <v>1447</v>
      </c>
      <c r="J25" s="569" t="s">
        <v>1448</v>
      </c>
      <c r="L25" s="89" t="s">
        <v>1533</v>
      </c>
      <c r="M25" s="421" t="s">
        <v>1531</v>
      </c>
    </row>
    <row r="26" spans="2:14" ht="11.25" customHeight="1" x14ac:dyDescent="0.2">
      <c r="B26" s="16"/>
      <c r="C26" s="32" t="s">
        <v>6</v>
      </c>
      <c r="D26" s="122">
        <f>E85</f>
        <v>329</v>
      </c>
      <c r="E26" s="126">
        <f>E94</f>
        <v>5.0469798657718119E-2</v>
      </c>
      <c r="F26" s="111">
        <f>D26*PRICE_PER_KWH_2018_ELECTRICITY</f>
        <v>65.0762</v>
      </c>
      <c r="G26" s="139">
        <v>0</v>
      </c>
      <c r="H26" s="404">
        <f>E100</f>
        <v>0</v>
      </c>
      <c r="I26" s="39" t="s">
        <v>1449</v>
      </c>
      <c r="J26" s="39" t="s">
        <v>1449</v>
      </c>
      <c r="L26" s="84">
        <f t="shared" ref="L26:M28" si="0">F26+E32+E38+E44</f>
        <v>1891.565801513241</v>
      </c>
      <c r="M26" s="86">
        <f t="shared" si="0"/>
        <v>15228</v>
      </c>
    </row>
    <row r="27" spans="2:14" x14ac:dyDescent="0.2">
      <c r="B27" s="16"/>
      <c r="C27" s="32" t="s">
        <v>19</v>
      </c>
      <c r="D27" s="122">
        <f>E86</f>
        <v>329</v>
      </c>
      <c r="E27" s="126">
        <f>E95</f>
        <v>5.0469798657718119E-2</v>
      </c>
      <c r="F27" s="111">
        <f>D27*PRICE_PER_KWH_2018_ELECTRICITY</f>
        <v>65.0762</v>
      </c>
      <c r="G27" s="139">
        <v>0</v>
      </c>
      <c r="H27" s="404">
        <f>E101</f>
        <v>0</v>
      </c>
      <c r="I27" s="39" t="s">
        <v>1449</v>
      </c>
      <c r="J27" s="39" t="s">
        <v>1449</v>
      </c>
      <c r="L27" s="84">
        <f t="shared" si="0"/>
        <v>1726.0925463302754</v>
      </c>
      <c r="M27" s="86">
        <f t="shared" si="0"/>
        <v>18396</v>
      </c>
    </row>
    <row r="28" spans="2:14" x14ac:dyDescent="0.2">
      <c r="B28" s="16"/>
      <c r="C28" s="32" t="s">
        <v>20</v>
      </c>
      <c r="D28" s="122">
        <f>E87</f>
        <v>312</v>
      </c>
      <c r="E28" s="126">
        <f>E96</f>
        <v>4.7861936720997124E-2</v>
      </c>
      <c r="F28" s="111">
        <f>D28*PRICE_PER_KWH_2018_ELECTRICITY</f>
        <v>61.7136</v>
      </c>
      <c r="G28" s="139">
        <v>0</v>
      </c>
      <c r="H28" s="404">
        <f>E102</f>
        <v>0</v>
      </c>
      <c r="I28" s="39" t="s">
        <v>1449</v>
      </c>
      <c r="J28" s="39" t="s">
        <v>1449</v>
      </c>
      <c r="L28" s="84">
        <f t="shared" si="0"/>
        <v>1681.8548237136467</v>
      </c>
      <c r="M28" s="86">
        <f t="shared" si="0"/>
        <v>18657</v>
      </c>
    </row>
    <row r="29" spans="2:14" x14ac:dyDescent="0.2">
      <c r="B29" s="16"/>
    </row>
    <row r="30" spans="2:14" ht="12.75" thickBot="1" x14ac:dyDescent="0.25">
      <c r="B30" s="16"/>
      <c r="C30" s="34" t="s">
        <v>55</v>
      </c>
      <c r="D30" s="34"/>
      <c r="E30" s="33"/>
      <c r="F30" s="33"/>
    </row>
    <row r="31" spans="2:14" ht="34.5" thickBot="1" x14ac:dyDescent="0.25">
      <c r="B31" s="16"/>
      <c r="C31" s="89" t="s">
        <v>127</v>
      </c>
      <c r="D31" s="281" t="s">
        <v>325</v>
      </c>
      <c r="E31" s="281" t="s">
        <v>326</v>
      </c>
      <c r="F31" s="421" t="s">
        <v>1532</v>
      </c>
    </row>
    <row r="32" spans="2:14" x14ac:dyDescent="0.2">
      <c r="B32" s="16"/>
      <c r="C32" s="32" t="s">
        <v>6</v>
      </c>
      <c r="D32" s="122">
        <f>E81</f>
        <v>1132.3556116015131</v>
      </c>
      <c r="E32" s="111">
        <f>D32*PRICE_PER_THERM_2018_NATURALGAS</f>
        <v>1826.489601513241</v>
      </c>
      <c r="F32" s="111">
        <f>E116</f>
        <v>15228</v>
      </c>
      <c r="G32" s="7" t="s">
        <v>128</v>
      </c>
    </row>
    <row r="33" spans="2:14" x14ac:dyDescent="0.2">
      <c r="B33" s="16"/>
      <c r="C33" s="32" t="s">
        <v>19</v>
      </c>
      <c r="D33" s="122">
        <f>E82</f>
        <v>1029.7683486238532</v>
      </c>
      <c r="E33" s="111">
        <f>D33*PRICE_PER_THERM_2018_NATURALGAS</f>
        <v>1661.0163463302754</v>
      </c>
      <c r="F33" s="111">
        <f>E117</f>
        <v>18396</v>
      </c>
    </row>
    <row r="34" spans="2:14" x14ac:dyDescent="0.2">
      <c r="B34" s="16"/>
      <c r="C34" s="32" t="s">
        <v>20</v>
      </c>
      <c r="D34" s="122">
        <f>E83</f>
        <v>1004.4272930648769</v>
      </c>
      <c r="E34" s="111">
        <f>D34*PRICE_PER_THERM_2018_NATURALGAS</f>
        <v>1620.1412237136467</v>
      </c>
      <c r="F34" s="111">
        <f>E118</f>
        <v>18657</v>
      </c>
    </row>
    <row r="35" spans="2:14" x14ac:dyDescent="0.2">
      <c r="B35" s="16"/>
    </row>
    <row r="36" spans="2:14" ht="12.75" thickBot="1" x14ac:dyDescent="0.25">
      <c r="B36" s="16"/>
      <c r="C36" s="34" t="s">
        <v>28</v>
      </c>
      <c r="D36" s="34"/>
      <c r="E36" s="33"/>
      <c r="F36" s="33"/>
    </row>
    <row r="37" spans="2:14" ht="34.5" thickBot="1" x14ac:dyDescent="0.25">
      <c r="B37" s="16"/>
      <c r="C37" s="89" t="s">
        <v>127</v>
      </c>
      <c r="D37" s="281" t="s">
        <v>756</v>
      </c>
      <c r="E37" s="281" t="s">
        <v>326</v>
      </c>
      <c r="F37" s="421"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34.5" thickBot="1" x14ac:dyDescent="0.25">
      <c r="B43" s="16"/>
      <c r="C43" s="89" t="s">
        <v>127</v>
      </c>
      <c r="D43" s="281" t="s">
        <v>756</v>
      </c>
      <c r="E43" s="281" t="s">
        <v>326</v>
      </c>
      <c r="F43" s="421" t="s">
        <v>1532</v>
      </c>
    </row>
    <row r="44" spans="2:14" x14ac:dyDescent="0.2">
      <c r="B44" s="16"/>
      <c r="C44" s="32" t="s">
        <v>6</v>
      </c>
      <c r="D44" s="40">
        <v>0</v>
      </c>
      <c r="E44" s="39">
        <v>0</v>
      </c>
      <c r="F44" s="39">
        <v>0</v>
      </c>
      <c r="G44" s="7" t="s">
        <v>128</v>
      </c>
    </row>
    <row r="45" spans="2:14" x14ac:dyDescent="0.2">
      <c r="B45" s="16"/>
      <c r="C45" s="32" t="s">
        <v>19</v>
      </c>
      <c r="D45" s="40">
        <v>0</v>
      </c>
      <c r="E45" s="39">
        <v>0</v>
      </c>
      <c r="F45" s="39">
        <v>0</v>
      </c>
    </row>
    <row r="46" spans="2:14" x14ac:dyDescent="0.2">
      <c r="B46" s="16"/>
      <c r="C46" s="32" t="s">
        <v>20</v>
      </c>
      <c r="D46" s="40">
        <v>0</v>
      </c>
      <c r="E46" s="39">
        <v>0</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v>
      </c>
      <c r="E51" s="690"/>
      <c r="F51" s="693" t="str">
        <f>INDEX(Tbl_EquipmentDefinitions[Natural Gas Code Efficiency],MATCH($E$13,Tbl_EquipmentDefinitions[Equipment ID],0))</f>
        <v>82% AFUE (79.3% actual)</v>
      </c>
      <c r="G51" s="690"/>
      <c r="H51" s="693" t="str">
        <f>INDEX(Tbl_EquipmentDefinitions[Propane Code Efficiency],MATCH($E$13,Tbl_EquipmentDefinitions[Equipment ID],0))</f>
        <v>-</v>
      </c>
      <c r="I51" s="690"/>
      <c r="J51" s="693" t="str">
        <f>INDEX(Tbl_EquipmentDefinitions[Oil Code Efficiency],MATCH($E$13,Tbl_EquipmentDefinitions[Equipment ID],0))</f>
        <v>-</v>
      </c>
      <c r="K51" s="690"/>
    </row>
    <row r="52" spans="2:14" ht="12.75" x14ac:dyDescent="0.2">
      <c r="B52" s="16"/>
      <c r="C52" s="30" t="s">
        <v>153</v>
      </c>
      <c r="D52" s="689" t="str">
        <f>INDEX(Tbl_EquipmentDefinitions[Electricity Low Measure Efficiency],MATCH($E$13,Tbl_EquipmentDefinitions[Equipment ID],0))</f>
        <v>-</v>
      </c>
      <c r="E52" s="690"/>
      <c r="F52" s="689" t="str">
        <f>INDEX(Tbl_EquipmentDefinitions[Natural Gas Low Measure Efficiency],MATCH($E$13,Tbl_EquipmentDefinitions[Equipment ID],0))</f>
        <v>90% AFUE (87.2% actual)</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v>
      </c>
      <c r="E53" s="690"/>
      <c r="F53" s="689" t="str">
        <f>INDEX(Tbl_EquipmentDefinitions[Natural Gas High Measure Efficiency],MATCH($E$13,Tbl_EquipmentDefinitions[Equipment ID],0))</f>
        <v>95% AFUE (89.4% actual)</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163" t="s">
        <v>131</v>
      </c>
      <c r="D58" s="691" t="s">
        <v>132</v>
      </c>
      <c r="E58" s="692"/>
      <c r="F58" s="692"/>
      <c r="G58" s="692"/>
    </row>
    <row r="59" spans="2:14" x14ac:dyDescent="0.2">
      <c r="B59" s="16"/>
      <c r="C59" s="32" t="s">
        <v>386</v>
      </c>
      <c r="D59" s="698" t="s">
        <v>316</v>
      </c>
      <c r="E59" s="699"/>
      <c r="F59" s="699"/>
      <c r="G59" s="699"/>
      <c r="H59" s="94" t="s">
        <v>317</v>
      </c>
    </row>
    <row r="60" spans="2:14" x14ac:dyDescent="0.2">
      <c r="B60" s="16"/>
      <c r="C60" s="32" t="s">
        <v>436</v>
      </c>
      <c r="D60" s="698" t="s">
        <v>437</v>
      </c>
      <c r="E60" s="699"/>
      <c r="F60" s="699"/>
      <c r="G60" s="699"/>
    </row>
    <row r="61" spans="2:14" x14ac:dyDescent="0.2">
      <c r="B61" s="16"/>
      <c r="C61" s="32" t="s">
        <v>438</v>
      </c>
      <c r="D61" s="698" t="s">
        <v>439</v>
      </c>
      <c r="E61" s="699"/>
      <c r="F61" s="699"/>
      <c r="G61" s="699"/>
    </row>
    <row r="62" spans="2:14" x14ac:dyDescent="0.2">
      <c r="B62" s="16"/>
    </row>
    <row r="64" spans="2:14" ht="13.5" thickBot="1" x14ac:dyDescent="0.25">
      <c r="B64" s="9" t="s">
        <v>129</v>
      </c>
      <c r="C64" s="9"/>
      <c r="D64" s="9"/>
      <c r="E64" s="9"/>
      <c r="F64" s="9"/>
      <c r="G64" s="9"/>
      <c r="H64" s="9"/>
      <c r="I64" s="9"/>
      <c r="J64" s="9"/>
      <c r="K64" s="9"/>
      <c r="L64" s="9"/>
      <c r="M64" s="9"/>
      <c r="N64" s="9"/>
    </row>
    <row r="65" spans="2:7" x14ac:dyDescent="0.2">
      <c r="B65" s="15"/>
    </row>
    <row r="66" spans="2:7" x14ac:dyDescent="0.2">
      <c r="B66" s="16"/>
      <c r="C66" s="6" t="s">
        <v>453</v>
      </c>
    </row>
    <row r="67" spans="2:7" x14ac:dyDescent="0.2">
      <c r="B67" s="16"/>
      <c r="C67" s="6" t="s">
        <v>623</v>
      </c>
    </row>
    <row r="68" spans="2:7" x14ac:dyDescent="0.2">
      <c r="B68" s="16"/>
    </row>
    <row r="69" spans="2:7" ht="12.75" x14ac:dyDescent="0.2">
      <c r="B69" s="16"/>
      <c r="D69" s="95" t="s">
        <v>155</v>
      </c>
      <c r="E69" s="140">
        <f>D18</f>
        <v>76.7</v>
      </c>
      <c r="F69" s="6" t="s">
        <v>381</v>
      </c>
      <c r="G69" s="6" t="s">
        <v>382</v>
      </c>
    </row>
    <row r="70" spans="2:7" ht="12.75" x14ac:dyDescent="0.2">
      <c r="B70" s="16"/>
      <c r="D70" s="95" t="s">
        <v>244</v>
      </c>
      <c r="E70" s="140">
        <f>D20</f>
        <v>11.3</v>
      </c>
      <c r="F70" s="6" t="s">
        <v>381</v>
      </c>
      <c r="G70" s="6" t="s">
        <v>382</v>
      </c>
    </row>
    <row r="71" spans="2:7" x14ac:dyDescent="0.2">
      <c r="B71" s="16"/>
    </row>
    <row r="72" spans="2:7" ht="12.75" x14ac:dyDescent="0.2">
      <c r="B72" s="16"/>
      <c r="D72" s="95" t="s">
        <v>159</v>
      </c>
      <c r="E72" s="150">
        <v>0.79300000000000004</v>
      </c>
      <c r="F72" s="6" t="s">
        <v>158</v>
      </c>
      <c r="G72" s="45" t="s">
        <v>371</v>
      </c>
    </row>
    <row r="73" spans="2:7" ht="12.75" x14ac:dyDescent="0.2">
      <c r="B73" s="16"/>
      <c r="D73" s="95" t="s">
        <v>180</v>
      </c>
      <c r="E73" s="150">
        <v>0.872</v>
      </c>
      <c r="F73" s="6" t="s">
        <v>158</v>
      </c>
      <c r="G73" s="8"/>
    </row>
    <row r="74" spans="2:7" ht="12.75" x14ac:dyDescent="0.2">
      <c r="B74" s="16"/>
      <c r="D74" s="95" t="s">
        <v>181</v>
      </c>
      <c r="E74" s="150">
        <v>0.89400000000000002</v>
      </c>
      <c r="F74" s="6" t="s">
        <v>158</v>
      </c>
      <c r="G74" s="8"/>
    </row>
    <row r="75" spans="2:7" x14ac:dyDescent="0.2">
      <c r="B75" s="16"/>
    </row>
    <row r="76" spans="2:7" ht="12.75" x14ac:dyDescent="0.2">
      <c r="B76" s="16"/>
      <c r="D76" s="115" t="s">
        <v>592</v>
      </c>
      <c r="E76" s="144">
        <v>50</v>
      </c>
      <c r="F76" s="5" t="s">
        <v>593</v>
      </c>
    </row>
    <row r="77" spans="2:7" ht="12.75" x14ac:dyDescent="0.2">
      <c r="B77" s="16"/>
      <c r="D77" s="115" t="s">
        <v>595</v>
      </c>
      <c r="E77" s="144">
        <f>24*365</f>
        <v>8760</v>
      </c>
      <c r="F77" s="5" t="s">
        <v>397</v>
      </c>
    </row>
    <row r="78" spans="2:7" ht="12.75" x14ac:dyDescent="0.2">
      <c r="B78" s="16"/>
      <c r="D78" s="115" t="s">
        <v>596</v>
      </c>
      <c r="E78" s="135">
        <v>4.0999999999999996</v>
      </c>
      <c r="F78" s="6" t="s">
        <v>597</v>
      </c>
    </row>
    <row r="79" spans="2:7" ht="12.75" x14ac:dyDescent="0.2">
      <c r="B79" s="16"/>
      <c r="D79" s="115" t="s">
        <v>598</v>
      </c>
      <c r="E79" s="56">
        <f>E78*E77*E76/Btu_per_MMBtu</f>
        <v>1.7958000000000001</v>
      </c>
      <c r="F79" s="6" t="s">
        <v>381</v>
      </c>
    </row>
    <row r="80" spans="2:7" x14ac:dyDescent="0.2">
      <c r="B80" s="16"/>
    </row>
    <row r="81" spans="2:7" ht="12.75" x14ac:dyDescent="0.2">
      <c r="B81" s="16"/>
      <c r="D81" s="95" t="s">
        <v>430</v>
      </c>
      <c r="E81" s="41">
        <f>Therm_per_MMBtu*($E$69+$E$70+$E$79)/E72</f>
        <v>1132.3556116015131</v>
      </c>
      <c r="F81" s="6" t="s">
        <v>372</v>
      </c>
    </row>
    <row r="82" spans="2:7" ht="12.75" x14ac:dyDescent="0.2">
      <c r="B82" s="16"/>
      <c r="D82" s="95" t="s">
        <v>431</v>
      </c>
      <c r="E82" s="41">
        <f>Therm_per_MMBtu*($E$69+$E$70+$E$79)/E73</f>
        <v>1029.7683486238532</v>
      </c>
      <c r="F82" s="6" t="s">
        <v>372</v>
      </c>
    </row>
    <row r="83" spans="2:7" ht="12.75" x14ac:dyDescent="0.2">
      <c r="B83" s="16"/>
      <c r="D83" s="95" t="s">
        <v>432</v>
      </c>
      <c r="E83" s="41">
        <f>Therm_per_MMBtu*($E$69+$E$70+$E$79)/E74</f>
        <v>1004.4272930648769</v>
      </c>
      <c r="F83" s="6" t="s">
        <v>372</v>
      </c>
    </row>
    <row r="84" spans="2:7" x14ac:dyDescent="0.2">
      <c r="B84" s="16"/>
    </row>
    <row r="85" spans="2:7" ht="12.75" x14ac:dyDescent="0.2">
      <c r="B85" s="16"/>
      <c r="D85" s="154" t="s">
        <v>408</v>
      </c>
      <c r="E85" s="88">
        <v>329</v>
      </c>
      <c r="F85" s="6" t="s">
        <v>434</v>
      </c>
      <c r="G85" s="6" t="s">
        <v>461</v>
      </c>
    </row>
    <row r="86" spans="2:7" ht="12.75" x14ac:dyDescent="0.2">
      <c r="B86" s="16"/>
      <c r="D86" s="154" t="s">
        <v>409</v>
      </c>
      <c r="E86" s="88">
        <v>329</v>
      </c>
      <c r="F86" s="6" t="s">
        <v>434</v>
      </c>
      <c r="G86" s="6" t="s">
        <v>461</v>
      </c>
    </row>
    <row r="87" spans="2:7" ht="12.75" x14ac:dyDescent="0.2">
      <c r="B87" s="16"/>
      <c r="D87" s="154" t="s">
        <v>433</v>
      </c>
      <c r="E87" s="88">
        <v>312</v>
      </c>
      <c r="F87" s="6" t="s">
        <v>434</v>
      </c>
      <c r="G87" s="6" t="s">
        <v>461</v>
      </c>
    </row>
    <row r="88" spans="2:7" x14ac:dyDescent="0.2">
      <c r="B88" s="16"/>
      <c r="D88" s="155"/>
    </row>
    <row r="89" spans="2:7" x14ac:dyDescent="0.2">
      <c r="B89" s="16"/>
      <c r="D89" s="156" t="s">
        <v>422</v>
      </c>
      <c r="E89" s="146">
        <f>AVERAGE(530,984,1329,1329)</f>
        <v>1043</v>
      </c>
      <c r="F89" s="6" t="s">
        <v>397</v>
      </c>
      <c r="G89" s="6" t="s">
        <v>423</v>
      </c>
    </row>
    <row r="90" spans="2:7" x14ac:dyDescent="0.2">
      <c r="B90" s="16"/>
      <c r="D90" s="155"/>
    </row>
    <row r="91" spans="2:7" x14ac:dyDescent="0.2">
      <c r="B91" s="16"/>
      <c r="D91" s="6" t="s">
        <v>740</v>
      </c>
    </row>
    <row r="92" spans="2:7" x14ac:dyDescent="0.2">
      <c r="B92" s="16"/>
      <c r="D92" s="155" t="s">
        <v>949</v>
      </c>
      <c r="E92" s="146">
        <v>0.16</v>
      </c>
    </row>
    <row r="93" spans="2:7" x14ac:dyDescent="0.2">
      <c r="B93" s="16"/>
      <c r="D93" s="155"/>
    </row>
    <row r="94" spans="2:7" x14ac:dyDescent="0.2">
      <c r="B94" s="16"/>
      <c r="D94" s="156" t="s">
        <v>1107</v>
      </c>
      <c r="E94" s="145">
        <f>$E$92*E85/$E$89</f>
        <v>5.0469798657718119E-2</v>
      </c>
      <c r="F94" s="5" t="s">
        <v>176</v>
      </c>
    </row>
    <row r="95" spans="2:7" x14ac:dyDescent="0.2">
      <c r="B95" s="16"/>
      <c r="D95" s="156" t="s">
        <v>1117</v>
      </c>
      <c r="E95" s="145">
        <f>$E$92*E86/$E$89</f>
        <v>5.0469798657718119E-2</v>
      </c>
      <c r="F95" s="5" t="s">
        <v>176</v>
      </c>
    </row>
    <row r="96" spans="2:7" x14ac:dyDescent="0.2">
      <c r="B96" s="16"/>
      <c r="D96" s="156" t="s">
        <v>1118</v>
      </c>
      <c r="E96" s="145">
        <f>$E$92*E87/$E$89</f>
        <v>4.7861936720997124E-2</v>
      </c>
      <c r="F96" s="5" t="s">
        <v>176</v>
      </c>
    </row>
    <row r="97" spans="2:7" x14ac:dyDescent="0.2">
      <c r="B97" s="16"/>
    </row>
    <row r="98" spans="2:7" x14ac:dyDescent="0.2">
      <c r="B98" s="16"/>
      <c r="D98" s="6" t="s">
        <v>976</v>
      </c>
    </row>
    <row r="99" spans="2:7" x14ac:dyDescent="0.2">
      <c r="B99" s="16"/>
      <c r="D99" s="6" t="s">
        <v>977</v>
      </c>
      <c r="F99" s="5"/>
    </row>
    <row r="100" spans="2:7" x14ac:dyDescent="0.2">
      <c r="B100" s="16"/>
      <c r="D100" s="156" t="s">
        <v>1109</v>
      </c>
      <c r="E100" s="387">
        <v>0</v>
      </c>
      <c r="F100" s="5" t="s">
        <v>176</v>
      </c>
    </row>
    <row r="101" spans="2:7" x14ac:dyDescent="0.2">
      <c r="B101" s="16"/>
      <c r="D101" s="156" t="s">
        <v>1119</v>
      </c>
      <c r="E101" s="387">
        <v>0</v>
      </c>
      <c r="F101" s="5" t="s">
        <v>176</v>
      </c>
    </row>
    <row r="102" spans="2:7" x14ac:dyDescent="0.2">
      <c r="B102" s="16"/>
      <c r="D102" s="156" t="s">
        <v>1120</v>
      </c>
      <c r="E102" s="387">
        <v>0</v>
      </c>
      <c r="F102" s="5" t="s">
        <v>176</v>
      </c>
    </row>
    <row r="103" spans="2:7" x14ac:dyDescent="0.2">
      <c r="B103" s="16"/>
    </row>
    <row r="104" spans="2:7" x14ac:dyDescent="0.2">
      <c r="B104" s="16"/>
      <c r="C104" s="109" t="s">
        <v>324</v>
      </c>
    </row>
    <row r="105" spans="2:7" ht="12.75" x14ac:dyDescent="0.2">
      <c r="B105" s="16"/>
      <c r="D105" s="95" t="s">
        <v>618</v>
      </c>
      <c r="E105" s="225">
        <v>6042</v>
      </c>
      <c r="F105" s="6" t="s">
        <v>164</v>
      </c>
      <c r="G105" s="6" t="s">
        <v>455</v>
      </c>
    </row>
    <row r="106" spans="2:7" ht="12.75" x14ac:dyDescent="0.2">
      <c r="B106" s="16"/>
      <c r="D106" s="95" t="s">
        <v>619</v>
      </c>
      <c r="E106" s="225">
        <v>9210</v>
      </c>
      <c r="F106" s="6" t="s">
        <v>164</v>
      </c>
      <c r="G106" s="6" t="s">
        <v>455</v>
      </c>
    </row>
    <row r="107" spans="2:7" ht="12.75" x14ac:dyDescent="0.2">
      <c r="B107" s="16"/>
      <c r="D107" s="95" t="s">
        <v>620</v>
      </c>
      <c r="E107" s="225">
        <v>9471</v>
      </c>
      <c r="F107" s="6" t="s">
        <v>164</v>
      </c>
      <c r="G107" s="6" t="s">
        <v>456</v>
      </c>
    </row>
    <row r="108" spans="2:7" x14ac:dyDescent="0.2">
      <c r="B108" s="16"/>
      <c r="E108" s="226"/>
    </row>
    <row r="109" spans="2:7" ht="12.75" x14ac:dyDescent="0.2">
      <c r="B109" s="16"/>
      <c r="D109" s="95" t="s">
        <v>621</v>
      </c>
      <c r="E109" s="225">
        <v>3586</v>
      </c>
      <c r="F109" s="6" t="s">
        <v>164</v>
      </c>
      <c r="G109" s="6" t="s">
        <v>456</v>
      </c>
    </row>
    <row r="110" spans="2:7" x14ac:dyDescent="0.2">
      <c r="B110" s="16"/>
    </row>
    <row r="111" spans="2:7" ht="12.75" x14ac:dyDescent="0.2">
      <c r="B111" s="16"/>
      <c r="C111" s="36" t="s">
        <v>1181</v>
      </c>
      <c r="D111" s="41" t="str">
        <f>INPUT_INCLUDEGASLINE</f>
        <v>Yes</v>
      </c>
    </row>
    <row r="112" spans="2:7" ht="12.75" x14ac:dyDescent="0.2">
      <c r="B112" s="16"/>
      <c r="C112" s="36" t="s">
        <v>1182</v>
      </c>
      <c r="D112" s="233">
        <f>IF(D111="No",0,INPUT_GASLINECOST)</f>
        <v>5600</v>
      </c>
      <c r="E112" s="188" t="s">
        <v>1180</v>
      </c>
    </row>
    <row r="113" spans="2:6" x14ac:dyDescent="0.2">
      <c r="B113" s="16"/>
    </row>
    <row r="114" spans="2:6" ht="12.75" x14ac:dyDescent="0.2">
      <c r="B114" s="16"/>
      <c r="C114" s="420" t="s">
        <v>1196</v>
      </c>
      <c r="D114" s="146">
        <v>0</v>
      </c>
      <c r="E114" s="188" t="s">
        <v>1180</v>
      </c>
      <c r="F114" s="8" t="s">
        <v>1340</v>
      </c>
    </row>
    <row r="115" spans="2:6" x14ac:dyDescent="0.2">
      <c r="B115" s="16"/>
    </row>
    <row r="116" spans="2:6" ht="12.75" x14ac:dyDescent="0.2">
      <c r="B116" s="16"/>
      <c r="D116" s="95" t="s">
        <v>331</v>
      </c>
      <c r="E116" s="224">
        <f>E105+$E$109+$D$112+$D$114</f>
        <v>15228</v>
      </c>
      <c r="F116" s="6" t="s">
        <v>164</v>
      </c>
    </row>
    <row r="117" spans="2:6" ht="12.75" x14ac:dyDescent="0.2">
      <c r="B117" s="16"/>
      <c r="D117" s="95" t="s">
        <v>332</v>
      </c>
      <c r="E117" s="224">
        <f>E106+$E$109+$D$112+$D$114</f>
        <v>18396</v>
      </c>
      <c r="F117" s="6" t="s">
        <v>164</v>
      </c>
    </row>
    <row r="118" spans="2:6" ht="12.75" x14ac:dyDescent="0.2">
      <c r="B118" s="16"/>
      <c r="D118" s="95" t="s">
        <v>393</v>
      </c>
      <c r="E118" s="224">
        <f>E107+$E$109+$D$112+$D$114</f>
        <v>18657</v>
      </c>
      <c r="F118" s="6" t="s">
        <v>164</v>
      </c>
    </row>
    <row r="119" spans="2:6" x14ac:dyDescent="0.2">
      <c r="B119" s="16"/>
    </row>
    <row r="120" spans="2:6" x14ac:dyDescent="0.2">
      <c r="B120" s="16"/>
    </row>
    <row r="121" spans="2:6" x14ac:dyDescent="0.2">
      <c r="B121" s="16"/>
    </row>
    <row r="122" spans="2:6" x14ac:dyDescent="0.2">
      <c r="B122" s="16"/>
    </row>
    <row r="123" spans="2:6" x14ac:dyDescent="0.2">
      <c r="B123" s="16"/>
    </row>
    <row r="124" spans="2:6" x14ac:dyDescent="0.2">
      <c r="B124" s="16"/>
    </row>
    <row r="125" spans="2:6" x14ac:dyDescent="0.2">
      <c r="B125" s="16"/>
    </row>
    <row r="126" spans="2:6" x14ac:dyDescent="0.2">
      <c r="B126" s="16"/>
    </row>
    <row r="127" spans="2:6" x14ac:dyDescent="0.2">
      <c r="B127" s="16"/>
    </row>
    <row r="128" spans="2:6" x14ac:dyDescent="0.2">
      <c r="B128" s="16"/>
    </row>
    <row r="129" spans="2:2" x14ac:dyDescent="0.2">
      <c r="B129" s="16"/>
    </row>
    <row r="130" spans="2:2" x14ac:dyDescent="0.2">
      <c r="B130" s="16"/>
    </row>
    <row r="131" spans="2:2" x14ac:dyDescent="0.2">
      <c r="B131" s="16"/>
    </row>
    <row r="132" spans="2:2" x14ac:dyDescent="0.2">
      <c r="B132" s="16"/>
    </row>
    <row r="133" spans="2:2" x14ac:dyDescent="0.2">
      <c r="B133" s="16"/>
    </row>
    <row r="134" spans="2:2" x14ac:dyDescent="0.2">
      <c r="B134" s="16"/>
    </row>
    <row r="135" spans="2:2" x14ac:dyDescent="0.2">
      <c r="B135" s="16"/>
    </row>
    <row r="136" spans="2:2" x14ac:dyDescent="0.2">
      <c r="B136" s="16"/>
    </row>
    <row r="137" spans="2:2" x14ac:dyDescent="0.2">
      <c r="B137" s="16"/>
    </row>
    <row r="138" spans="2:2" x14ac:dyDescent="0.2">
      <c r="B138" s="16"/>
    </row>
    <row r="139" spans="2:2" x14ac:dyDescent="0.2">
      <c r="B139" s="16"/>
    </row>
    <row r="140" spans="2:2" x14ac:dyDescent="0.2">
      <c r="B140" s="16"/>
    </row>
    <row r="141" spans="2:2" x14ac:dyDescent="0.2">
      <c r="B141" s="16"/>
    </row>
    <row r="142" spans="2:2" x14ac:dyDescent="0.2">
      <c r="B142" s="16"/>
    </row>
    <row r="143" spans="2:2" x14ac:dyDescent="0.2">
      <c r="B143" s="16"/>
    </row>
  </sheetData>
  <mergeCells count="20">
    <mergeCell ref="D59:G59"/>
    <mergeCell ref="D60:G60"/>
    <mergeCell ref="D61:G61"/>
    <mergeCell ref="D52:E52"/>
    <mergeCell ref="F52:G52"/>
    <mergeCell ref="D53:E53"/>
    <mergeCell ref="F53:G53"/>
    <mergeCell ref="D58:G58"/>
    <mergeCell ref="D50:E50"/>
    <mergeCell ref="F50:G50"/>
    <mergeCell ref="H50:I50"/>
    <mergeCell ref="J50:K50"/>
    <mergeCell ref="H53:I53"/>
    <mergeCell ref="J53:K53"/>
    <mergeCell ref="D51:E51"/>
    <mergeCell ref="F51:G51"/>
    <mergeCell ref="H51:I51"/>
    <mergeCell ref="J51:K51"/>
    <mergeCell ref="H52:I52"/>
    <mergeCell ref="J52:K52"/>
  </mergeCells>
  <dataValidations count="2">
    <dataValidation type="list" allowBlank="1" showInputMessage="1" showErrorMessage="1" sqref="D5">
      <formula1>"1. Not Started,2. Analyzing,3. Ready"</formula1>
    </dataValidation>
    <dataValidation type="list" allowBlank="1" showInputMessage="1" showErrorMessage="1" sqref="D9">
      <formula1>DEFINED_MEASURES</formula1>
    </dataValidation>
  </dataValidations>
  <hyperlinks>
    <hyperlink ref="H59" r:id="rId1"/>
  </hyperlinks>
  <pageMargins left="0.7" right="0.7" top="0.75" bottom="0.75" header="0.3" footer="0.3"/>
  <pageSetup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3"/>
  </sheetPr>
  <dimension ref="A1:AD131"/>
  <sheetViews>
    <sheetView topLeftCell="A19" workbookViewId="0">
      <selection activeCell="L28" sqref="L28"/>
    </sheetView>
  </sheetViews>
  <sheetFormatPr defaultColWidth="9.33203125" defaultRowHeight="11.25" x14ac:dyDescent="0.2"/>
  <cols>
    <col min="1" max="2" width="3.33203125" style="6" customWidth="1"/>
    <col min="3" max="3" width="22.6640625" style="6" bestFit="1" customWidth="1"/>
    <col min="4" max="4" width="14.33203125" style="6" customWidth="1"/>
    <col min="5" max="5" width="16.33203125" style="6" customWidth="1"/>
    <col min="6" max="6" width="15" style="6" customWidth="1"/>
    <col min="7" max="7" width="13.5" style="6" customWidth="1"/>
    <col min="8" max="8" width="14.6640625" style="6" customWidth="1"/>
    <col min="9" max="9" width="22.33203125" style="6" bestFit="1" customWidth="1"/>
    <col min="10" max="10" width="20.5" style="6" bestFit="1" customWidth="1"/>
    <col min="11"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93" t="s">
        <v>98</v>
      </c>
      <c r="E9" s="7" t="s">
        <v>290</v>
      </c>
    </row>
    <row r="10" spans="1:30" ht="12.75" x14ac:dyDescent="0.2">
      <c r="B10" s="16"/>
      <c r="C10" s="30" t="s">
        <v>289</v>
      </c>
      <c r="D10" s="83" t="str">
        <f>INDEX(Tbl_MeasureList[Baseline ID],MATCH($D$9,Tbl_MeasureList[Measure ID],0))</f>
        <v>BASE03</v>
      </c>
      <c r="E10" s="7"/>
    </row>
    <row r="11" spans="1:30" x14ac:dyDescent="0.2">
      <c r="B11" s="16"/>
      <c r="C11" s="7"/>
      <c r="D11" s="7"/>
      <c r="E11" s="7"/>
    </row>
    <row r="12" spans="1:30" ht="12" thickBot="1" x14ac:dyDescent="0.25">
      <c r="B12" s="16"/>
      <c r="C12" s="7"/>
      <c r="D12" s="89" t="s">
        <v>5</v>
      </c>
      <c r="E12" s="89" t="s">
        <v>284</v>
      </c>
    </row>
    <row r="13" spans="1:30" x14ac:dyDescent="0.2">
      <c r="B13" s="16"/>
      <c r="C13" s="32" t="s">
        <v>2</v>
      </c>
      <c r="D13" s="84" t="str">
        <f>INDEX(Tbl_MeasureList[Baseline Equipment ID],MATCH($D$9,Tbl_MeasureList[Measure ID],0))</f>
        <v>EQUI003</v>
      </c>
      <c r="E13" s="84" t="str">
        <f>INDEX(Tbl_MeasureList[Replacement ID],MATCH($D$9,Tbl_MeasureList[Measure ID],0))</f>
        <v>EQUI020</v>
      </c>
      <c r="F13" s="7"/>
    </row>
    <row r="14" spans="1:30" x14ac:dyDescent="0.2">
      <c r="B14" s="16"/>
      <c r="C14" s="32" t="s">
        <v>4</v>
      </c>
      <c r="D14" s="85" t="str">
        <f>INDEX(Tbl_EquipmentDefinitions[[Equipment Name]:[Equipment Name]],MATCH(D$13,Tbl_EquipmentDefinitions[[Equipment ID]:[Equipment ID]],0))</f>
        <v>Oil Furnace</v>
      </c>
      <c r="E14" s="85" t="str">
        <f>INDEX(Tbl_EquipmentDefinitions[[Equipment Name]:[Equipment Name]],MATCH(E$13,Tbl_EquipmentDefinitions[[Equipment ID]:[Equipment ID]],0))</f>
        <v>Gas Furnace</v>
      </c>
      <c r="F14" s="7"/>
    </row>
    <row r="15" spans="1:30" x14ac:dyDescent="0.2">
      <c r="B15" s="16"/>
      <c r="C15" s="32" t="s">
        <v>24</v>
      </c>
      <c r="D15" s="84" t="str">
        <f>INDEX(Tbl_EquipmentDefinitions[[Function]:[Function]],MATCH(D$13,Tbl_EquipmentDefinitions[[Equipment ID]:[Equipment ID]],0))</f>
        <v>Heat</v>
      </c>
      <c r="E15" s="84" t="str">
        <f>INDEX(Tbl_EquipmentDefinitions[[Function]:[Function]],MATCH(E$13,Tbl_EquipmentDefinitions[[Equipment ID]:[Equipment ID]],0))</f>
        <v>Heat</v>
      </c>
      <c r="F15" s="7"/>
    </row>
    <row r="16" spans="1:30" x14ac:dyDescent="0.2">
      <c r="B16" s="16"/>
      <c r="C16" s="32" t="s">
        <v>7</v>
      </c>
      <c r="D16" s="85" t="str">
        <f>INDEX(Tbl_EquipmentDefinitions[[Fuel Type]:[Fuel Type]],MATCH(D$13,Tbl_EquipmentDefinitions[[Equipment ID]:[Equipment ID]],0))</f>
        <v>Oil</v>
      </c>
      <c r="E16" s="85" t="str">
        <f>INDEX(Tbl_EquipmentDefinitions[[Fuel Type]:[Fuel Type]],MATCH(E$13,Tbl_EquipmentDefinitions[[Equipment ID]:[Equipment ID]],0))</f>
        <v>Natural Gas</v>
      </c>
      <c r="F16" s="7"/>
    </row>
    <row r="17" spans="2:14" x14ac:dyDescent="0.2">
      <c r="B17" s="16"/>
      <c r="C17" s="32" t="s">
        <v>126</v>
      </c>
      <c r="D17" s="84">
        <f>IF(ISERR(SEARCH("+",D16,1)),1,2)</f>
        <v>1</v>
      </c>
      <c r="E17" s="84">
        <f>IF(ISERR(SEARCH("+",E16,1)),1,2)</f>
        <v>1</v>
      </c>
      <c r="F17" s="7"/>
    </row>
    <row r="18" spans="2:14" x14ac:dyDescent="0.2">
      <c r="B18" s="16"/>
      <c r="C18" s="32" t="s">
        <v>155</v>
      </c>
      <c r="D18" s="86">
        <f>INDEX(Tbl_BaselineSummary[Space Heating Load (MMBtu/yr)],MATCH($D$10,Tbl_BaselineSummary[Baseline ID],0))</f>
        <v>68.400000000000006</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13.9</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89" t="s">
        <v>127</v>
      </c>
      <c r="D25" s="281" t="s">
        <v>345</v>
      </c>
      <c r="E25" s="385" t="s">
        <v>956</v>
      </c>
      <c r="F25" s="281" t="s">
        <v>326</v>
      </c>
      <c r="G25" s="421" t="s">
        <v>1532</v>
      </c>
      <c r="H25" s="385" t="s">
        <v>958</v>
      </c>
      <c r="I25" s="569" t="s">
        <v>1447</v>
      </c>
      <c r="J25" s="569" t="s">
        <v>1448</v>
      </c>
      <c r="L25" s="89" t="s">
        <v>1533</v>
      </c>
      <c r="M25" s="421" t="s">
        <v>1531</v>
      </c>
    </row>
    <row r="26" spans="2:14" ht="11.25" customHeight="1" x14ac:dyDescent="0.2">
      <c r="B26" s="16"/>
      <c r="C26" s="32" t="s">
        <v>6</v>
      </c>
      <c r="D26" s="122">
        <f>E90</f>
        <v>374</v>
      </c>
      <c r="E26" s="126">
        <f>E96</f>
        <v>5.7372962607861941E-2</v>
      </c>
      <c r="F26" s="111">
        <f>D26*PRICE_PER_KWH_2018_ELECTRICITY</f>
        <v>73.977199999999996</v>
      </c>
      <c r="G26" s="39">
        <v>0</v>
      </c>
      <c r="H26" s="139">
        <v>0</v>
      </c>
      <c r="I26" s="39">
        <v>0</v>
      </c>
      <c r="J26" s="122">
        <f>E90</f>
        <v>374</v>
      </c>
      <c r="L26" s="84">
        <f t="shared" ref="L26:M28" si="0">F26+E32+E38+E44</f>
        <v>1371.9677882352944</v>
      </c>
      <c r="M26" s="86">
        <f t="shared" si="0"/>
        <v>10197</v>
      </c>
    </row>
    <row r="27" spans="2:14" x14ac:dyDescent="0.2">
      <c r="B27" s="16"/>
      <c r="C27" s="32" t="s">
        <v>19</v>
      </c>
      <c r="D27" s="122">
        <f>E91</f>
        <v>206</v>
      </c>
      <c r="E27" s="126">
        <f>E97</f>
        <v>3.8172962607861932E-2</v>
      </c>
      <c r="F27" s="111">
        <f>D27*PRICE_PER_KWH_2018_ELECTRICITY</f>
        <v>40.7468</v>
      </c>
      <c r="G27" s="39">
        <v>0</v>
      </c>
      <c r="H27" s="139">
        <v>0</v>
      </c>
      <c r="I27" s="39">
        <v>0</v>
      </c>
      <c r="J27" s="122">
        <f t="shared" ref="J27:J28" si="1">E91</f>
        <v>206</v>
      </c>
      <c r="L27" s="84">
        <f t="shared" si="0"/>
        <v>1208.7864460377359</v>
      </c>
      <c r="M27" s="86">
        <f t="shared" si="0"/>
        <v>11157</v>
      </c>
    </row>
    <row r="28" spans="2:14" x14ac:dyDescent="0.2">
      <c r="B28" s="16"/>
      <c r="C28" s="32" t="s">
        <v>20</v>
      </c>
      <c r="D28" s="122">
        <f>E92</f>
        <v>206</v>
      </c>
      <c r="E28" s="126">
        <f>E98</f>
        <v>3.8172962607861932E-2</v>
      </c>
      <c r="F28" s="111">
        <f>D28*PRICE_PER_KWH_2018_ELECTRICITY</f>
        <v>40.7468</v>
      </c>
      <c r="G28" s="39">
        <v>0</v>
      </c>
      <c r="H28" s="139">
        <v>0</v>
      </c>
      <c r="I28" s="39">
        <v>0</v>
      </c>
      <c r="J28" s="122">
        <f t="shared" si="1"/>
        <v>206</v>
      </c>
      <c r="L28" s="84">
        <f t="shared" si="0"/>
        <v>1187.369954074074</v>
      </c>
      <c r="M28" s="86">
        <f t="shared" si="0"/>
        <v>11970</v>
      </c>
    </row>
    <row r="29" spans="2:14" x14ac:dyDescent="0.2">
      <c r="B29" s="16"/>
    </row>
    <row r="30" spans="2:14" ht="12.75" thickBot="1" x14ac:dyDescent="0.25">
      <c r="B30" s="16"/>
      <c r="C30" s="34" t="s">
        <v>55</v>
      </c>
      <c r="D30" s="34"/>
      <c r="E30" s="33"/>
      <c r="F30" s="33"/>
    </row>
    <row r="31" spans="2:14" ht="34.5" thickBot="1" x14ac:dyDescent="0.25">
      <c r="B31" s="16"/>
      <c r="C31" s="89" t="s">
        <v>127</v>
      </c>
      <c r="D31" s="281" t="s">
        <v>325</v>
      </c>
      <c r="E31" s="281" t="s">
        <v>326</v>
      </c>
      <c r="F31" s="421" t="s">
        <v>1532</v>
      </c>
    </row>
    <row r="32" spans="2:14" x14ac:dyDescent="0.2">
      <c r="B32" s="16"/>
      <c r="C32" s="32" t="s">
        <v>6</v>
      </c>
      <c r="D32" s="122">
        <f>E77</f>
        <v>804.70588235294122</v>
      </c>
      <c r="E32" s="111">
        <f>D32*PRICE_PER_THERM_2018_NATURALGAS</f>
        <v>1297.9905882352944</v>
      </c>
      <c r="F32" s="111">
        <f>E109</f>
        <v>10197</v>
      </c>
      <c r="G32" s="7" t="s">
        <v>128</v>
      </c>
    </row>
    <row r="33" spans="2:14" x14ac:dyDescent="0.2">
      <c r="B33" s="16"/>
      <c r="C33" s="32" t="s">
        <v>19</v>
      </c>
      <c r="D33" s="122">
        <f>E78</f>
        <v>724.14113207547166</v>
      </c>
      <c r="E33" s="111">
        <f>D33*PRICE_PER_THERM_2018_NATURALGAS</f>
        <v>1168.039646037736</v>
      </c>
      <c r="F33" s="111">
        <f t="shared" ref="F33:F34" si="2">E110</f>
        <v>11157</v>
      </c>
    </row>
    <row r="34" spans="2:14" x14ac:dyDescent="0.2">
      <c r="B34" s="16"/>
      <c r="C34" s="32" t="s">
        <v>20</v>
      </c>
      <c r="D34" s="122">
        <f>E79</f>
        <v>710.86370370370366</v>
      </c>
      <c r="E34" s="111">
        <f>D34*PRICE_PER_THERM_2018_NATURALGAS</f>
        <v>1146.6231540740741</v>
      </c>
      <c r="F34" s="111">
        <f t="shared" si="2"/>
        <v>11970</v>
      </c>
    </row>
    <row r="35" spans="2:14" x14ac:dyDescent="0.2">
      <c r="B35" s="16"/>
    </row>
    <row r="36" spans="2:14" ht="12.75" thickBot="1" x14ac:dyDescent="0.25">
      <c r="B36" s="16"/>
      <c r="C36" s="34" t="s">
        <v>28</v>
      </c>
      <c r="D36" s="34"/>
      <c r="E36" s="33"/>
      <c r="F36" s="33"/>
    </row>
    <row r="37" spans="2:14" ht="34.5" thickBot="1" x14ac:dyDescent="0.25">
      <c r="B37" s="16"/>
      <c r="C37" s="89" t="s">
        <v>127</v>
      </c>
      <c r="D37" s="281" t="s">
        <v>756</v>
      </c>
      <c r="E37" s="281" t="s">
        <v>326</v>
      </c>
      <c r="F37" s="421"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34.5" thickBot="1" x14ac:dyDescent="0.25">
      <c r="B43" s="16"/>
      <c r="C43" s="89" t="s">
        <v>127</v>
      </c>
      <c r="D43" s="281" t="s">
        <v>756</v>
      </c>
      <c r="E43" s="281" t="s">
        <v>326</v>
      </c>
      <c r="F43" s="421" t="s">
        <v>1532</v>
      </c>
    </row>
    <row r="44" spans="2:14" x14ac:dyDescent="0.2">
      <c r="B44" s="16"/>
      <c r="C44" s="32" t="s">
        <v>6</v>
      </c>
      <c r="D44" s="40">
        <v>0</v>
      </c>
      <c r="E44" s="39">
        <v>0</v>
      </c>
      <c r="F44" s="39">
        <v>0</v>
      </c>
      <c r="G44" s="7" t="s">
        <v>128</v>
      </c>
    </row>
    <row r="45" spans="2:14" x14ac:dyDescent="0.2">
      <c r="B45" s="16"/>
      <c r="C45" s="32" t="s">
        <v>19</v>
      </c>
      <c r="D45" s="40">
        <v>0</v>
      </c>
      <c r="E45" s="39">
        <v>0</v>
      </c>
      <c r="F45" s="39">
        <v>0</v>
      </c>
    </row>
    <row r="46" spans="2:14" x14ac:dyDescent="0.2">
      <c r="B46" s="16"/>
      <c r="C46" s="32" t="s">
        <v>20</v>
      </c>
      <c r="D46" s="40">
        <v>0</v>
      </c>
      <c r="E46" s="39">
        <v>0</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v>
      </c>
      <c r="E51" s="690"/>
      <c r="F51" s="693" t="str">
        <f>INDEX(Tbl_EquipmentDefinitions[Natural Gas Code Efficiency],MATCH($E$13,Tbl_EquipmentDefinitions[Equipment ID],0))</f>
        <v>85% AFUE</v>
      </c>
      <c r="G51" s="690"/>
      <c r="H51" s="693" t="str">
        <f>INDEX(Tbl_EquipmentDefinitions[Propane Code Efficiency],MATCH($E$13,Tbl_EquipmentDefinitions[Equipment ID],0))</f>
        <v>-</v>
      </c>
      <c r="I51" s="690"/>
      <c r="J51" s="693" t="str">
        <f>INDEX(Tbl_EquipmentDefinitions[Oil Code Efficiency],MATCH($E$13,Tbl_EquipmentDefinitions[Equipment ID],0))</f>
        <v>-</v>
      </c>
      <c r="K51" s="690"/>
    </row>
    <row r="52" spans="2:14" ht="12.75" x14ac:dyDescent="0.2">
      <c r="B52" s="16"/>
      <c r="C52" s="30" t="s">
        <v>153</v>
      </c>
      <c r="D52" s="689" t="str">
        <f>INDEX(Tbl_EquipmentDefinitions[Electricity Low Measure Efficiency],MATCH($E$13,Tbl_EquipmentDefinitions[Equipment ID],0))</f>
        <v>-</v>
      </c>
      <c r="E52" s="690"/>
      <c r="F52" s="689" t="str">
        <f>INDEX(Tbl_EquipmentDefinitions[Natural Gas Low Measure Efficiency],MATCH($E$13,Tbl_EquipmentDefinitions[Equipment ID],0))</f>
        <v>95% AFUE (95.4% actual) w/ ECM fan motor</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v>
      </c>
      <c r="E53" s="690"/>
      <c r="F53" s="689" t="str">
        <f>INDEX(Tbl_EquipmentDefinitions[Natural Gas High Measure Efficiency],MATCH($E$13,Tbl_EquipmentDefinitions[Equipment ID],0))</f>
        <v>97% AFUE (97.2% actual) w/ ECM fan motor</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163" t="s">
        <v>131</v>
      </c>
      <c r="D58" s="691" t="s">
        <v>132</v>
      </c>
      <c r="E58" s="692"/>
      <c r="F58" s="692"/>
      <c r="G58" s="692"/>
    </row>
    <row r="59" spans="2:14" x14ac:dyDescent="0.2">
      <c r="B59" s="16"/>
      <c r="C59" s="192" t="s">
        <v>543</v>
      </c>
      <c r="D59" s="193" t="s">
        <v>316</v>
      </c>
      <c r="E59" s="194"/>
      <c r="F59" s="194"/>
      <c r="G59" s="194"/>
      <c r="H59" s="195" t="s">
        <v>317</v>
      </c>
    </row>
    <row r="60" spans="2:14" x14ac:dyDescent="0.2">
      <c r="B60" s="16"/>
      <c r="C60" s="196" t="s">
        <v>408</v>
      </c>
      <c r="D60" s="120" t="s">
        <v>544</v>
      </c>
      <c r="E60" s="121"/>
      <c r="F60" s="121"/>
      <c r="G60" s="121"/>
      <c r="H60" s="195" t="s">
        <v>545</v>
      </c>
    </row>
    <row r="61" spans="2:14" x14ac:dyDescent="0.2">
      <c r="B61" s="16"/>
      <c r="C61" s="6" t="s">
        <v>546</v>
      </c>
      <c r="D61" s="6" t="s">
        <v>547</v>
      </c>
      <c r="H61" s="94"/>
    </row>
    <row r="62" spans="2:14" x14ac:dyDescent="0.2">
      <c r="B62" s="16"/>
    </row>
    <row r="64" spans="2:14" ht="13.5" thickBot="1" x14ac:dyDescent="0.25">
      <c r="B64" s="9" t="s">
        <v>129</v>
      </c>
      <c r="C64" s="9"/>
      <c r="D64" s="9"/>
      <c r="E64" s="9"/>
      <c r="F64" s="9"/>
      <c r="G64" s="9"/>
      <c r="H64" s="9"/>
      <c r="I64" s="9"/>
      <c r="J64" s="9"/>
      <c r="K64" s="9"/>
      <c r="L64" s="9"/>
      <c r="M64" s="9"/>
      <c r="N64" s="9"/>
    </row>
    <row r="65" spans="2:7" x14ac:dyDescent="0.2">
      <c r="B65" s="15"/>
    </row>
    <row r="66" spans="2:7" x14ac:dyDescent="0.2">
      <c r="B66" s="16"/>
      <c r="C66" s="6" t="s">
        <v>453</v>
      </c>
    </row>
    <row r="67" spans="2:7" x14ac:dyDescent="0.2">
      <c r="B67" s="16"/>
      <c r="C67" s="6" t="s">
        <v>548</v>
      </c>
    </row>
    <row r="68" spans="2:7" x14ac:dyDescent="0.2">
      <c r="B68" s="16"/>
    </row>
    <row r="69" spans="2:7" ht="12.75" x14ac:dyDescent="0.2">
      <c r="B69" s="16"/>
      <c r="D69" s="95" t="s">
        <v>155</v>
      </c>
      <c r="E69" s="140">
        <f>D18</f>
        <v>68.400000000000006</v>
      </c>
      <c r="F69" s="6" t="s">
        <v>381</v>
      </c>
      <c r="G69" s="6" t="s">
        <v>549</v>
      </c>
    </row>
    <row r="70" spans="2:7" x14ac:dyDescent="0.2">
      <c r="B70" s="16"/>
    </row>
    <row r="71" spans="2:7" ht="12.75" x14ac:dyDescent="0.2">
      <c r="B71" s="16"/>
      <c r="D71" s="95" t="s">
        <v>159</v>
      </c>
      <c r="E71" s="150">
        <v>0.85</v>
      </c>
      <c r="F71" s="6" t="s">
        <v>158</v>
      </c>
      <c r="G71" s="45" t="s">
        <v>371</v>
      </c>
    </row>
    <row r="72" spans="2:7" ht="12.75" x14ac:dyDescent="0.2">
      <c r="B72" s="16"/>
      <c r="D72" s="95" t="s">
        <v>180</v>
      </c>
      <c r="E72" s="150">
        <v>0.95399999999999996</v>
      </c>
      <c r="F72" s="6" t="s">
        <v>158</v>
      </c>
      <c r="G72" s="8"/>
    </row>
    <row r="73" spans="2:7" ht="12.75" x14ac:dyDescent="0.2">
      <c r="B73" s="16"/>
      <c r="D73" s="95" t="s">
        <v>181</v>
      </c>
      <c r="E73" s="150">
        <v>0.97199999999999998</v>
      </c>
      <c r="F73" s="6" t="s">
        <v>158</v>
      </c>
      <c r="G73" s="8"/>
    </row>
    <row r="74" spans="2:7" x14ac:dyDescent="0.2">
      <c r="B74" s="16"/>
    </row>
    <row r="75" spans="2:7" ht="12.75" x14ac:dyDescent="0.2">
      <c r="B75" s="16"/>
      <c r="D75" s="154" t="s">
        <v>550</v>
      </c>
      <c r="E75" s="197">
        <v>-0.71599999999999997</v>
      </c>
      <c r="F75" s="6" t="s">
        <v>551</v>
      </c>
      <c r="G75" s="6" t="s">
        <v>552</v>
      </c>
    </row>
    <row r="76" spans="2:7" x14ac:dyDescent="0.2">
      <c r="B76" s="16"/>
    </row>
    <row r="77" spans="2:7" ht="12.75" x14ac:dyDescent="0.2">
      <c r="B77" s="16"/>
      <c r="D77" s="95" t="s">
        <v>329</v>
      </c>
      <c r="E77" s="41">
        <f>Therm_per_MMBtu*($E$69)/E71</f>
        <v>804.70588235294122</v>
      </c>
      <c r="F77" s="6" t="s">
        <v>372</v>
      </c>
      <c r="G77" s="6" t="s">
        <v>553</v>
      </c>
    </row>
    <row r="78" spans="2:7" ht="12.75" x14ac:dyDescent="0.2">
      <c r="B78" s="16"/>
      <c r="D78" s="95" t="s">
        <v>330</v>
      </c>
      <c r="E78" s="198">
        <f>Therm_per_MMBtu*($E$69)/E72-E75*Therm_per_MMBtu</f>
        <v>724.14113207547166</v>
      </c>
      <c r="F78" s="6" t="s">
        <v>372</v>
      </c>
      <c r="G78" s="6" t="s">
        <v>554</v>
      </c>
    </row>
    <row r="79" spans="2:7" ht="12.75" x14ac:dyDescent="0.2">
      <c r="B79" s="16"/>
      <c r="D79" s="95" t="s">
        <v>390</v>
      </c>
      <c r="E79" s="198">
        <f>Therm_per_MMBtu*($E$69)/E73-E75*Therm_per_MMBtu</f>
        <v>710.86370370370366</v>
      </c>
      <c r="F79" s="6" t="s">
        <v>372</v>
      </c>
      <c r="G79" s="6" t="s">
        <v>555</v>
      </c>
    </row>
    <row r="80" spans="2:7" x14ac:dyDescent="0.2">
      <c r="B80" s="16"/>
    </row>
    <row r="81" spans="2:7" x14ac:dyDescent="0.2">
      <c r="B81" s="16"/>
      <c r="C81" s="6" t="s">
        <v>556</v>
      </c>
    </row>
    <row r="82" spans="2:7" x14ac:dyDescent="0.2">
      <c r="B82" s="16"/>
      <c r="C82" s="6" t="s">
        <v>557</v>
      </c>
    </row>
    <row r="83" spans="2:7" x14ac:dyDescent="0.2">
      <c r="B83" s="16"/>
      <c r="C83" s="6" t="s">
        <v>558</v>
      </c>
    </row>
    <row r="84" spans="2:7" x14ac:dyDescent="0.2">
      <c r="B84" s="16"/>
      <c r="C84" s="6" t="s">
        <v>559</v>
      </c>
    </row>
    <row r="85" spans="2:7" x14ac:dyDescent="0.2">
      <c r="B85" s="16"/>
    </row>
    <row r="86" spans="2:7" ht="12.75" x14ac:dyDescent="0.2">
      <c r="B86" s="16"/>
      <c r="D86" s="154" t="s">
        <v>560</v>
      </c>
      <c r="E86" s="88">
        <v>168</v>
      </c>
      <c r="F86" s="6" t="s">
        <v>434</v>
      </c>
      <c r="G86" s="6" t="s">
        <v>561</v>
      </c>
    </row>
    <row r="87" spans="2:7" ht="12.75" x14ac:dyDescent="0.2">
      <c r="B87" s="16"/>
      <c r="D87" s="154" t="s">
        <v>562</v>
      </c>
      <c r="E87" s="199">
        <v>0.12</v>
      </c>
      <c r="F87" s="6" t="s">
        <v>176</v>
      </c>
      <c r="G87" s="6" t="s">
        <v>561</v>
      </c>
    </row>
    <row r="88" spans="2:7" ht="12.75" x14ac:dyDescent="0.2">
      <c r="B88" s="16"/>
      <c r="D88" s="154" t="s">
        <v>563</v>
      </c>
      <c r="E88" s="199">
        <v>0.16</v>
      </c>
      <c r="F88" s="6" t="s">
        <v>564</v>
      </c>
      <c r="G88" s="6" t="s">
        <v>565</v>
      </c>
    </row>
    <row r="89" spans="2:7" x14ac:dyDescent="0.2">
      <c r="B89" s="16"/>
    </row>
    <row r="90" spans="2:7" ht="12.75" x14ac:dyDescent="0.2">
      <c r="B90" s="16"/>
      <c r="D90" s="154" t="s">
        <v>408</v>
      </c>
      <c r="E90" s="88">
        <v>374</v>
      </c>
      <c r="F90" s="6" t="s">
        <v>434</v>
      </c>
      <c r="G90" s="6" t="s">
        <v>566</v>
      </c>
    </row>
    <row r="91" spans="2:7" ht="12.75" x14ac:dyDescent="0.2">
      <c r="B91" s="16"/>
      <c r="D91" s="154" t="s">
        <v>409</v>
      </c>
      <c r="E91" s="151">
        <f>E90-E86</f>
        <v>206</v>
      </c>
      <c r="F91" s="6" t="s">
        <v>434</v>
      </c>
      <c r="G91" s="6" t="s">
        <v>567</v>
      </c>
    </row>
    <row r="92" spans="2:7" ht="12.75" x14ac:dyDescent="0.2">
      <c r="B92" s="16"/>
      <c r="D92" s="154" t="s">
        <v>433</v>
      </c>
      <c r="E92" s="151">
        <f>E90-E86</f>
        <v>206</v>
      </c>
      <c r="F92" s="6" t="s">
        <v>434</v>
      </c>
      <c r="G92" s="6" t="s">
        <v>567</v>
      </c>
    </row>
    <row r="93" spans="2:7" x14ac:dyDescent="0.2">
      <c r="B93" s="16"/>
    </row>
    <row r="94" spans="2:7" ht="12.75" x14ac:dyDescent="0.2">
      <c r="B94" s="16"/>
      <c r="D94" s="154" t="s">
        <v>422</v>
      </c>
      <c r="E94" s="200">
        <f>AVERAGE(530,984,1329,1329)</f>
        <v>1043</v>
      </c>
      <c r="F94" s="6" t="s">
        <v>397</v>
      </c>
      <c r="G94" s="6" t="s">
        <v>423</v>
      </c>
    </row>
    <row r="95" spans="2:7" x14ac:dyDescent="0.2">
      <c r="B95" s="16"/>
    </row>
    <row r="96" spans="2:7" ht="12.75" x14ac:dyDescent="0.2">
      <c r="B96" s="16"/>
      <c r="D96" s="154" t="s">
        <v>568</v>
      </c>
      <c r="E96" s="199">
        <f>E88*E90/E94</f>
        <v>5.7372962607861941E-2</v>
      </c>
      <c r="F96" s="6" t="s">
        <v>176</v>
      </c>
      <c r="G96" s="6" t="s">
        <v>569</v>
      </c>
    </row>
    <row r="97" spans="2:7" ht="12.75" x14ac:dyDescent="0.2">
      <c r="B97" s="16"/>
      <c r="D97" s="154" t="s">
        <v>570</v>
      </c>
      <c r="E97" s="199">
        <f>E88*(E90/E94-E87)</f>
        <v>3.8172962607861932E-2</v>
      </c>
      <c r="F97" s="6" t="s">
        <v>176</v>
      </c>
      <c r="G97" s="6" t="s">
        <v>571</v>
      </c>
    </row>
    <row r="98" spans="2:7" ht="12.75" x14ac:dyDescent="0.2">
      <c r="B98" s="16"/>
      <c r="D98" s="154" t="s">
        <v>572</v>
      </c>
      <c r="E98" s="199">
        <f>E88*(E90/E94-E87)</f>
        <v>3.8172962607861932E-2</v>
      </c>
      <c r="F98" s="6" t="s">
        <v>176</v>
      </c>
      <c r="G98" s="6" t="s">
        <v>571</v>
      </c>
    </row>
    <row r="99" spans="2:7" x14ac:dyDescent="0.2">
      <c r="B99" s="16"/>
    </row>
    <row r="100" spans="2:7" ht="12.75" x14ac:dyDescent="0.2">
      <c r="B100" s="16"/>
      <c r="C100" s="36" t="s">
        <v>1181</v>
      </c>
      <c r="D100" s="41" t="str">
        <f>INPUT_INCLUDEGASLINE</f>
        <v>Yes</v>
      </c>
    </row>
    <row r="101" spans="2:7" ht="12.75" x14ac:dyDescent="0.2">
      <c r="B101" s="16"/>
      <c r="C101" s="36" t="s">
        <v>1182</v>
      </c>
      <c r="D101" s="233">
        <f>IF(D100="No",0,INPUT_GASLINECOST)</f>
        <v>5600</v>
      </c>
      <c r="E101" s="188" t="s">
        <v>1180</v>
      </c>
    </row>
    <row r="102" spans="2:7" x14ac:dyDescent="0.2">
      <c r="B102" s="16"/>
    </row>
    <row r="103" spans="2:7" x14ac:dyDescent="0.2">
      <c r="B103" s="16"/>
      <c r="C103" s="6" t="s">
        <v>1186</v>
      </c>
    </row>
    <row r="104" spans="2:7" ht="12.75" x14ac:dyDescent="0.2">
      <c r="B104" s="16"/>
      <c r="D104" s="95" t="s">
        <v>1183</v>
      </c>
      <c r="E104" s="108">
        <v>4597</v>
      </c>
      <c r="F104" s="6" t="s">
        <v>164</v>
      </c>
      <c r="G104" s="6" t="s">
        <v>573</v>
      </c>
    </row>
    <row r="105" spans="2:7" ht="12.75" x14ac:dyDescent="0.2">
      <c r="B105" s="16"/>
      <c r="D105" s="95" t="s">
        <v>1184</v>
      </c>
      <c r="E105" s="108">
        <v>5557</v>
      </c>
      <c r="F105" s="6" t="s">
        <v>164</v>
      </c>
      <c r="G105" s="6" t="s">
        <v>455</v>
      </c>
    </row>
    <row r="106" spans="2:7" ht="12.75" x14ac:dyDescent="0.2">
      <c r="B106" s="16"/>
      <c r="D106" s="95" t="s">
        <v>1185</v>
      </c>
      <c r="E106" s="108">
        <v>6370</v>
      </c>
      <c r="F106" s="6" t="s">
        <v>164</v>
      </c>
      <c r="G106" s="6" t="s">
        <v>456</v>
      </c>
    </row>
    <row r="107" spans="2:7" x14ac:dyDescent="0.2">
      <c r="B107" s="16"/>
    </row>
    <row r="108" spans="2:7" x14ac:dyDescent="0.2">
      <c r="B108" s="16"/>
      <c r="C108" s="6" t="s">
        <v>324</v>
      </c>
    </row>
    <row r="109" spans="2:7" ht="12.75" x14ac:dyDescent="0.2">
      <c r="B109" s="16"/>
      <c r="D109" s="95" t="s">
        <v>331</v>
      </c>
      <c r="E109" s="42">
        <f>E104+$D$101</f>
        <v>10197</v>
      </c>
      <c r="F109" s="6" t="s">
        <v>164</v>
      </c>
    </row>
    <row r="110" spans="2:7" ht="12.75" x14ac:dyDescent="0.2">
      <c r="B110" s="16"/>
      <c r="D110" s="95" t="s">
        <v>332</v>
      </c>
      <c r="E110" s="42">
        <f t="shared" ref="E110:E111" si="3">E105+$D$101</f>
        <v>11157</v>
      </c>
      <c r="F110" s="6" t="s">
        <v>164</v>
      </c>
    </row>
    <row r="111" spans="2:7" ht="12.75" x14ac:dyDescent="0.2">
      <c r="B111" s="16"/>
      <c r="D111" s="95" t="s">
        <v>393</v>
      </c>
      <c r="E111" s="42">
        <f t="shared" si="3"/>
        <v>11970</v>
      </c>
      <c r="F111" s="6" t="s">
        <v>164</v>
      </c>
    </row>
    <row r="112" spans="2:7" x14ac:dyDescent="0.2">
      <c r="B112" s="16"/>
    </row>
    <row r="113" spans="2:2" x14ac:dyDescent="0.2">
      <c r="B113" s="16"/>
    </row>
    <row r="114" spans="2:2" x14ac:dyDescent="0.2">
      <c r="B114" s="16"/>
    </row>
    <row r="115" spans="2:2" x14ac:dyDescent="0.2">
      <c r="B115" s="16"/>
    </row>
    <row r="116" spans="2:2" x14ac:dyDescent="0.2">
      <c r="B116" s="16"/>
    </row>
    <row r="117" spans="2:2" x14ac:dyDescent="0.2">
      <c r="B117" s="16"/>
    </row>
    <row r="118" spans="2:2" x14ac:dyDescent="0.2">
      <c r="B118" s="16"/>
    </row>
    <row r="119" spans="2:2" x14ac:dyDescent="0.2">
      <c r="B119" s="16"/>
    </row>
    <row r="120" spans="2:2" x14ac:dyDescent="0.2">
      <c r="B120" s="16"/>
    </row>
    <row r="121" spans="2:2" x14ac:dyDescent="0.2">
      <c r="B121" s="16"/>
    </row>
    <row r="122" spans="2:2" x14ac:dyDescent="0.2">
      <c r="B122" s="16"/>
    </row>
    <row r="123" spans="2:2" x14ac:dyDescent="0.2">
      <c r="B123" s="16"/>
    </row>
    <row r="124" spans="2:2" x14ac:dyDescent="0.2">
      <c r="B124" s="16"/>
    </row>
    <row r="125" spans="2:2" x14ac:dyDescent="0.2">
      <c r="B125" s="16"/>
    </row>
    <row r="126" spans="2:2" x14ac:dyDescent="0.2">
      <c r="B126" s="16"/>
    </row>
    <row r="127" spans="2:2" x14ac:dyDescent="0.2">
      <c r="B127" s="16"/>
    </row>
    <row r="128" spans="2:2" x14ac:dyDescent="0.2">
      <c r="B128" s="16"/>
    </row>
    <row r="129" spans="2:2" x14ac:dyDescent="0.2">
      <c r="B129" s="16"/>
    </row>
    <row r="130" spans="2:2" x14ac:dyDescent="0.2">
      <c r="B130" s="16"/>
    </row>
    <row r="131" spans="2:2" x14ac:dyDescent="0.2">
      <c r="B131" s="16"/>
    </row>
  </sheetData>
  <mergeCells count="17">
    <mergeCell ref="D58:G58"/>
    <mergeCell ref="D52:E52"/>
    <mergeCell ref="F52:G52"/>
    <mergeCell ref="H52:I52"/>
    <mergeCell ref="J52:K52"/>
    <mergeCell ref="D53:E53"/>
    <mergeCell ref="F53:G53"/>
    <mergeCell ref="H53:I53"/>
    <mergeCell ref="J53:K53"/>
    <mergeCell ref="D50:E50"/>
    <mergeCell ref="F50:G50"/>
    <mergeCell ref="H50:I50"/>
    <mergeCell ref="J50:K50"/>
    <mergeCell ref="D51:E51"/>
    <mergeCell ref="F51:G51"/>
    <mergeCell ref="H51:I51"/>
    <mergeCell ref="J51:K51"/>
  </mergeCells>
  <dataValidations disablePrompts="1" count="2">
    <dataValidation type="list" allowBlank="1" showInputMessage="1" showErrorMessage="1" sqref="D9">
      <formula1>DEFINED_MEASURES</formula1>
    </dataValidation>
    <dataValidation type="list" allowBlank="1" showInputMessage="1" showErrorMessage="1" sqref="D5">
      <formula1>"1. Not Started,2. Analyzing,3. Ready"</formula1>
    </dataValidation>
  </dataValidations>
  <hyperlinks>
    <hyperlink ref="H60" r:id="rId1"/>
  </hyperlinks>
  <pageMargins left="0.7" right="0.7" top="0.75" bottom="0.75" header="0.3" footer="0.3"/>
  <pageSetup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3"/>
  </sheetPr>
  <dimension ref="A1:AD135"/>
  <sheetViews>
    <sheetView workbookViewId="0"/>
  </sheetViews>
  <sheetFormatPr defaultColWidth="9.33203125" defaultRowHeight="11.25" x14ac:dyDescent="0.2"/>
  <cols>
    <col min="1" max="2" width="3.33203125" style="6" customWidth="1"/>
    <col min="3" max="3" width="22.6640625" style="6" bestFit="1" customWidth="1"/>
    <col min="4" max="4" width="14.33203125" style="6" customWidth="1"/>
    <col min="5" max="5" width="16.33203125" style="6" customWidth="1"/>
    <col min="6" max="6" width="15" style="6" customWidth="1"/>
    <col min="7" max="7" width="13.5" style="6" customWidth="1"/>
    <col min="8" max="8" width="17.5" style="6" customWidth="1"/>
    <col min="9" max="9" width="22.33203125" style="6" bestFit="1" customWidth="1"/>
    <col min="10" max="10" width="20.5" style="6" bestFit="1" customWidth="1"/>
    <col min="11"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93" t="s">
        <v>99</v>
      </c>
      <c r="E9" s="7" t="s">
        <v>290</v>
      </c>
    </row>
    <row r="10" spans="1:30" ht="12.75" x14ac:dyDescent="0.2">
      <c r="B10" s="16"/>
      <c r="C10" s="30" t="s">
        <v>289</v>
      </c>
      <c r="D10" s="83" t="str">
        <f>INDEX(Tbl_MeasureList[Baseline ID],MATCH($D$9,Tbl_MeasureList[Measure ID],0))</f>
        <v>BASE04</v>
      </c>
      <c r="E10" s="7"/>
    </row>
    <row r="11" spans="1:30" x14ac:dyDescent="0.2">
      <c r="B11" s="16"/>
      <c r="C11" s="7"/>
      <c r="D11" s="7"/>
      <c r="E11" s="7"/>
    </row>
    <row r="12" spans="1:30" ht="12" thickBot="1" x14ac:dyDescent="0.25">
      <c r="B12" s="16"/>
      <c r="C12" s="7"/>
      <c r="D12" s="89" t="s">
        <v>5</v>
      </c>
      <c r="E12" s="89" t="s">
        <v>284</v>
      </c>
    </row>
    <row r="13" spans="1:30" x14ac:dyDescent="0.2">
      <c r="B13" s="16"/>
      <c r="C13" s="32" t="s">
        <v>2</v>
      </c>
      <c r="D13" s="84" t="str">
        <f>INDEX(Tbl_MeasureList[Baseline Equipment ID],MATCH($D$9,Tbl_MeasureList[Measure ID],0))</f>
        <v>EQUI004</v>
      </c>
      <c r="E13" s="84" t="str">
        <f>INDEX(Tbl_MeasureList[Replacement ID],MATCH($D$9,Tbl_MeasureList[Measure ID],0))</f>
        <v>EQUI020</v>
      </c>
      <c r="F13" s="7"/>
    </row>
    <row r="14" spans="1:30" x14ac:dyDescent="0.2">
      <c r="B14" s="16"/>
      <c r="C14" s="32" t="s">
        <v>4</v>
      </c>
      <c r="D14" s="85" t="str">
        <f>INDEX(Tbl_EquipmentDefinitions[[Equipment Name]:[Equipment Name]],MATCH(D$13,Tbl_EquipmentDefinitions[[Equipment ID]:[Equipment ID]],0))</f>
        <v>Propane Furnace</v>
      </c>
      <c r="E14" s="85" t="str">
        <f>INDEX(Tbl_EquipmentDefinitions[[Equipment Name]:[Equipment Name]],MATCH(E$13,Tbl_EquipmentDefinitions[[Equipment ID]:[Equipment ID]],0))</f>
        <v>Gas Furnace</v>
      </c>
      <c r="F14" s="7"/>
    </row>
    <row r="15" spans="1:30" x14ac:dyDescent="0.2">
      <c r="B15" s="16"/>
      <c r="C15" s="32" t="s">
        <v>24</v>
      </c>
      <c r="D15" s="84" t="str">
        <f>INDEX(Tbl_EquipmentDefinitions[[Function]:[Function]],MATCH(D$13,Tbl_EquipmentDefinitions[[Equipment ID]:[Equipment ID]],0))</f>
        <v>Heat</v>
      </c>
      <c r="E15" s="84" t="str">
        <f>INDEX(Tbl_EquipmentDefinitions[[Function]:[Function]],MATCH(E$13,Tbl_EquipmentDefinitions[[Equipment ID]:[Equipment ID]],0))</f>
        <v>Heat</v>
      </c>
      <c r="F15" s="7"/>
    </row>
    <row r="16" spans="1:30" x14ac:dyDescent="0.2">
      <c r="B16" s="16"/>
      <c r="C16" s="32" t="s">
        <v>7</v>
      </c>
      <c r="D16" s="85" t="str">
        <f>INDEX(Tbl_EquipmentDefinitions[[Fuel Type]:[Fuel Type]],MATCH(D$13,Tbl_EquipmentDefinitions[[Equipment ID]:[Equipment ID]],0))</f>
        <v>Propane</v>
      </c>
      <c r="E16" s="85" t="str">
        <f>INDEX(Tbl_EquipmentDefinitions[[Fuel Type]:[Fuel Type]],MATCH(E$13,Tbl_EquipmentDefinitions[[Equipment ID]:[Equipment ID]],0))</f>
        <v>Natural Gas</v>
      </c>
      <c r="F16" s="7"/>
    </row>
    <row r="17" spans="2:14" x14ac:dyDescent="0.2">
      <c r="B17" s="16"/>
      <c r="C17" s="32" t="s">
        <v>126</v>
      </c>
      <c r="D17" s="84">
        <f>IF(ISERR(SEARCH("+",D16,1)),1,2)</f>
        <v>1</v>
      </c>
      <c r="E17" s="84">
        <f>IF(ISERR(SEARCH("+",E16,1)),1,2)</f>
        <v>1</v>
      </c>
      <c r="F17" s="7"/>
    </row>
    <row r="18" spans="2:14" x14ac:dyDescent="0.2">
      <c r="B18" s="16"/>
      <c r="C18" s="32" t="s">
        <v>155</v>
      </c>
      <c r="D18" s="86">
        <f>INDEX(Tbl_BaselineSummary[Space Heating Load (MMBtu/yr)],MATCH($D$10,Tbl_BaselineSummary[Baseline ID],0))</f>
        <v>68.400000000000006</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11.3</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89" t="s">
        <v>127</v>
      </c>
      <c r="D25" s="281" t="s">
        <v>345</v>
      </c>
      <c r="E25" s="385" t="s">
        <v>956</v>
      </c>
      <c r="F25" s="281" t="s">
        <v>326</v>
      </c>
      <c r="G25" s="421" t="s">
        <v>1532</v>
      </c>
      <c r="H25" s="385" t="s">
        <v>958</v>
      </c>
      <c r="I25" s="569" t="s">
        <v>1447</v>
      </c>
      <c r="J25" s="569" t="s">
        <v>1448</v>
      </c>
      <c r="L25" s="89" t="s">
        <v>1533</v>
      </c>
      <c r="M25" s="421" t="s">
        <v>1531</v>
      </c>
    </row>
    <row r="26" spans="2:14" ht="11.25" customHeight="1" x14ac:dyDescent="0.2">
      <c r="B26" s="16"/>
      <c r="C26" s="32" t="s">
        <v>6</v>
      </c>
      <c r="D26" s="122">
        <f>E90</f>
        <v>374</v>
      </c>
      <c r="E26" s="126">
        <f>E96</f>
        <v>5.7372962607861941E-2</v>
      </c>
      <c r="F26" s="111">
        <f>D26*PRICE_PER_KWH_2018_ELECTRICITY</f>
        <v>73.977199999999996</v>
      </c>
      <c r="G26" s="39">
        <v>0</v>
      </c>
      <c r="H26" s="139">
        <v>0</v>
      </c>
      <c r="I26" s="39">
        <v>0</v>
      </c>
      <c r="J26" s="122">
        <f>E90</f>
        <v>374</v>
      </c>
      <c r="L26" s="84">
        <f t="shared" ref="L26:M28" si="0">F26+E32+E38+E44</f>
        <v>1371.9677882352944</v>
      </c>
      <c r="M26" s="86">
        <f t="shared" si="0"/>
        <v>10197</v>
      </c>
    </row>
    <row r="27" spans="2:14" x14ac:dyDescent="0.2">
      <c r="B27" s="16"/>
      <c r="C27" s="32" t="s">
        <v>19</v>
      </c>
      <c r="D27" s="122">
        <f>E91</f>
        <v>206</v>
      </c>
      <c r="E27" s="126">
        <f>E97</f>
        <v>3.8172962607861932E-2</v>
      </c>
      <c r="F27" s="111">
        <f>D27*PRICE_PER_KWH_2018_ELECTRICITY</f>
        <v>40.7468</v>
      </c>
      <c r="G27" s="39">
        <v>0</v>
      </c>
      <c r="H27" s="139">
        <v>0</v>
      </c>
      <c r="I27" s="39">
        <v>0</v>
      </c>
      <c r="J27" s="122">
        <f t="shared" ref="J27:J28" si="1">E91</f>
        <v>206</v>
      </c>
      <c r="L27" s="84">
        <f t="shared" si="0"/>
        <v>1208.7864460377359</v>
      </c>
      <c r="M27" s="86">
        <f t="shared" si="0"/>
        <v>11157</v>
      </c>
    </row>
    <row r="28" spans="2:14" x14ac:dyDescent="0.2">
      <c r="B28" s="16"/>
      <c r="C28" s="32" t="s">
        <v>20</v>
      </c>
      <c r="D28" s="122">
        <f>E92</f>
        <v>206</v>
      </c>
      <c r="E28" s="126">
        <f>E98</f>
        <v>3.8172962607861932E-2</v>
      </c>
      <c r="F28" s="111">
        <f>D28*PRICE_PER_KWH_2018_ELECTRICITY</f>
        <v>40.7468</v>
      </c>
      <c r="G28" s="39">
        <v>0</v>
      </c>
      <c r="H28" s="139">
        <v>0</v>
      </c>
      <c r="I28" s="39">
        <v>0</v>
      </c>
      <c r="J28" s="122">
        <f t="shared" si="1"/>
        <v>206</v>
      </c>
      <c r="L28" s="84">
        <f t="shared" si="0"/>
        <v>1187.369954074074</v>
      </c>
      <c r="M28" s="86">
        <f t="shared" si="0"/>
        <v>11970</v>
      </c>
    </row>
    <row r="29" spans="2:14" x14ac:dyDescent="0.2">
      <c r="B29" s="16"/>
    </row>
    <row r="30" spans="2:14" ht="12.75" thickBot="1" x14ac:dyDescent="0.25">
      <c r="B30" s="16"/>
      <c r="C30" s="34" t="s">
        <v>55</v>
      </c>
      <c r="D30" s="34"/>
      <c r="E30" s="33"/>
      <c r="F30" s="33"/>
    </row>
    <row r="31" spans="2:14" ht="34.5" thickBot="1" x14ac:dyDescent="0.25">
      <c r="B31" s="16"/>
      <c r="C31" s="89" t="s">
        <v>127</v>
      </c>
      <c r="D31" s="281" t="s">
        <v>325</v>
      </c>
      <c r="E31" s="281" t="s">
        <v>326</v>
      </c>
      <c r="F31" s="421" t="s">
        <v>1532</v>
      </c>
    </row>
    <row r="32" spans="2:14" x14ac:dyDescent="0.2">
      <c r="B32" s="16"/>
      <c r="C32" s="32" t="s">
        <v>6</v>
      </c>
      <c r="D32" s="122">
        <f>E77</f>
        <v>804.70588235294122</v>
      </c>
      <c r="E32" s="111">
        <f>D32*PRICE_PER_THERM_2018_NATURALGAS</f>
        <v>1297.9905882352944</v>
      </c>
      <c r="F32" s="111">
        <f>E109</f>
        <v>10197</v>
      </c>
      <c r="G32" s="7" t="s">
        <v>128</v>
      </c>
    </row>
    <row r="33" spans="2:14" x14ac:dyDescent="0.2">
      <c r="B33" s="16"/>
      <c r="C33" s="32" t="s">
        <v>19</v>
      </c>
      <c r="D33" s="122">
        <f>E78</f>
        <v>724.14113207547166</v>
      </c>
      <c r="E33" s="111">
        <f>D33*PRICE_PER_THERM_2018_NATURALGAS</f>
        <v>1168.039646037736</v>
      </c>
      <c r="F33" s="111">
        <f t="shared" ref="F33:F34" si="2">E110</f>
        <v>11157</v>
      </c>
    </row>
    <row r="34" spans="2:14" x14ac:dyDescent="0.2">
      <c r="B34" s="16"/>
      <c r="C34" s="32" t="s">
        <v>20</v>
      </c>
      <c r="D34" s="122">
        <f>E79</f>
        <v>710.86370370370366</v>
      </c>
      <c r="E34" s="111">
        <f>D34*PRICE_PER_THERM_2018_NATURALGAS</f>
        <v>1146.6231540740741</v>
      </c>
      <c r="F34" s="111">
        <f t="shared" si="2"/>
        <v>11970</v>
      </c>
    </row>
    <row r="35" spans="2:14" x14ac:dyDescent="0.2">
      <c r="B35" s="16"/>
    </row>
    <row r="36" spans="2:14" ht="12.75" thickBot="1" x14ac:dyDescent="0.25">
      <c r="B36" s="16"/>
      <c r="C36" s="34" t="s">
        <v>28</v>
      </c>
      <c r="D36" s="34"/>
      <c r="E36" s="33"/>
      <c r="F36" s="33"/>
    </row>
    <row r="37" spans="2:14" ht="34.5" thickBot="1" x14ac:dyDescent="0.25">
      <c r="B37" s="16"/>
      <c r="C37" s="89" t="s">
        <v>127</v>
      </c>
      <c r="D37" s="281" t="s">
        <v>756</v>
      </c>
      <c r="E37" s="281" t="s">
        <v>326</v>
      </c>
      <c r="F37" s="421"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34.5" thickBot="1" x14ac:dyDescent="0.25">
      <c r="B43" s="16"/>
      <c r="C43" s="89" t="s">
        <v>127</v>
      </c>
      <c r="D43" s="281" t="s">
        <v>756</v>
      </c>
      <c r="E43" s="281" t="s">
        <v>326</v>
      </c>
      <c r="F43" s="421" t="s">
        <v>1532</v>
      </c>
    </row>
    <row r="44" spans="2:14" x14ac:dyDescent="0.2">
      <c r="B44" s="16"/>
      <c r="C44" s="32" t="s">
        <v>6</v>
      </c>
      <c r="D44" s="40">
        <v>0</v>
      </c>
      <c r="E44" s="39">
        <v>0</v>
      </c>
      <c r="F44" s="39">
        <v>0</v>
      </c>
      <c r="G44" s="7" t="s">
        <v>128</v>
      </c>
    </row>
    <row r="45" spans="2:14" x14ac:dyDescent="0.2">
      <c r="B45" s="16"/>
      <c r="C45" s="32" t="s">
        <v>19</v>
      </c>
      <c r="D45" s="40">
        <v>0</v>
      </c>
      <c r="E45" s="39">
        <v>0</v>
      </c>
      <c r="F45" s="39">
        <v>0</v>
      </c>
    </row>
    <row r="46" spans="2:14" x14ac:dyDescent="0.2">
      <c r="B46" s="16"/>
      <c r="C46" s="32" t="s">
        <v>20</v>
      </c>
      <c r="D46" s="40">
        <v>0</v>
      </c>
      <c r="E46" s="39">
        <v>0</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v>
      </c>
      <c r="E51" s="690"/>
      <c r="F51" s="693" t="str">
        <f>INDEX(Tbl_EquipmentDefinitions[Natural Gas Code Efficiency],MATCH($E$13,Tbl_EquipmentDefinitions[Equipment ID],0))</f>
        <v>85% AFUE</v>
      </c>
      <c r="G51" s="690"/>
      <c r="H51" s="693" t="str">
        <f>INDEX(Tbl_EquipmentDefinitions[Propane Code Efficiency],MATCH($E$13,Tbl_EquipmentDefinitions[Equipment ID],0))</f>
        <v>-</v>
      </c>
      <c r="I51" s="690"/>
      <c r="J51" s="693" t="str">
        <f>INDEX(Tbl_EquipmentDefinitions[Oil Code Efficiency],MATCH($E$13,Tbl_EquipmentDefinitions[Equipment ID],0))</f>
        <v>-</v>
      </c>
      <c r="K51" s="690"/>
    </row>
    <row r="52" spans="2:14" ht="12.75" x14ac:dyDescent="0.2">
      <c r="B52" s="16"/>
      <c r="C52" s="30" t="s">
        <v>153</v>
      </c>
      <c r="D52" s="689" t="str">
        <f>INDEX(Tbl_EquipmentDefinitions[Electricity Low Measure Efficiency],MATCH($E$13,Tbl_EquipmentDefinitions[Equipment ID],0))</f>
        <v>-</v>
      </c>
      <c r="E52" s="690"/>
      <c r="F52" s="689" t="str">
        <f>INDEX(Tbl_EquipmentDefinitions[Natural Gas Low Measure Efficiency],MATCH($E$13,Tbl_EquipmentDefinitions[Equipment ID],0))</f>
        <v>95% AFUE (95.4% actual) w/ ECM fan motor</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v>
      </c>
      <c r="E53" s="690"/>
      <c r="F53" s="689" t="str">
        <f>INDEX(Tbl_EquipmentDefinitions[Natural Gas High Measure Efficiency],MATCH($E$13,Tbl_EquipmentDefinitions[Equipment ID],0))</f>
        <v>97% AFUE (97.2% actual) w/ ECM fan motor</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163" t="s">
        <v>131</v>
      </c>
      <c r="D58" s="691" t="s">
        <v>132</v>
      </c>
      <c r="E58" s="692"/>
      <c r="F58" s="692"/>
      <c r="G58" s="692"/>
    </row>
    <row r="59" spans="2:14" x14ac:dyDescent="0.2">
      <c r="B59" s="16"/>
      <c r="C59" s="192" t="s">
        <v>543</v>
      </c>
      <c r="D59" s="193" t="s">
        <v>316</v>
      </c>
      <c r="E59" s="194"/>
      <c r="F59" s="194"/>
      <c r="G59" s="194"/>
      <c r="H59" s="195" t="s">
        <v>317</v>
      </c>
    </row>
    <row r="60" spans="2:14" x14ac:dyDescent="0.2">
      <c r="B60" s="16"/>
      <c r="C60" s="196" t="s">
        <v>408</v>
      </c>
      <c r="D60" s="120" t="s">
        <v>544</v>
      </c>
      <c r="E60" s="121"/>
      <c r="F60" s="121"/>
      <c r="G60" s="121"/>
      <c r="H60" s="195" t="s">
        <v>545</v>
      </c>
    </row>
    <row r="61" spans="2:14" x14ac:dyDescent="0.2">
      <c r="B61" s="16"/>
      <c r="C61" s="6" t="s">
        <v>546</v>
      </c>
      <c r="D61" s="6" t="s">
        <v>547</v>
      </c>
      <c r="H61" s="94"/>
    </row>
    <row r="62" spans="2:14" x14ac:dyDescent="0.2">
      <c r="B62" s="16"/>
    </row>
    <row r="64" spans="2:14" ht="13.5" thickBot="1" x14ac:dyDescent="0.25">
      <c r="B64" s="9" t="s">
        <v>129</v>
      </c>
      <c r="C64" s="9"/>
      <c r="D64" s="9"/>
      <c r="E64" s="9"/>
      <c r="F64" s="9"/>
      <c r="G64" s="9"/>
      <c r="H64" s="9"/>
      <c r="I64" s="9"/>
      <c r="J64" s="9"/>
      <c r="K64" s="9"/>
      <c r="L64" s="9"/>
      <c r="M64" s="9"/>
      <c r="N64" s="9"/>
    </row>
    <row r="65" spans="2:7" x14ac:dyDescent="0.2">
      <c r="B65" s="15"/>
    </row>
    <row r="66" spans="2:7" x14ac:dyDescent="0.2">
      <c r="B66" s="16"/>
      <c r="C66" s="6" t="s">
        <v>453</v>
      </c>
    </row>
    <row r="67" spans="2:7" x14ac:dyDescent="0.2">
      <c r="B67" s="16"/>
      <c r="C67" s="6" t="s">
        <v>622</v>
      </c>
    </row>
    <row r="68" spans="2:7" x14ac:dyDescent="0.2">
      <c r="B68" s="16"/>
    </row>
    <row r="69" spans="2:7" ht="12.75" x14ac:dyDescent="0.2">
      <c r="B69" s="16"/>
      <c r="D69" s="95" t="s">
        <v>155</v>
      </c>
      <c r="E69" s="140">
        <f>D18</f>
        <v>68.400000000000006</v>
      </c>
      <c r="F69" s="6" t="s">
        <v>381</v>
      </c>
      <c r="G69" s="6" t="s">
        <v>549</v>
      </c>
    </row>
    <row r="70" spans="2:7" x14ac:dyDescent="0.2">
      <c r="B70" s="16"/>
    </row>
    <row r="71" spans="2:7" ht="12.75" x14ac:dyDescent="0.2">
      <c r="B71" s="16"/>
      <c r="D71" s="95" t="s">
        <v>159</v>
      </c>
      <c r="E71" s="150">
        <v>0.85</v>
      </c>
      <c r="F71" s="6" t="s">
        <v>158</v>
      </c>
      <c r="G71" s="45" t="s">
        <v>371</v>
      </c>
    </row>
    <row r="72" spans="2:7" ht="12.75" x14ac:dyDescent="0.2">
      <c r="B72" s="16"/>
      <c r="D72" s="95" t="s">
        <v>180</v>
      </c>
      <c r="E72" s="150">
        <v>0.95399999999999996</v>
      </c>
      <c r="F72" s="6" t="s">
        <v>158</v>
      </c>
      <c r="G72" s="8"/>
    </row>
    <row r="73" spans="2:7" ht="12.75" x14ac:dyDescent="0.2">
      <c r="B73" s="16"/>
      <c r="D73" s="95" t="s">
        <v>181</v>
      </c>
      <c r="E73" s="150">
        <v>0.97199999999999998</v>
      </c>
      <c r="F73" s="6" t="s">
        <v>158</v>
      </c>
      <c r="G73" s="8"/>
    </row>
    <row r="74" spans="2:7" x14ac:dyDescent="0.2">
      <c r="B74" s="16"/>
    </row>
    <row r="75" spans="2:7" ht="12.75" x14ac:dyDescent="0.2">
      <c r="B75" s="16"/>
      <c r="D75" s="154" t="s">
        <v>550</v>
      </c>
      <c r="E75" s="197">
        <v>-0.71599999999999997</v>
      </c>
      <c r="F75" s="6" t="s">
        <v>551</v>
      </c>
      <c r="G75" s="6" t="s">
        <v>552</v>
      </c>
    </row>
    <row r="76" spans="2:7" x14ac:dyDescent="0.2">
      <c r="B76" s="16"/>
    </row>
    <row r="77" spans="2:7" ht="12.75" x14ac:dyDescent="0.2">
      <c r="B77" s="16"/>
      <c r="D77" s="95" t="s">
        <v>329</v>
      </c>
      <c r="E77" s="41">
        <f>Therm_per_MMBtu*($E$69)/E71</f>
        <v>804.70588235294122</v>
      </c>
      <c r="F77" s="6" t="s">
        <v>372</v>
      </c>
      <c r="G77" s="6" t="s">
        <v>553</v>
      </c>
    </row>
    <row r="78" spans="2:7" ht="12.75" x14ac:dyDescent="0.2">
      <c r="B78" s="16"/>
      <c r="D78" s="95" t="s">
        <v>330</v>
      </c>
      <c r="E78" s="198">
        <f>Therm_per_MMBtu*($E$69)/E72-E75*Therm_per_MMBtu</f>
        <v>724.14113207547166</v>
      </c>
      <c r="F78" s="6" t="s">
        <v>372</v>
      </c>
      <c r="G78" s="6" t="s">
        <v>554</v>
      </c>
    </row>
    <row r="79" spans="2:7" ht="12.75" x14ac:dyDescent="0.2">
      <c r="B79" s="16"/>
      <c r="D79" s="95" t="s">
        <v>390</v>
      </c>
      <c r="E79" s="198">
        <f>Therm_per_MMBtu*($E$69)/E73-E75*Therm_per_MMBtu</f>
        <v>710.86370370370366</v>
      </c>
      <c r="F79" s="6" t="s">
        <v>372</v>
      </c>
      <c r="G79" s="6" t="s">
        <v>555</v>
      </c>
    </row>
    <row r="80" spans="2:7" x14ac:dyDescent="0.2">
      <c r="B80" s="16"/>
    </row>
    <row r="81" spans="2:7" x14ac:dyDescent="0.2">
      <c r="B81" s="16"/>
      <c r="C81" s="6" t="s">
        <v>556</v>
      </c>
    </row>
    <row r="82" spans="2:7" x14ac:dyDescent="0.2">
      <c r="B82" s="16"/>
      <c r="C82" s="6" t="s">
        <v>557</v>
      </c>
    </row>
    <row r="83" spans="2:7" x14ac:dyDescent="0.2">
      <c r="B83" s="16"/>
      <c r="C83" s="6" t="s">
        <v>558</v>
      </c>
    </row>
    <row r="84" spans="2:7" x14ac:dyDescent="0.2">
      <c r="B84" s="16"/>
      <c r="C84" s="6" t="s">
        <v>559</v>
      </c>
    </row>
    <row r="85" spans="2:7" x14ac:dyDescent="0.2">
      <c r="B85" s="16"/>
    </row>
    <row r="86" spans="2:7" ht="12.75" x14ac:dyDescent="0.2">
      <c r="B86" s="16"/>
      <c r="D86" s="154" t="s">
        <v>560</v>
      </c>
      <c r="E86" s="88">
        <v>168</v>
      </c>
      <c r="F86" s="6" t="s">
        <v>434</v>
      </c>
      <c r="G86" s="6" t="s">
        <v>561</v>
      </c>
    </row>
    <row r="87" spans="2:7" ht="12.75" x14ac:dyDescent="0.2">
      <c r="B87" s="16"/>
      <c r="D87" s="154" t="s">
        <v>562</v>
      </c>
      <c r="E87" s="199">
        <v>0.12</v>
      </c>
      <c r="F87" s="6" t="s">
        <v>176</v>
      </c>
      <c r="G87" s="6" t="s">
        <v>561</v>
      </c>
    </row>
    <row r="88" spans="2:7" ht="12.75" x14ac:dyDescent="0.2">
      <c r="B88" s="16"/>
      <c r="D88" s="154" t="s">
        <v>563</v>
      </c>
      <c r="E88" s="199">
        <v>0.16</v>
      </c>
      <c r="F88" s="6" t="s">
        <v>564</v>
      </c>
      <c r="G88" s="6" t="s">
        <v>565</v>
      </c>
    </row>
    <row r="89" spans="2:7" x14ac:dyDescent="0.2">
      <c r="B89" s="16"/>
    </row>
    <row r="90" spans="2:7" ht="12.75" x14ac:dyDescent="0.2">
      <c r="B90" s="16"/>
      <c r="D90" s="154" t="s">
        <v>408</v>
      </c>
      <c r="E90" s="88">
        <v>374</v>
      </c>
      <c r="F90" s="6" t="s">
        <v>434</v>
      </c>
      <c r="G90" s="6" t="s">
        <v>566</v>
      </c>
    </row>
    <row r="91" spans="2:7" ht="12.75" x14ac:dyDescent="0.2">
      <c r="B91" s="16"/>
      <c r="D91" s="154" t="s">
        <v>409</v>
      </c>
      <c r="E91" s="151">
        <f>E90-E86</f>
        <v>206</v>
      </c>
      <c r="F91" s="6" t="s">
        <v>434</v>
      </c>
      <c r="G91" s="6" t="s">
        <v>567</v>
      </c>
    </row>
    <row r="92" spans="2:7" ht="12.75" x14ac:dyDescent="0.2">
      <c r="B92" s="16"/>
      <c r="D92" s="154" t="s">
        <v>433</v>
      </c>
      <c r="E92" s="151">
        <f>E90-E86</f>
        <v>206</v>
      </c>
      <c r="F92" s="6" t="s">
        <v>434</v>
      </c>
      <c r="G92" s="6" t="s">
        <v>567</v>
      </c>
    </row>
    <row r="93" spans="2:7" x14ac:dyDescent="0.2">
      <c r="B93" s="16"/>
    </row>
    <row r="94" spans="2:7" ht="12.75" x14ac:dyDescent="0.2">
      <c r="B94" s="16"/>
      <c r="D94" s="154" t="s">
        <v>422</v>
      </c>
      <c r="E94" s="200">
        <f>AVERAGE(530,984,1329,1329)</f>
        <v>1043</v>
      </c>
      <c r="F94" s="6" t="s">
        <v>397</v>
      </c>
      <c r="G94" s="6" t="s">
        <v>423</v>
      </c>
    </row>
    <row r="95" spans="2:7" x14ac:dyDescent="0.2">
      <c r="B95" s="16"/>
    </row>
    <row r="96" spans="2:7" ht="12.75" x14ac:dyDescent="0.2">
      <c r="B96" s="16"/>
      <c r="D96" s="154" t="s">
        <v>568</v>
      </c>
      <c r="E96" s="199">
        <f>E88*E90/E94</f>
        <v>5.7372962607861941E-2</v>
      </c>
      <c r="F96" s="6" t="s">
        <v>176</v>
      </c>
      <c r="G96" s="6" t="s">
        <v>569</v>
      </c>
    </row>
    <row r="97" spans="2:7" ht="12.75" x14ac:dyDescent="0.2">
      <c r="B97" s="16"/>
      <c r="D97" s="154" t="s">
        <v>570</v>
      </c>
      <c r="E97" s="199">
        <f>E88*(E90/E94-E87)</f>
        <v>3.8172962607861932E-2</v>
      </c>
      <c r="F97" s="6" t="s">
        <v>176</v>
      </c>
      <c r="G97" s="6" t="s">
        <v>571</v>
      </c>
    </row>
    <row r="98" spans="2:7" ht="12.75" x14ac:dyDescent="0.2">
      <c r="B98" s="16"/>
      <c r="D98" s="154" t="s">
        <v>572</v>
      </c>
      <c r="E98" s="199">
        <f>E88*(E90/E94-E87)</f>
        <v>3.8172962607861932E-2</v>
      </c>
      <c r="F98" s="6" t="s">
        <v>176</v>
      </c>
      <c r="G98" s="6" t="s">
        <v>571</v>
      </c>
    </row>
    <row r="99" spans="2:7" x14ac:dyDescent="0.2">
      <c r="B99" s="16"/>
    </row>
    <row r="100" spans="2:7" ht="12.75" x14ac:dyDescent="0.2">
      <c r="B100" s="16"/>
      <c r="C100" s="36" t="s">
        <v>1181</v>
      </c>
      <c r="D100" s="41" t="str">
        <f>INPUT_INCLUDEGASLINE</f>
        <v>Yes</v>
      </c>
    </row>
    <row r="101" spans="2:7" ht="12.75" x14ac:dyDescent="0.2">
      <c r="B101" s="16"/>
      <c r="C101" s="36" t="s">
        <v>1182</v>
      </c>
      <c r="D101" s="233">
        <f>IF(D100="No",0,INPUT_GASLINECOST)</f>
        <v>5600</v>
      </c>
      <c r="E101" s="188" t="s">
        <v>1180</v>
      </c>
    </row>
    <row r="102" spans="2:7" x14ac:dyDescent="0.2">
      <c r="B102" s="16"/>
    </row>
    <row r="103" spans="2:7" x14ac:dyDescent="0.2">
      <c r="B103" s="16"/>
      <c r="C103" s="6" t="s">
        <v>1186</v>
      </c>
    </row>
    <row r="104" spans="2:7" ht="12.75" x14ac:dyDescent="0.2">
      <c r="B104" s="16"/>
      <c r="D104" s="95" t="s">
        <v>1183</v>
      </c>
      <c r="E104" s="108">
        <v>4597</v>
      </c>
      <c r="F104" s="6" t="s">
        <v>164</v>
      </c>
      <c r="G104" s="6" t="s">
        <v>573</v>
      </c>
    </row>
    <row r="105" spans="2:7" ht="12.75" x14ac:dyDescent="0.2">
      <c r="B105" s="16"/>
      <c r="D105" s="95" t="s">
        <v>1184</v>
      </c>
      <c r="E105" s="108">
        <v>5557</v>
      </c>
      <c r="F105" s="6" t="s">
        <v>164</v>
      </c>
      <c r="G105" s="6" t="s">
        <v>455</v>
      </c>
    </row>
    <row r="106" spans="2:7" ht="12.75" x14ac:dyDescent="0.2">
      <c r="B106" s="16"/>
      <c r="D106" s="95" t="s">
        <v>1185</v>
      </c>
      <c r="E106" s="108">
        <v>6370</v>
      </c>
      <c r="F106" s="6" t="s">
        <v>164</v>
      </c>
      <c r="G106" s="6" t="s">
        <v>456</v>
      </c>
    </row>
    <row r="107" spans="2:7" x14ac:dyDescent="0.2">
      <c r="B107" s="16"/>
    </row>
    <row r="108" spans="2:7" x14ac:dyDescent="0.2">
      <c r="B108" s="16"/>
      <c r="C108" s="6" t="s">
        <v>324</v>
      </c>
    </row>
    <row r="109" spans="2:7" ht="12.75" x14ac:dyDescent="0.2">
      <c r="B109" s="16"/>
      <c r="D109" s="95" t="s">
        <v>331</v>
      </c>
      <c r="E109" s="42">
        <f>E104+$D$101</f>
        <v>10197</v>
      </c>
      <c r="F109" s="6" t="s">
        <v>164</v>
      </c>
    </row>
    <row r="110" spans="2:7" ht="12.75" x14ac:dyDescent="0.2">
      <c r="B110" s="16"/>
      <c r="D110" s="95" t="s">
        <v>332</v>
      </c>
      <c r="E110" s="42">
        <f>E105+$D$101</f>
        <v>11157</v>
      </c>
      <c r="F110" s="6" t="s">
        <v>164</v>
      </c>
    </row>
    <row r="111" spans="2:7" ht="12.75" x14ac:dyDescent="0.2">
      <c r="B111" s="16"/>
      <c r="D111" s="95" t="s">
        <v>393</v>
      </c>
      <c r="E111" s="42">
        <f>E106+$D$101</f>
        <v>11970</v>
      </c>
      <c r="F111" s="6" t="s">
        <v>164</v>
      </c>
    </row>
    <row r="112" spans="2:7" x14ac:dyDescent="0.2">
      <c r="B112" s="16"/>
    </row>
    <row r="113" spans="2:2" x14ac:dyDescent="0.2">
      <c r="B113" s="16"/>
    </row>
    <row r="114" spans="2:2" x14ac:dyDescent="0.2">
      <c r="B114" s="16"/>
    </row>
    <row r="115" spans="2:2" x14ac:dyDescent="0.2">
      <c r="B115" s="16"/>
    </row>
    <row r="116" spans="2:2" x14ac:dyDescent="0.2">
      <c r="B116" s="16"/>
    </row>
    <row r="117" spans="2:2" x14ac:dyDescent="0.2">
      <c r="B117" s="16"/>
    </row>
    <row r="118" spans="2:2" x14ac:dyDescent="0.2">
      <c r="B118" s="16"/>
    </row>
    <row r="119" spans="2:2" x14ac:dyDescent="0.2">
      <c r="B119" s="16"/>
    </row>
    <row r="120" spans="2:2" x14ac:dyDescent="0.2">
      <c r="B120" s="16"/>
    </row>
    <row r="121" spans="2:2" x14ac:dyDescent="0.2">
      <c r="B121" s="16"/>
    </row>
    <row r="122" spans="2:2" x14ac:dyDescent="0.2">
      <c r="B122" s="16"/>
    </row>
    <row r="123" spans="2:2" x14ac:dyDescent="0.2">
      <c r="B123" s="16"/>
    </row>
    <row r="124" spans="2:2" x14ac:dyDescent="0.2">
      <c r="B124" s="16"/>
    </row>
    <row r="125" spans="2:2" x14ac:dyDescent="0.2">
      <c r="B125" s="16"/>
    </row>
    <row r="126" spans="2:2" x14ac:dyDescent="0.2">
      <c r="B126" s="16"/>
    </row>
    <row r="127" spans="2:2" x14ac:dyDescent="0.2">
      <c r="B127" s="16"/>
    </row>
    <row r="128" spans="2:2" x14ac:dyDescent="0.2">
      <c r="B128" s="16"/>
    </row>
    <row r="129" spans="2:2" x14ac:dyDescent="0.2">
      <c r="B129" s="16"/>
    </row>
    <row r="130" spans="2:2" x14ac:dyDescent="0.2">
      <c r="B130" s="16"/>
    </row>
    <row r="131" spans="2:2" x14ac:dyDescent="0.2">
      <c r="B131" s="16"/>
    </row>
    <row r="132" spans="2:2" x14ac:dyDescent="0.2">
      <c r="B132" s="16"/>
    </row>
    <row r="133" spans="2:2" x14ac:dyDescent="0.2">
      <c r="B133" s="16"/>
    </row>
    <row r="134" spans="2:2" x14ac:dyDescent="0.2">
      <c r="B134" s="16"/>
    </row>
    <row r="135" spans="2:2" x14ac:dyDescent="0.2">
      <c r="B135" s="16"/>
    </row>
  </sheetData>
  <mergeCells count="17">
    <mergeCell ref="D58:G58"/>
    <mergeCell ref="D52:E52"/>
    <mergeCell ref="F52:G52"/>
    <mergeCell ref="H52:I52"/>
    <mergeCell ref="J52:K52"/>
    <mergeCell ref="D53:E53"/>
    <mergeCell ref="F53:G53"/>
    <mergeCell ref="H53:I53"/>
    <mergeCell ref="J53:K53"/>
    <mergeCell ref="D50:E50"/>
    <mergeCell ref="F50:G50"/>
    <mergeCell ref="H50:I50"/>
    <mergeCell ref="J50:K50"/>
    <mergeCell ref="D51:E51"/>
    <mergeCell ref="F51:G51"/>
    <mergeCell ref="H51:I51"/>
    <mergeCell ref="J51:K51"/>
  </mergeCells>
  <dataValidations count="2">
    <dataValidation type="list" allowBlank="1" showInputMessage="1" showErrorMessage="1" sqref="D5">
      <formula1>"1. Not Started,2. Analyzing,3. Ready"</formula1>
    </dataValidation>
    <dataValidation type="list" allowBlank="1" showInputMessage="1" showErrorMessage="1" sqref="D9">
      <formula1>DEFINED_MEASURES</formula1>
    </dataValidation>
  </dataValidations>
  <hyperlinks>
    <hyperlink ref="H60" r:id="rId1"/>
  </hyperlinks>
  <pageMargins left="0.7" right="0.7" top="0.75" bottom="0.75" header="0.3" footer="0.3"/>
  <pageSetup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3"/>
  </sheetPr>
  <dimension ref="A1:AD165"/>
  <sheetViews>
    <sheetView workbookViewId="0"/>
  </sheetViews>
  <sheetFormatPr defaultColWidth="9.33203125" defaultRowHeight="11.25" x14ac:dyDescent="0.2"/>
  <cols>
    <col min="1" max="2" width="3.33203125" style="6" customWidth="1"/>
    <col min="3" max="3" width="22.6640625" style="6" bestFit="1" customWidth="1"/>
    <col min="4" max="4" width="14.33203125" style="6" customWidth="1"/>
    <col min="5" max="5" width="16.33203125" style="6" customWidth="1"/>
    <col min="6" max="6" width="15" style="6" customWidth="1"/>
    <col min="7" max="7" width="13.5" style="6" customWidth="1"/>
    <col min="8" max="8" width="15.1640625" style="6" customWidth="1"/>
    <col min="9" max="9" width="22.33203125" style="6" bestFit="1" customWidth="1"/>
    <col min="10" max="10" width="20.5" style="6" bestFit="1" customWidth="1"/>
    <col min="11"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93" t="s">
        <v>100</v>
      </c>
      <c r="E9" s="7" t="s">
        <v>290</v>
      </c>
    </row>
    <row r="10" spans="1:30" ht="12.75" x14ac:dyDescent="0.2">
      <c r="B10" s="16"/>
      <c r="C10" s="30" t="s">
        <v>289</v>
      </c>
      <c r="D10" s="83" t="str">
        <f>INDEX(Tbl_MeasureList[Baseline ID],MATCH($D$9,Tbl_MeasureList[Measure ID],0))</f>
        <v>BASE11</v>
      </c>
      <c r="E10" s="7"/>
    </row>
    <row r="11" spans="1:30" x14ac:dyDescent="0.2">
      <c r="B11" s="16"/>
      <c r="C11" s="7"/>
      <c r="D11" s="7"/>
      <c r="E11" s="7"/>
    </row>
    <row r="12" spans="1:30" ht="12" thickBot="1" x14ac:dyDescent="0.25">
      <c r="B12" s="16"/>
      <c r="C12" s="7"/>
      <c r="D12" s="89" t="s">
        <v>5</v>
      </c>
      <c r="E12" s="89" t="s">
        <v>284</v>
      </c>
    </row>
    <row r="13" spans="1:30" x14ac:dyDescent="0.2">
      <c r="B13" s="16"/>
      <c r="C13" s="32" t="s">
        <v>2</v>
      </c>
      <c r="D13" s="84" t="str">
        <f>INDEX(Tbl_MeasureList[Baseline Equipment ID],MATCH($D$9,Tbl_MeasureList[Measure ID],0))</f>
        <v>EQUI021</v>
      </c>
      <c r="E13" s="84" t="str">
        <f>INDEX(Tbl_MeasureList[Replacement ID],MATCH($D$9,Tbl_MeasureList[Measure ID],0))</f>
        <v>EQUI022</v>
      </c>
      <c r="F13" s="7"/>
    </row>
    <row r="14" spans="1:30" ht="33.75" x14ac:dyDescent="0.2">
      <c r="B14" s="16"/>
      <c r="C14" s="32" t="s">
        <v>4</v>
      </c>
      <c r="D14" s="223" t="str">
        <f>INDEX(Tbl_EquipmentDefinitions[[Equipment Name]:[Equipment Name]],MATCH(D$13,Tbl_EquipmentDefinitions[[Equipment ID]:[Equipment ID]],0))</f>
        <v>Oil Boiler+Tankless Coil WH</v>
      </c>
      <c r="E14" s="223" t="str">
        <f>INDEX(Tbl_EquipmentDefinitions[[Equipment Name]:[Equipment Name]],MATCH(E$13,Tbl_EquipmentDefinitions[[Equipment ID]:[Equipment ID]],0))</f>
        <v>Gas Combination Boiler</v>
      </c>
      <c r="F14" s="7"/>
    </row>
    <row r="15" spans="1:30" x14ac:dyDescent="0.2">
      <c r="B15" s="16"/>
      <c r="C15" s="32" t="s">
        <v>24</v>
      </c>
      <c r="D15" s="84" t="str">
        <f>INDEX(Tbl_EquipmentDefinitions[[Function]:[Function]],MATCH(D$13,Tbl_EquipmentDefinitions[[Equipment ID]:[Equipment ID]],0))</f>
        <v>Heat+HW</v>
      </c>
      <c r="E15" s="84" t="str">
        <f>INDEX(Tbl_EquipmentDefinitions[[Function]:[Function]],MATCH(E$13,Tbl_EquipmentDefinitions[[Equipment ID]:[Equipment ID]],0))</f>
        <v>Heat+HW</v>
      </c>
      <c r="F15" s="7"/>
    </row>
    <row r="16" spans="1:30" x14ac:dyDescent="0.2">
      <c r="B16" s="16"/>
      <c r="C16" s="32" t="s">
        <v>7</v>
      </c>
      <c r="D16" s="85" t="str">
        <f>INDEX(Tbl_EquipmentDefinitions[[Fuel Type]:[Fuel Type]],MATCH(D$13,Tbl_EquipmentDefinitions[[Equipment ID]:[Equipment ID]],0))</f>
        <v>Oil</v>
      </c>
      <c r="E16" s="85" t="str">
        <f>INDEX(Tbl_EquipmentDefinitions[[Fuel Type]:[Fuel Type]],MATCH(E$13,Tbl_EquipmentDefinitions[[Equipment ID]:[Equipment ID]],0))</f>
        <v>Natural Gas</v>
      </c>
      <c r="F16" s="7"/>
    </row>
    <row r="17" spans="2:14" x14ac:dyDescent="0.2">
      <c r="B17" s="16"/>
      <c r="C17" s="32" t="s">
        <v>126</v>
      </c>
      <c r="D17" s="84">
        <f>IF(ISERR(SEARCH("+",D16,1)),1,2)</f>
        <v>1</v>
      </c>
      <c r="E17" s="84">
        <f>IF(ISERR(SEARCH("+",E16,1)),1,2)</f>
        <v>1</v>
      </c>
      <c r="F17" s="7"/>
    </row>
    <row r="18" spans="2:14" x14ac:dyDescent="0.2">
      <c r="B18" s="16"/>
      <c r="C18" s="32" t="s">
        <v>155</v>
      </c>
      <c r="D18" s="86">
        <f>INDEX(Tbl_BaselineSummary[Space Heating Load (MMBtu/yr)],MATCH($D$10,Tbl_BaselineSummary[Baseline ID],0))</f>
        <v>76.7</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13.9</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89" t="s">
        <v>127</v>
      </c>
      <c r="D25" s="281" t="s">
        <v>345</v>
      </c>
      <c r="E25" s="385" t="s">
        <v>956</v>
      </c>
      <c r="F25" s="281" t="s">
        <v>326</v>
      </c>
      <c r="G25" s="421" t="s">
        <v>1532</v>
      </c>
      <c r="H25" s="385" t="s">
        <v>958</v>
      </c>
      <c r="I25" s="569" t="s">
        <v>1447</v>
      </c>
      <c r="J25" s="569" t="s">
        <v>1448</v>
      </c>
      <c r="L25" s="89" t="s">
        <v>1533</v>
      </c>
      <c r="M25" s="421" t="s">
        <v>1531</v>
      </c>
    </row>
    <row r="26" spans="2:14" ht="11.25" customHeight="1" x14ac:dyDescent="0.2">
      <c r="B26" s="16"/>
      <c r="C26" s="32" t="s">
        <v>6</v>
      </c>
      <c r="D26" s="122">
        <f>E80</f>
        <v>329</v>
      </c>
      <c r="E26" s="126">
        <f>E89</f>
        <v>5.0469798657718119E-2</v>
      </c>
      <c r="F26" s="111">
        <f>D26*PRICE_PER_KWH_2018_ELECTRICITY</f>
        <v>65.0762</v>
      </c>
      <c r="G26" s="139">
        <v>0</v>
      </c>
      <c r="H26" s="404">
        <f>E95</f>
        <v>0</v>
      </c>
      <c r="I26" s="39" t="s">
        <v>1449</v>
      </c>
      <c r="J26" s="39" t="s">
        <v>1449</v>
      </c>
      <c r="L26" s="84">
        <f t="shared" ref="L26:M28" si="0">F26+E32+E38+E44</f>
        <v>1688.8295333333335</v>
      </c>
      <c r="M26" s="86">
        <f t="shared" si="0"/>
        <v>16130</v>
      </c>
    </row>
    <row r="27" spans="2:14" x14ac:dyDescent="0.2">
      <c r="B27" s="16"/>
      <c r="C27" s="32" t="s">
        <v>19</v>
      </c>
      <c r="D27" s="122">
        <f>E81</f>
        <v>329</v>
      </c>
      <c r="E27" s="126">
        <f>E90</f>
        <v>5.0469798657718119E-2</v>
      </c>
      <c r="F27" s="111">
        <f>D27*PRICE_PER_KWH_2018_ELECTRICITY</f>
        <v>65.0762</v>
      </c>
      <c r="G27" s="139">
        <v>0</v>
      </c>
      <c r="H27" s="404">
        <f t="shared" ref="H27:H28" si="1">E96</f>
        <v>0</v>
      </c>
      <c r="I27" s="39" t="s">
        <v>1449</v>
      </c>
      <c r="J27" s="39" t="s">
        <v>1449</v>
      </c>
      <c r="L27" s="84">
        <f t="shared" si="0"/>
        <v>1688.8295333333335</v>
      </c>
      <c r="M27" s="86">
        <f t="shared" si="0"/>
        <v>16130</v>
      </c>
    </row>
    <row r="28" spans="2:14" x14ac:dyDescent="0.2">
      <c r="B28" s="16"/>
      <c r="C28" s="32" t="s">
        <v>20</v>
      </c>
      <c r="D28" s="122">
        <f>E82</f>
        <v>312</v>
      </c>
      <c r="E28" s="126">
        <f>E91</f>
        <v>4.7861936720997124E-2</v>
      </c>
      <c r="F28" s="111">
        <f>D28*PRICE_PER_KWH_2018_ELECTRICITY</f>
        <v>61.7136</v>
      </c>
      <c r="G28" s="139">
        <v>0</v>
      </c>
      <c r="H28" s="404">
        <f t="shared" si="1"/>
        <v>0</v>
      </c>
      <c r="I28" s="39" t="s">
        <v>1449</v>
      </c>
      <c r="J28" s="39" t="s">
        <v>1449</v>
      </c>
      <c r="L28" s="84">
        <f t="shared" si="0"/>
        <v>1600.0062315789478</v>
      </c>
      <c r="M28" s="86">
        <f t="shared" si="0"/>
        <v>16130</v>
      </c>
    </row>
    <row r="29" spans="2:14" x14ac:dyDescent="0.2">
      <c r="B29" s="16"/>
    </row>
    <row r="30" spans="2:14" ht="12.75" thickBot="1" x14ac:dyDescent="0.25">
      <c r="B30" s="16"/>
      <c r="C30" s="34" t="s">
        <v>55</v>
      </c>
      <c r="D30" s="34"/>
      <c r="E30" s="33"/>
      <c r="F30" s="33"/>
    </row>
    <row r="31" spans="2:14" ht="34.5" thickBot="1" x14ac:dyDescent="0.25">
      <c r="B31" s="16"/>
      <c r="C31" s="89" t="s">
        <v>127</v>
      </c>
      <c r="D31" s="281" t="s">
        <v>325</v>
      </c>
      <c r="E31" s="281" t="s">
        <v>326</v>
      </c>
      <c r="F31" s="421" t="s">
        <v>1532</v>
      </c>
    </row>
    <row r="32" spans="2:14" x14ac:dyDescent="0.2">
      <c r="B32" s="16"/>
      <c r="C32" s="32" t="s">
        <v>6</v>
      </c>
      <c r="D32" s="122">
        <f>E76</f>
        <v>1006.6666666666667</v>
      </c>
      <c r="E32" s="111">
        <f>D32*PRICE_PER_THERM_2018_NATURALGAS</f>
        <v>1623.7533333333336</v>
      </c>
      <c r="F32" s="111">
        <f>E115</f>
        <v>16130</v>
      </c>
      <c r="G32" s="7" t="s">
        <v>128</v>
      </c>
    </row>
    <row r="33" spans="2:14" x14ac:dyDescent="0.2">
      <c r="B33" s="16"/>
      <c r="C33" s="32" t="s">
        <v>19</v>
      </c>
      <c r="D33" s="122">
        <f>E77</f>
        <v>1006.6666666666667</v>
      </c>
      <c r="E33" s="111">
        <f>D33*PRICE_PER_THERM_2018_NATURALGAS</f>
        <v>1623.7533333333336</v>
      </c>
      <c r="F33" s="111">
        <f t="shared" ref="F33:F34" si="2">E116</f>
        <v>16130</v>
      </c>
    </row>
    <row r="34" spans="2:14" x14ac:dyDescent="0.2">
      <c r="B34" s="16"/>
      <c r="C34" s="32" t="s">
        <v>20</v>
      </c>
      <c r="D34" s="122">
        <f>E78</f>
        <v>953.68421052631595</v>
      </c>
      <c r="E34" s="111">
        <f>D34*PRICE_PER_THERM_2018_NATURALGAS</f>
        <v>1538.2926315789477</v>
      </c>
      <c r="F34" s="111">
        <f t="shared" si="2"/>
        <v>16130</v>
      </c>
    </row>
    <row r="35" spans="2:14" x14ac:dyDescent="0.2">
      <c r="B35" s="16"/>
    </row>
    <row r="36" spans="2:14" ht="12.75" thickBot="1" x14ac:dyDescent="0.25">
      <c r="B36" s="16"/>
      <c r="C36" s="34" t="s">
        <v>28</v>
      </c>
      <c r="D36" s="34"/>
      <c r="E36" s="33"/>
      <c r="F36" s="33"/>
    </row>
    <row r="37" spans="2:14" ht="34.5" thickBot="1" x14ac:dyDescent="0.25">
      <c r="B37" s="16"/>
      <c r="C37" s="89" t="s">
        <v>127</v>
      </c>
      <c r="D37" s="281" t="s">
        <v>756</v>
      </c>
      <c r="E37" s="281" t="s">
        <v>326</v>
      </c>
      <c r="F37" s="421"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34.5" thickBot="1" x14ac:dyDescent="0.25">
      <c r="B43" s="16"/>
      <c r="C43" s="89" t="s">
        <v>127</v>
      </c>
      <c r="D43" s="281" t="s">
        <v>756</v>
      </c>
      <c r="E43" s="281" t="s">
        <v>326</v>
      </c>
      <c r="F43" s="421" t="s">
        <v>1532</v>
      </c>
    </row>
    <row r="44" spans="2:14" x14ac:dyDescent="0.2">
      <c r="B44" s="16"/>
      <c r="C44" s="32" t="s">
        <v>6</v>
      </c>
      <c r="D44" s="40">
        <v>0</v>
      </c>
      <c r="E44" s="39">
        <v>0</v>
      </c>
      <c r="F44" s="39">
        <v>0</v>
      </c>
      <c r="G44" s="7" t="s">
        <v>128</v>
      </c>
    </row>
    <row r="45" spans="2:14" x14ac:dyDescent="0.2">
      <c r="B45" s="16"/>
      <c r="C45" s="32" t="s">
        <v>19</v>
      </c>
      <c r="D45" s="40">
        <v>0</v>
      </c>
      <c r="E45" s="39">
        <v>0</v>
      </c>
      <c r="F45" s="39">
        <v>0</v>
      </c>
    </row>
    <row r="46" spans="2:14" x14ac:dyDescent="0.2">
      <c r="B46" s="16"/>
      <c r="C46" s="32" t="s">
        <v>20</v>
      </c>
      <c r="D46" s="40">
        <v>0</v>
      </c>
      <c r="E46" s="39">
        <v>0</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v>
      </c>
      <c r="E51" s="690"/>
      <c r="F51" s="693" t="str">
        <f>INDEX(Tbl_EquipmentDefinitions[Natural Gas Code Efficiency],MATCH($E$13,Tbl_EquipmentDefinitions[Equipment ID],0))</f>
        <v>90% AFUE</v>
      </c>
      <c r="G51" s="690"/>
      <c r="H51" s="693" t="str">
        <f>INDEX(Tbl_EquipmentDefinitions[Propane Code Efficiency],MATCH($E$13,Tbl_EquipmentDefinitions[Equipment ID],0))</f>
        <v>-</v>
      </c>
      <c r="I51" s="690"/>
      <c r="J51" s="693" t="str">
        <f>INDEX(Tbl_EquipmentDefinitions[Oil Code Efficiency],MATCH($E$13,Tbl_EquipmentDefinitions[Equipment ID],0))</f>
        <v>-</v>
      </c>
      <c r="K51" s="690"/>
    </row>
    <row r="52" spans="2:14" ht="12.75" x14ac:dyDescent="0.2">
      <c r="B52" s="16"/>
      <c r="C52" s="30" t="s">
        <v>153</v>
      </c>
      <c r="D52" s="689" t="str">
        <f>INDEX(Tbl_EquipmentDefinitions[Electricity Low Measure Efficiency],MATCH($E$13,Tbl_EquipmentDefinitions[Equipment ID],0))</f>
        <v>-</v>
      </c>
      <c r="E52" s="690"/>
      <c r="F52" s="689" t="str">
        <f>INDEX(Tbl_EquipmentDefinitions[Natural Gas Low Measure Efficiency],MATCH($E$13,Tbl_EquipmentDefinitions[Equipment ID],0))</f>
        <v>90% AFUE</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v>
      </c>
      <c r="E53" s="690"/>
      <c r="F53" s="689" t="str">
        <f>INDEX(Tbl_EquipmentDefinitions[Natural Gas High Measure Efficiency],MATCH($E$13,Tbl_EquipmentDefinitions[Equipment ID],0))</f>
        <v>95% AFUE</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163" t="s">
        <v>131</v>
      </c>
      <c r="D58" s="691" t="s">
        <v>132</v>
      </c>
      <c r="E58" s="692"/>
      <c r="F58" s="692"/>
      <c r="G58" s="692"/>
    </row>
    <row r="59" spans="2:14" x14ac:dyDescent="0.2">
      <c r="B59" s="16"/>
      <c r="C59" s="32" t="s">
        <v>386</v>
      </c>
      <c r="D59" s="698" t="s">
        <v>316</v>
      </c>
      <c r="E59" s="699"/>
      <c r="F59" s="699"/>
      <c r="G59" s="699"/>
      <c r="H59" s="94" t="s">
        <v>317</v>
      </c>
    </row>
    <row r="60" spans="2:14" x14ac:dyDescent="0.2">
      <c r="B60" s="16"/>
      <c r="C60" s="32" t="s">
        <v>436</v>
      </c>
      <c r="D60" s="698" t="s">
        <v>437</v>
      </c>
      <c r="E60" s="699"/>
      <c r="F60" s="699"/>
      <c r="G60" s="699"/>
    </row>
    <row r="61" spans="2:14" x14ac:dyDescent="0.2">
      <c r="B61" s="16"/>
      <c r="C61" s="32" t="s">
        <v>438</v>
      </c>
      <c r="D61" s="698" t="s">
        <v>439</v>
      </c>
      <c r="E61" s="699"/>
      <c r="F61" s="699"/>
      <c r="G61" s="699"/>
    </row>
    <row r="62" spans="2:14" x14ac:dyDescent="0.2">
      <c r="B62" s="16"/>
    </row>
    <row r="64" spans="2:14" ht="13.5" thickBot="1" x14ac:dyDescent="0.25">
      <c r="B64" s="9" t="s">
        <v>129</v>
      </c>
      <c r="C64" s="9"/>
      <c r="D64" s="9"/>
      <c r="E64" s="9"/>
      <c r="F64" s="9"/>
      <c r="G64" s="9"/>
      <c r="H64" s="9"/>
      <c r="I64" s="9"/>
      <c r="J64" s="9"/>
      <c r="K64" s="9"/>
      <c r="L64" s="9"/>
      <c r="M64" s="9"/>
      <c r="N64" s="9"/>
    </row>
    <row r="65" spans="2:7" x14ac:dyDescent="0.2">
      <c r="B65" s="15"/>
    </row>
    <row r="66" spans="2:7" x14ac:dyDescent="0.2">
      <c r="B66" s="16"/>
      <c r="C66" s="6" t="s">
        <v>453</v>
      </c>
    </row>
    <row r="67" spans="2:7" x14ac:dyDescent="0.2">
      <c r="B67" s="16"/>
      <c r="C67" s="6" t="s">
        <v>624</v>
      </c>
    </row>
    <row r="68" spans="2:7" x14ac:dyDescent="0.2">
      <c r="B68" s="16"/>
    </row>
    <row r="69" spans="2:7" ht="12.75" x14ac:dyDescent="0.2">
      <c r="B69" s="16"/>
      <c r="D69" s="95" t="s">
        <v>155</v>
      </c>
      <c r="E69" s="140">
        <f>D18</f>
        <v>76.7</v>
      </c>
      <c r="F69" s="6" t="s">
        <v>381</v>
      </c>
      <c r="G69" s="6" t="s">
        <v>382</v>
      </c>
    </row>
    <row r="70" spans="2:7" ht="12.75" x14ac:dyDescent="0.2">
      <c r="B70" s="16"/>
      <c r="D70" s="95" t="s">
        <v>244</v>
      </c>
      <c r="E70" s="140">
        <f>D20</f>
        <v>13.9</v>
      </c>
      <c r="F70" s="6" t="s">
        <v>381</v>
      </c>
      <c r="G70" s="6" t="s">
        <v>382</v>
      </c>
    </row>
    <row r="71" spans="2:7" ht="12.75" x14ac:dyDescent="0.2">
      <c r="B71" s="16"/>
      <c r="D71" s="95"/>
    </row>
    <row r="72" spans="2:7" ht="12.75" x14ac:dyDescent="0.2">
      <c r="B72" s="16"/>
      <c r="D72" s="95" t="s">
        <v>159</v>
      </c>
      <c r="E72" s="150">
        <v>0.9</v>
      </c>
      <c r="F72" s="6" t="s">
        <v>158</v>
      </c>
      <c r="G72" s="45" t="s">
        <v>371</v>
      </c>
    </row>
    <row r="73" spans="2:7" ht="12.75" x14ac:dyDescent="0.2">
      <c r="B73" s="16"/>
      <c r="D73" s="95" t="s">
        <v>180</v>
      </c>
      <c r="E73" s="150">
        <v>0.9</v>
      </c>
      <c r="F73" s="6" t="s">
        <v>158</v>
      </c>
      <c r="G73" s="8"/>
    </row>
    <row r="74" spans="2:7" ht="12.75" x14ac:dyDescent="0.2">
      <c r="B74" s="16"/>
      <c r="D74" s="95" t="s">
        <v>181</v>
      </c>
      <c r="E74" s="150">
        <v>0.95</v>
      </c>
      <c r="F74" s="6" t="s">
        <v>158</v>
      </c>
      <c r="G74" s="8"/>
    </row>
    <row r="75" spans="2:7" ht="12.75" x14ac:dyDescent="0.2">
      <c r="B75" s="16"/>
      <c r="D75" s="95"/>
    </row>
    <row r="76" spans="2:7" ht="12.75" x14ac:dyDescent="0.2">
      <c r="B76" s="16"/>
      <c r="D76" s="95" t="s">
        <v>430</v>
      </c>
      <c r="E76" s="41">
        <f>Therm_per_MMBtu*($E$69+$E$70)/E72</f>
        <v>1006.6666666666667</v>
      </c>
      <c r="F76" s="6" t="s">
        <v>372</v>
      </c>
      <c r="G76" s="45" t="s">
        <v>305</v>
      </c>
    </row>
    <row r="77" spans="2:7" ht="12.75" x14ac:dyDescent="0.2">
      <c r="B77" s="16"/>
      <c r="D77" s="95" t="s">
        <v>431</v>
      </c>
      <c r="E77" s="41">
        <f>Therm_per_MMBtu*($E$69+$E$70)/E73</f>
        <v>1006.6666666666667</v>
      </c>
      <c r="F77" s="6" t="s">
        <v>372</v>
      </c>
    </row>
    <row r="78" spans="2:7" ht="12.75" x14ac:dyDescent="0.2">
      <c r="B78" s="16"/>
      <c r="D78" s="95" t="s">
        <v>432</v>
      </c>
      <c r="E78" s="41">
        <f>Therm_per_MMBtu*($E$69+$E$70)/E74</f>
        <v>953.68421052631595</v>
      </c>
      <c r="F78" s="6" t="s">
        <v>372</v>
      </c>
    </row>
    <row r="79" spans="2:7" ht="12.75" x14ac:dyDescent="0.2">
      <c r="B79" s="16"/>
      <c r="D79" s="95"/>
    </row>
    <row r="80" spans="2:7" ht="12.75" x14ac:dyDescent="0.2">
      <c r="B80" s="16"/>
      <c r="D80" s="154" t="s">
        <v>408</v>
      </c>
      <c r="E80" s="88">
        <v>329</v>
      </c>
      <c r="F80" s="6" t="s">
        <v>434</v>
      </c>
      <c r="G80" s="6" t="s">
        <v>461</v>
      </c>
    </row>
    <row r="81" spans="2:7" ht="12.75" x14ac:dyDescent="0.2">
      <c r="B81" s="16"/>
      <c r="D81" s="154" t="s">
        <v>409</v>
      </c>
      <c r="E81" s="88">
        <v>329</v>
      </c>
      <c r="F81" s="6" t="s">
        <v>434</v>
      </c>
      <c r="G81" s="6" t="s">
        <v>461</v>
      </c>
    </row>
    <row r="82" spans="2:7" ht="12.75" x14ac:dyDescent="0.2">
      <c r="B82" s="16"/>
      <c r="D82" s="154" t="s">
        <v>433</v>
      </c>
      <c r="E82" s="88">
        <v>312</v>
      </c>
      <c r="F82" s="6" t="s">
        <v>434</v>
      </c>
      <c r="G82" s="6" t="s">
        <v>461</v>
      </c>
    </row>
    <row r="83" spans="2:7" x14ac:dyDescent="0.2">
      <c r="B83" s="16"/>
      <c r="D83" s="155"/>
    </row>
    <row r="84" spans="2:7" x14ac:dyDescent="0.2">
      <c r="B84" s="16"/>
      <c r="D84" s="156" t="s">
        <v>422</v>
      </c>
      <c r="E84" s="146">
        <f>AVERAGE(530,984,1329,1329)</f>
        <v>1043</v>
      </c>
      <c r="F84" s="6" t="s">
        <v>397</v>
      </c>
      <c r="G84" s="6" t="s">
        <v>423</v>
      </c>
    </row>
    <row r="85" spans="2:7" x14ac:dyDescent="0.2">
      <c r="B85" s="16"/>
      <c r="D85" s="155"/>
    </row>
    <row r="86" spans="2:7" x14ac:dyDescent="0.2">
      <c r="B86" s="16"/>
      <c r="D86" s="6" t="s">
        <v>740</v>
      </c>
    </row>
    <row r="87" spans="2:7" x14ac:dyDescent="0.2">
      <c r="B87" s="16"/>
      <c r="D87" s="155" t="s">
        <v>949</v>
      </c>
      <c r="E87" s="146">
        <v>0.16</v>
      </c>
    </row>
    <row r="88" spans="2:7" x14ac:dyDescent="0.2">
      <c r="B88" s="16"/>
      <c r="D88" s="155"/>
    </row>
    <row r="89" spans="2:7" x14ac:dyDescent="0.2">
      <c r="B89" s="16"/>
      <c r="D89" s="156" t="s">
        <v>1107</v>
      </c>
      <c r="E89" s="145">
        <f>$E$87*E80/$E$84</f>
        <v>5.0469798657718119E-2</v>
      </c>
      <c r="F89" s="5" t="s">
        <v>176</v>
      </c>
    </row>
    <row r="90" spans="2:7" x14ac:dyDescent="0.2">
      <c r="B90" s="16"/>
      <c r="D90" s="156" t="s">
        <v>1117</v>
      </c>
      <c r="E90" s="145">
        <f>$E$87*E81/$E$84</f>
        <v>5.0469798657718119E-2</v>
      </c>
      <c r="F90" s="5" t="s">
        <v>176</v>
      </c>
    </row>
    <row r="91" spans="2:7" x14ac:dyDescent="0.2">
      <c r="B91" s="16"/>
      <c r="D91" s="156" t="s">
        <v>1118</v>
      </c>
      <c r="E91" s="145">
        <f>$E$87*E82/$E$84</f>
        <v>4.7861936720997124E-2</v>
      </c>
      <c r="F91" s="5" t="s">
        <v>176</v>
      </c>
    </row>
    <row r="92" spans="2:7" x14ac:dyDescent="0.2">
      <c r="B92" s="16"/>
    </row>
    <row r="93" spans="2:7" x14ac:dyDescent="0.2">
      <c r="B93" s="16"/>
      <c r="D93" s="6" t="s">
        <v>976</v>
      </c>
    </row>
    <row r="94" spans="2:7" x14ac:dyDescent="0.2">
      <c r="B94" s="16"/>
      <c r="D94" s="6" t="s">
        <v>977</v>
      </c>
      <c r="F94" s="5"/>
    </row>
    <row r="95" spans="2:7" x14ac:dyDescent="0.2">
      <c r="B95" s="16"/>
      <c r="D95" s="156" t="s">
        <v>1109</v>
      </c>
      <c r="E95" s="387">
        <v>0</v>
      </c>
      <c r="F95" s="5" t="s">
        <v>176</v>
      </c>
    </row>
    <row r="96" spans="2:7" x14ac:dyDescent="0.2">
      <c r="B96" s="16"/>
      <c r="D96" s="156" t="s">
        <v>1119</v>
      </c>
      <c r="E96" s="387">
        <v>0</v>
      </c>
      <c r="F96" s="5" t="s">
        <v>176</v>
      </c>
    </row>
    <row r="97" spans="2:7" x14ac:dyDescent="0.2">
      <c r="B97" s="16"/>
      <c r="D97" s="156" t="s">
        <v>1120</v>
      </c>
      <c r="E97" s="387">
        <v>0</v>
      </c>
      <c r="F97" s="5" t="s">
        <v>176</v>
      </c>
    </row>
    <row r="98" spans="2:7" x14ac:dyDescent="0.2">
      <c r="B98" s="16"/>
    </row>
    <row r="99" spans="2:7" x14ac:dyDescent="0.2">
      <c r="B99" s="16"/>
    </row>
    <row r="100" spans="2:7" ht="12.75" x14ac:dyDescent="0.2">
      <c r="B100" s="16"/>
      <c r="C100" s="36" t="s">
        <v>1181</v>
      </c>
      <c r="D100" s="41" t="str">
        <f>INPUT_INCLUDEGASLINE</f>
        <v>Yes</v>
      </c>
    </row>
    <row r="101" spans="2:7" ht="12.75" x14ac:dyDescent="0.2">
      <c r="B101" s="16"/>
      <c r="C101" s="36" t="s">
        <v>1182</v>
      </c>
      <c r="D101" s="233">
        <f>IF(D100="No",0,INPUT_GASLINECOST)</f>
        <v>5600</v>
      </c>
      <c r="E101" s="188" t="s">
        <v>1180</v>
      </c>
    </row>
    <row r="102" spans="2:7" x14ac:dyDescent="0.2">
      <c r="B102" s="16"/>
    </row>
    <row r="103" spans="2:7" x14ac:dyDescent="0.2">
      <c r="B103" s="16"/>
      <c r="C103" s="109" t="s">
        <v>1187</v>
      </c>
    </row>
    <row r="104" spans="2:7" x14ac:dyDescent="0.2">
      <c r="B104" s="16"/>
      <c r="C104" s="109" t="s">
        <v>457</v>
      </c>
    </row>
    <row r="105" spans="2:7" x14ac:dyDescent="0.2">
      <c r="B105" s="16"/>
      <c r="C105" s="109" t="s">
        <v>458</v>
      </c>
    </row>
    <row r="106" spans="2:7" x14ac:dyDescent="0.2">
      <c r="B106" s="16"/>
      <c r="C106" s="109" t="s">
        <v>459</v>
      </c>
    </row>
    <row r="107" spans="2:7" x14ac:dyDescent="0.2">
      <c r="B107" s="16"/>
      <c r="C107" s="109" t="s">
        <v>460</v>
      </c>
    </row>
    <row r="108" spans="2:7" ht="12.75" x14ac:dyDescent="0.2">
      <c r="B108" s="16"/>
      <c r="D108" s="95" t="s">
        <v>1183</v>
      </c>
      <c r="E108" s="108">
        <v>10530</v>
      </c>
      <c r="F108" s="6" t="s">
        <v>164</v>
      </c>
      <c r="G108" s="6" t="s">
        <v>455</v>
      </c>
    </row>
    <row r="109" spans="2:7" ht="12.75" x14ac:dyDescent="0.2">
      <c r="B109" s="16"/>
      <c r="D109" s="95" t="s">
        <v>1184</v>
      </c>
      <c r="E109" s="108">
        <v>10530</v>
      </c>
      <c r="F109" s="6" t="s">
        <v>164</v>
      </c>
      <c r="G109" s="6" t="s">
        <v>455</v>
      </c>
    </row>
    <row r="110" spans="2:7" ht="12.75" x14ac:dyDescent="0.2">
      <c r="B110" s="16"/>
      <c r="D110" s="95" t="s">
        <v>1185</v>
      </c>
      <c r="E110" s="108">
        <v>10530</v>
      </c>
      <c r="F110" s="6" t="s">
        <v>164</v>
      </c>
      <c r="G110" s="6" t="s">
        <v>456</v>
      </c>
    </row>
    <row r="111" spans="2:7" x14ac:dyDescent="0.2">
      <c r="B111" s="16"/>
    </row>
    <row r="112" spans="2:7" ht="12.75" x14ac:dyDescent="0.2">
      <c r="B112" s="16"/>
      <c r="C112" s="420" t="s">
        <v>1196</v>
      </c>
      <c r="D112" s="146">
        <v>0</v>
      </c>
      <c r="E112" s="188" t="s">
        <v>1180</v>
      </c>
      <c r="F112" s="8" t="s">
        <v>1340</v>
      </c>
    </row>
    <row r="113" spans="2:14" x14ac:dyDescent="0.2">
      <c r="B113" s="16"/>
    </row>
    <row r="114" spans="2:14" x14ac:dyDescent="0.2">
      <c r="B114" s="16"/>
      <c r="C114" s="6" t="s">
        <v>324</v>
      </c>
    </row>
    <row r="115" spans="2:14" ht="12.75" x14ac:dyDescent="0.2">
      <c r="B115" s="16"/>
      <c r="D115" s="95" t="s">
        <v>331</v>
      </c>
      <c r="E115" s="42">
        <f>E108+$D$101+$D$112</f>
        <v>16130</v>
      </c>
      <c r="F115" s="6" t="s">
        <v>164</v>
      </c>
    </row>
    <row r="116" spans="2:14" ht="12.75" x14ac:dyDescent="0.2">
      <c r="B116" s="16"/>
      <c r="D116" s="95" t="s">
        <v>332</v>
      </c>
      <c r="E116" s="42">
        <f>E109+$D$101+$D$112</f>
        <v>16130</v>
      </c>
      <c r="F116" s="6" t="s">
        <v>164</v>
      </c>
    </row>
    <row r="117" spans="2:14" ht="12.75" x14ac:dyDescent="0.2">
      <c r="B117" s="16"/>
      <c r="D117" s="95" t="s">
        <v>393</v>
      </c>
      <c r="E117" s="42">
        <f>E110+$D$101+$D$112</f>
        <v>16130</v>
      </c>
      <c r="F117" s="6" t="s">
        <v>164</v>
      </c>
    </row>
    <row r="118" spans="2:14" x14ac:dyDescent="0.2">
      <c r="B118" s="16"/>
    </row>
    <row r="119" spans="2:14" x14ac:dyDescent="0.2">
      <c r="B119" s="16"/>
    </row>
    <row r="121" spans="2:14" ht="13.5" thickBot="1" x14ac:dyDescent="0.25">
      <c r="B121" s="9" t="s">
        <v>322</v>
      </c>
      <c r="C121" s="9"/>
      <c r="D121" s="9"/>
      <c r="E121" s="9"/>
      <c r="F121" s="9"/>
      <c r="G121" s="9"/>
      <c r="H121" s="9"/>
      <c r="I121" s="9"/>
      <c r="J121" s="9"/>
      <c r="K121" s="9"/>
      <c r="L121" s="9"/>
      <c r="M121" s="9"/>
      <c r="N121" s="9"/>
    </row>
    <row r="122" spans="2:14" x14ac:dyDescent="0.2">
      <c r="B122" s="16"/>
    </row>
    <row r="123" spans="2:14" x14ac:dyDescent="0.2">
      <c r="B123" s="16"/>
    </row>
    <row r="124" spans="2:14" x14ac:dyDescent="0.2">
      <c r="B124" s="16"/>
    </row>
    <row r="125" spans="2:14" x14ac:dyDescent="0.2">
      <c r="B125" s="16"/>
    </row>
    <row r="126" spans="2:14" x14ac:dyDescent="0.2">
      <c r="B126" s="16"/>
    </row>
    <row r="127" spans="2:14" x14ac:dyDescent="0.2">
      <c r="B127" s="16"/>
    </row>
    <row r="128" spans="2:14" x14ac:dyDescent="0.2">
      <c r="B128" s="16"/>
    </row>
    <row r="129" spans="2:2" x14ac:dyDescent="0.2">
      <c r="B129" s="16"/>
    </row>
    <row r="130" spans="2:2" x14ac:dyDescent="0.2">
      <c r="B130" s="16"/>
    </row>
    <row r="131" spans="2:2" x14ac:dyDescent="0.2">
      <c r="B131" s="16"/>
    </row>
    <row r="132" spans="2:2" x14ac:dyDescent="0.2">
      <c r="B132" s="16"/>
    </row>
    <row r="133" spans="2:2" x14ac:dyDescent="0.2">
      <c r="B133" s="16"/>
    </row>
    <row r="134" spans="2:2" x14ac:dyDescent="0.2">
      <c r="B134" s="16"/>
    </row>
    <row r="135" spans="2:2" x14ac:dyDescent="0.2">
      <c r="B135" s="16"/>
    </row>
    <row r="136" spans="2:2" x14ac:dyDescent="0.2">
      <c r="B136" s="16"/>
    </row>
    <row r="137" spans="2:2" x14ac:dyDescent="0.2">
      <c r="B137" s="16"/>
    </row>
    <row r="138" spans="2:2" x14ac:dyDescent="0.2">
      <c r="B138" s="16"/>
    </row>
    <row r="139" spans="2:2" x14ac:dyDescent="0.2">
      <c r="B139" s="16"/>
    </row>
    <row r="140" spans="2:2" x14ac:dyDescent="0.2">
      <c r="B140" s="16"/>
    </row>
    <row r="141" spans="2:2" x14ac:dyDescent="0.2">
      <c r="B141" s="16"/>
    </row>
    <row r="142" spans="2:2" x14ac:dyDescent="0.2">
      <c r="B142" s="16"/>
    </row>
    <row r="143" spans="2:2" x14ac:dyDescent="0.2">
      <c r="B143" s="16"/>
    </row>
    <row r="144" spans="2:2" x14ac:dyDescent="0.2">
      <c r="B144" s="16"/>
    </row>
    <row r="145" spans="2:2" x14ac:dyDescent="0.2">
      <c r="B145" s="16"/>
    </row>
    <row r="146" spans="2:2" x14ac:dyDescent="0.2">
      <c r="B146" s="16"/>
    </row>
    <row r="147" spans="2:2" x14ac:dyDescent="0.2">
      <c r="B147" s="16"/>
    </row>
    <row r="148" spans="2:2" x14ac:dyDescent="0.2">
      <c r="B148" s="16"/>
    </row>
    <row r="149" spans="2:2" x14ac:dyDescent="0.2">
      <c r="B149" s="16"/>
    </row>
    <row r="150" spans="2:2" x14ac:dyDescent="0.2">
      <c r="B150" s="16"/>
    </row>
    <row r="151" spans="2:2" x14ac:dyDescent="0.2">
      <c r="B151" s="16"/>
    </row>
    <row r="152" spans="2:2" x14ac:dyDescent="0.2">
      <c r="B152" s="16"/>
    </row>
    <row r="153" spans="2:2" x14ac:dyDescent="0.2">
      <c r="B153" s="16"/>
    </row>
    <row r="154" spans="2:2" x14ac:dyDescent="0.2">
      <c r="B154" s="16"/>
    </row>
    <row r="155" spans="2:2" x14ac:dyDescent="0.2">
      <c r="B155" s="16"/>
    </row>
    <row r="156" spans="2:2" x14ac:dyDescent="0.2">
      <c r="B156" s="16"/>
    </row>
    <row r="157" spans="2:2" x14ac:dyDescent="0.2">
      <c r="B157" s="16"/>
    </row>
    <row r="158" spans="2:2" x14ac:dyDescent="0.2">
      <c r="B158" s="16"/>
    </row>
    <row r="159" spans="2:2" x14ac:dyDescent="0.2">
      <c r="B159" s="16"/>
    </row>
    <row r="160" spans="2:2" x14ac:dyDescent="0.2">
      <c r="B160" s="16"/>
    </row>
    <row r="161" spans="2:2" x14ac:dyDescent="0.2">
      <c r="B161" s="16"/>
    </row>
    <row r="162" spans="2:2" x14ac:dyDescent="0.2">
      <c r="B162" s="16"/>
    </row>
    <row r="163" spans="2:2" x14ac:dyDescent="0.2">
      <c r="B163" s="16"/>
    </row>
    <row r="164" spans="2:2" x14ac:dyDescent="0.2">
      <c r="B164" s="16"/>
    </row>
    <row r="165" spans="2:2" x14ac:dyDescent="0.2">
      <c r="B165" s="16"/>
    </row>
  </sheetData>
  <mergeCells count="20">
    <mergeCell ref="D59:G59"/>
    <mergeCell ref="D60:G60"/>
    <mergeCell ref="D61:G61"/>
    <mergeCell ref="D52:E52"/>
    <mergeCell ref="F52:G52"/>
    <mergeCell ref="D53:E53"/>
    <mergeCell ref="F53:G53"/>
    <mergeCell ref="D58:G58"/>
    <mergeCell ref="D50:E50"/>
    <mergeCell ref="F50:G50"/>
    <mergeCell ref="H50:I50"/>
    <mergeCell ref="J50:K50"/>
    <mergeCell ref="H53:I53"/>
    <mergeCell ref="J53:K53"/>
    <mergeCell ref="D51:E51"/>
    <mergeCell ref="F51:G51"/>
    <mergeCell ref="H51:I51"/>
    <mergeCell ref="J51:K51"/>
    <mergeCell ref="H52:I52"/>
    <mergeCell ref="J52:K52"/>
  </mergeCells>
  <dataValidations count="2">
    <dataValidation type="list" allowBlank="1" showInputMessage="1" showErrorMessage="1" sqref="D5">
      <formula1>"1. Not Started,2. Analyzing,3. Ready"</formula1>
    </dataValidation>
    <dataValidation type="list" allowBlank="1" showInputMessage="1" showErrorMessage="1" sqref="D9">
      <formula1>DEFINED_MEASURES</formula1>
    </dataValidation>
  </dataValidations>
  <hyperlinks>
    <hyperlink ref="H59" r:id="rId1"/>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6"/>
  </sheetPr>
  <dimension ref="A1:AC50"/>
  <sheetViews>
    <sheetView workbookViewId="0"/>
  </sheetViews>
  <sheetFormatPr defaultColWidth="9.33203125" defaultRowHeight="11.25" x14ac:dyDescent="0.2"/>
  <cols>
    <col min="1" max="2" width="3.33203125" style="6" customWidth="1"/>
    <col min="3" max="3" width="15.6640625" style="6" customWidth="1"/>
    <col min="4" max="4" width="38.1640625" style="6" customWidth="1"/>
    <col min="5" max="5" width="21.33203125" style="6" bestFit="1" customWidth="1"/>
    <col min="6" max="6" width="14.6640625" style="6" customWidth="1"/>
    <col min="7" max="7" width="16" style="6" bestFit="1" customWidth="1"/>
    <col min="8" max="8" width="16" style="6" customWidth="1"/>
    <col min="9" max="9" width="29.1640625" style="6" bestFit="1" customWidth="1"/>
    <col min="10" max="10" width="13.83203125" style="6" bestFit="1" customWidth="1"/>
    <col min="11" max="11" width="30.83203125" style="6" bestFit="1" customWidth="1"/>
    <col min="12" max="13" width="16" style="6" customWidth="1"/>
    <col min="14" max="14" width="31.6640625" style="6" customWidth="1"/>
    <col min="15" max="15" width="28.6640625" style="6" bestFit="1" customWidth="1"/>
    <col min="16" max="17" width="25.33203125" style="6" bestFit="1" customWidth="1"/>
    <col min="18" max="18" width="18.33203125" style="6" customWidth="1"/>
    <col min="19" max="19" width="16" style="6" customWidth="1"/>
    <col min="20" max="20" width="20.5" style="6" customWidth="1"/>
    <col min="21" max="21" width="24.1640625" style="6" bestFit="1" customWidth="1"/>
    <col min="22" max="22" width="20.33203125" style="6" bestFit="1" customWidth="1"/>
    <col min="23" max="23" width="26.6640625" style="6" bestFit="1" customWidth="1"/>
    <col min="24" max="24" width="31.6640625" style="6" bestFit="1" customWidth="1"/>
    <col min="25" max="25" width="26.6640625" style="6" bestFit="1" customWidth="1"/>
    <col min="26" max="26" width="20.33203125" style="6" bestFit="1" customWidth="1"/>
    <col min="27" max="27" width="17.1640625" style="6" bestFit="1" customWidth="1"/>
    <col min="28" max="29" width="25.33203125" style="6" bestFit="1" customWidth="1"/>
    <col min="30" max="16384" width="9.33203125" style="6"/>
  </cols>
  <sheetData>
    <row r="1" spans="1:29" ht="17.25" thickBot="1" x14ac:dyDescent="0.3">
      <c r="A1" s="4"/>
      <c r="B1" s="4" t="s">
        <v>183</v>
      </c>
      <c r="C1" s="4"/>
      <c r="D1" s="4"/>
      <c r="E1" s="4"/>
      <c r="F1" s="4"/>
      <c r="G1" s="4"/>
      <c r="H1" s="4"/>
      <c r="I1" s="4"/>
      <c r="J1" s="4"/>
      <c r="K1" s="4"/>
      <c r="L1" s="4"/>
      <c r="M1" s="4"/>
      <c r="N1" s="4"/>
      <c r="O1" s="4"/>
      <c r="P1" s="4"/>
      <c r="Q1" s="4"/>
      <c r="R1" s="4"/>
      <c r="S1" s="4"/>
      <c r="T1" s="4"/>
      <c r="U1" s="4"/>
      <c r="V1" s="4"/>
    </row>
    <row r="2" spans="1:29" ht="12" thickTop="1" x14ac:dyDescent="0.2"/>
    <row r="3" spans="1:29" x14ac:dyDescent="0.2">
      <c r="B3" s="1" t="s">
        <v>246</v>
      </c>
    </row>
    <row r="4" spans="1:29" x14ac:dyDescent="0.2">
      <c r="B4" s="1" t="s">
        <v>1489</v>
      </c>
    </row>
    <row r="5" spans="1:29" x14ac:dyDescent="0.2">
      <c r="B5" s="19"/>
    </row>
    <row r="6" spans="1:29" ht="13.5" thickBot="1" x14ac:dyDescent="0.25">
      <c r="B6" s="9" t="s">
        <v>183</v>
      </c>
      <c r="C6" s="9"/>
      <c r="D6" s="9"/>
      <c r="E6" s="9"/>
      <c r="F6" s="9"/>
      <c r="G6" s="9"/>
      <c r="H6" s="9"/>
      <c r="I6" s="9"/>
      <c r="J6" s="9"/>
      <c r="K6" s="9"/>
      <c r="L6" s="9"/>
      <c r="M6" s="9"/>
      <c r="N6" s="9"/>
      <c r="O6" s="9"/>
      <c r="P6" s="9"/>
      <c r="Q6" s="9"/>
      <c r="R6" s="9"/>
      <c r="S6" s="9"/>
      <c r="T6" s="9"/>
      <c r="U6" s="9"/>
      <c r="V6" s="9"/>
      <c r="W6" s="9"/>
      <c r="X6" s="9"/>
      <c r="Y6" s="9"/>
      <c r="Z6" s="9"/>
      <c r="AA6" s="9"/>
      <c r="AB6" s="9"/>
      <c r="AC6" s="9"/>
    </row>
    <row r="7" spans="1:29" x14ac:dyDescent="0.2">
      <c r="B7" s="15"/>
    </row>
    <row r="8" spans="1:29" ht="13.5" thickBot="1" x14ac:dyDescent="0.25">
      <c r="B8" s="16"/>
      <c r="N8" s="100" t="s">
        <v>178</v>
      </c>
      <c r="O8" s="20"/>
      <c r="P8" s="20"/>
      <c r="Q8" s="20"/>
      <c r="R8" s="100" t="s">
        <v>55</v>
      </c>
      <c r="S8" s="20"/>
      <c r="T8" s="20"/>
      <c r="U8" s="20"/>
      <c r="V8" s="100" t="s">
        <v>28</v>
      </c>
      <c r="W8" s="20"/>
      <c r="X8" s="20"/>
      <c r="Y8" s="20"/>
      <c r="Z8" s="100" t="s">
        <v>27</v>
      </c>
      <c r="AA8" s="101"/>
      <c r="AB8" s="101"/>
      <c r="AC8" s="101"/>
    </row>
    <row r="9" spans="1:29" ht="30" customHeight="1" thickBot="1" x14ac:dyDescent="0.25">
      <c r="B9" s="16"/>
      <c r="C9" s="13" t="s">
        <v>2</v>
      </c>
      <c r="D9" s="17" t="s">
        <v>4</v>
      </c>
      <c r="E9" s="17" t="s">
        <v>115</v>
      </c>
      <c r="F9" s="17" t="s">
        <v>24</v>
      </c>
      <c r="G9" s="13" t="s">
        <v>7</v>
      </c>
      <c r="H9" s="161" t="s">
        <v>1280</v>
      </c>
      <c r="I9" s="191" t="s">
        <v>910</v>
      </c>
      <c r="J9" s="280" t="s">
        <v>906</v>
      </c>
      <c r="K9" s="280" t="s">
        <v>907</v>
      </c>
      <c r="L9" s="161" t="s">
        <v>574</v>
      </c>
      <c r="M9" s="130" t="s">
        <v>373</v>
      </c>
      <c r="N9" s="102" t="s">
        <v>184</v>
      </c>
      <c r="O9" s="25" t="s">
        <v>185</v>
      </c>
      <c r="P9" s="25" t="s">
        <v>186</v>
      </c>
      <c r="Q9" s="25" t="s">
        <v>187</v>
      </c>
      <c r="R9" s="102" t="s">
        <v>188</v>
      </c>
      <c r="S9" s="25" t="s">
        <v>189</v>
      </c>
      <c r="T9" s="25" t="s">
        <v>190</v>
      </c>
      <c r="U9" s="25" t="s">
        <v>191</v>
      </c>
      <c r="V9" s="102" t="s">
        <v>192</v>
      </c>
      <c r="W9" s="24" t="s">
        <v>193</v>
      </c>
      <c r="X9" s="24" t="s">
        <v>194</v>
      </c>
      <c r="Y9" s="24" t="s">
        <v>195</v>
      </c>
      <c r="Z9" s="102" t="s">
        <v>196</v>
      </c>
      <c r="AA9" s="24" t="s">
        <v>197</v>
      </c>
      <c r="AB9" s="24" t="s">
        <v>198</v>
      </c>
      <c r="AC9" s="24" t="s">
        <v>199</v>
      </c>
    </row>
    <row r="10" spans="1:29" s="581" customFormat="1" ht="22.5" x14ac:dyDescent="0.2">
      <c r="B10" s="582"/>
      <c r="C10" s="583" t="s">
        <v>3</v>
      </c>
      <c r="D10" s="583" t="s">
        <v>1423</v>
      </c>
      <c r="E10" s="584" t="s">
        <v>116</v>
      </c>
      <c r="F10" s="584" t="s">
        <v>29</v>
      </c>
      <c r="G10" s="584" t="s">
        <v>21</v>
      </c>
      <c r="H10" s="93">
        <v>18</v>
      </c>
      <c r="I10" s="594">
        <f>ROUND(Tbl_EquipmentDefinitions[[#This Row],[New Unit Equipment Life (years)]]/3,0)</f>
        <v>6</v>
      </c>
      <c r="J10" s="594">
        <f>ACBASE3_EQUIPMENT_LIFE</f>
        <v>10</v>
      </c>
      <c r="K10" s="595">
        <f>ACBASE3_RUL</f>
        <v>3</v>
      </c>
      <c r="L10" s="584" t="s">
        <v>575</v>
      </c>
      <c r="M10" s="585"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Baseline Only</v>
      </c>
      <c r="N10" s="586" t="s">
        <v>1425</v>
      </c>
      <c r="O10" s="587" t="s">
        <v>1426</v>
      </c>
      <c r="P10" s="583" t="s">
        <v>119</v>
      </c>
      <c r="Q10" s="588" t="s">
        <v>119</v>
      </c>
      <c r="R10" s="589" t="s">
        <v>119</v>
      </c>
      <c r="S10" s="583" t="s">
        <v>119</v>
      </c>
      <c r="T10" s="583" t="s">
        <v>119</v>
      </c>
      <c r="U10" s="588" t="s">
        <v>119</v>
      </c>
      <c r="V10" s="589" t="s">
        <v>119</v>
      </c>
      <c r="W10" s="583" t="s">
        <v>119</v>
      </c>
      <c r="X10" s="583" t="s">
        <v>119</v>
      </c>
      <c r="Y10" s="588" t="s">
        <v>119</v>
      </c>
      <c r="Z10" s="590" t="str">
        <f>$Z$12</f>
        <v>78% AFUE (78.9%)</v>
      </c>
      <c r="AA10" s="591" t="str">
        <f>$AA$12</f>
        <v>83% AFUE</v>
      </c>
      <c r="AB10" s="591" t="str">
        <f>$AB$12</f>
        <v>-</v>
      </c>
      <c r="AC10" s="591" t="str">
        <f>$AC$12</f>
        <v>-</v>
      </c>
    </row>
    <row r="11" spans="1:29" s="581" customFormat="1" ht="22.5" x14ac:dyDescent="0.2">
      <c r="B11" s="582"/>
      <c r="C11" s="583" t="s">
        <v>8</v>
      </c>
      <c r="D11" s="583" t="s">
        <v>1424</v>
      </c>
      <c r="E11" s="584" t="s">
        <v>116</v>
      </c>
      <c r="F11" s="584" t="s">
        <v>29</v>
      </c>
      <c r="G11" s="584" t="s">
        <v>22</v>
      </c>
      <c r="H11" s="93">
        <v>18</v>
      </c>
      <c r="I11" s="594">
        <f>ROUND(Tbl_EquipmentDefinitions[[#This Row],[New Unit Equipment Life (years)]]/3,0)</f>
        <v>6</v>
      </c>
      <c r="J11" s="594">
        <f>ACBASE3_EQUIPMENT_LIFE</f>
        <v>10</v>
      </c>
      <c r="K11" s="595">
        <f>ACBASE3_RUL</f>
        <v>3</v>
      </c>
      <c r="L11" s="584" t="s">
        <v>575</v>
      </c>
      <c r="M11" s="585"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Baseline Only</v>
      </c>
      <c r="N11" s="586" t="s">
        <v>1429</v>
      </c>
      <c r="O11" s="587" t="s">
        <v>1426</v>
      </c>
      <c r="P11" s="583" t="s">
        <v>119</v>
      </c>
      <c r="Q11" s="588" t="s">
        <v>119</v>
      </c>
      <c r="R11" s="589" t="s">
        <v>119</v>
      </c>
      <c r="S11" s="583" t="s">
        <v>119</v>
      </c>
      <c r="T11" s="583" t="s">
        <v>119</v>
      </c>
      <c r="U11" s="588" t="s">
        <v>119</v>
      </c>
      <c r="V11" s="590" t="str">
        <f>$V$13</f>
        <v>78% AFUE (78.9%)</v>
      </c>
      <c r="W11" s="585" t="str">
        <f>$W$13</f>
        <v>85% AFUE</v>
      </c>
      <c r="X11" s="585" t="str">
        <f>$X$13</f>
        <v>-</v>
      </c>
      <c r="Y11" s="592" t="str">
        <f>$Y$13</f>
        <v>-</v>
      </c>
      <c r="Z11" s="589" t="s">
        <v>119</v>
      </c>
      <c r="AA11" s="593" t="s">
        <v>119</v>
      </c>
      <c r="AB11" s="593" t="s">
        <v>119</v>
      </c>
      <c r="AC11" s="593" t="s">
        <v>119</v>
      </c>
    </row>
    <row r="12" spans="1:29" x14ac:dyDescent="0.2">
      <c r="B12" s="16"/>
      <c r="C12" s="2" t="s">
        <v>9</v>
      </c>
      <c r="D12" s="2" t="s">
        <v>23</v>
      </c>
      <c r="E12" s="3" t="s">
        <v>117</v>
      </c>
      <c r="F12" s="3" t="s">
        <v>26</v>
      </c>
      <c r="G12" s="3" t="s">
        <v>27</v>
      </c>
      <c r="H12" s="209">
        <v>18</v>
      </c>
      <c r="I12" s="618">
        <f>ROUND(Tbl_EquipmentDefinitions[[#This Row],[New Unit Equipment Life (years)]]/3,0)</f>
        <v>6</v>
      </c>
      <c r="J12" s="209"/>
      <c r="K12" s="209"/>
      <c r="L12" s="3" t="s">
        <v>575</v>
      </c>
      <c r="M12" s="1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Baseline Only</v>
      </c>
      <c r="N12" s="105" t="s">
        <v>119</v>
      </c>
      <c r="O12" s="2" t="s">
        <v>119</v>
      </c>
      <c r="P12" s="2" t="s">
        <v>119</v>
      </c>
      <c r="Q12" s="98" t="s">
        <v>119</v>
      </c>
      <c r="R12" s="105" t="s">
        <v>119</v>
      </c>
      <c r="S12" s="2" t="s">
        <v>119</v>
      </c>
      <c r="T12" s="2" t="s">
        <v>119</v>
      </c>
      <c r="U12" s="98" t="s">
        <v>119</v>
      </c>
      <c r="V12" s="105" t="s">
        <v>119</v>
      </c>
      <c r="W12" s="2" t="s">
        <v>119</v>
      </c>
      <c r="X12" s="2" t="s">
        <v>119</v>
      </c>
      <c r="Y12" s="98" t="s">
        <v>119</v>
      </c>
      <c r="Z12" s="105" t="s">
        <v>136</v>
      </c>
      <c r="AA12" s="106" t="s">
        <v>135</v>
      </c>
      <c r="AB12" s="106" t="s">
        <v>119</v>
      </c>
      <c r="AC12" s="106" t="s">
        <v>119</v>
      </c>
    </row>
    <row r="13" spans="1:29" x14ac:dyDescent="0.2">
      <c r="B13" s="16"/>
      <c r="C13" s="2" t="s">
        <v>10</v>
      </c>
      <c r="D13" s="2" t="s">
        <v>60</v>
      </c>
      <c r="E13" s="3" t="s">
        <v>117</v>
      </c>
      <c r="F13" s="3" t="s">
        <v>26</v>
      </c>
      <c r="G13" s="3" t="s">
        <v>28</v>
      </c>
      <c r="H13" s="209">
        <v>18</v>
      </c>
      <c r="I13" s="618">
        <f>ROUND(Tbl_EquipmentDefinitions[[#This Row],[New Unit Equipment Life (years)]]/3,0)</f>
        <v>6</v>
      </c>
      <c r="J13" s="209"/>
      <c r="K13" s="209"/>
      <c r="L13" s="3" t="s">
        <v>575</v>
      </c>
      <c r="M13" s="1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Baseline Only</v>
      </c>
      <c r="N13" s="105" t="s">
        <v>119</v>
      </c>
      <c r="O13" s="2" t="s">
        <v>119</v>
      </c>
      <c r="P13" s="2" t="s">
        <v>119</v>
      </c>
      <c r="Q13" s="98" t="s">
        <v>119</v>
      </c>
      <c r="R13" s="105" t="s">
        <v>119</v>
      </c>
      <c r="S13" s="2" t="s">
        <v>119</v>
      </c>
      <c r="T13" s="2" t="s">
        <v>119</v>
      </c>
      <c r="U13" s="98" t="s">
        <v>119</v>
      </c>
      <c r="V13" s="105" t="s">
        <v>136</v>
      </c>
      <c r="W13" s="2" t="s">
        <v>144</v>
      </c>
      <c r="X13" s="2" t="s">
        <v>119</v>
      </c>
      <c r="Y13" s="98" t="s">
        <v>119</v>
      </c>
      <c r="Z13" s="105" t="s">
        <v>119</v>
      </c>
      <c r="AA13" s="106" t="s">
        <v>119</v>
      </c>
      <c r="AB13" s="106" t="s">
        <v>119</v>
      </c>
      <c r="AC13" s="106" t="s">
        <v>119</v>
      </c>
    </row>
    <row r="14" spans="1:29" x14ac:dyDescent="0.2">
      <c r="B14" s="16"/>
      <c r="C14" s="2" t="s">
        <v>11</v>
      </c>
      <c r="D14" s="2" t="s">
        <v>853</v>
      </c>
      <c r="E14" s="3" t="s">
        <v>116</v>
      </c>
      <c r="F14" s="3" t="s">
        <v>29</v>
      </c>
      <c r="G14" s="3" t="s">
        <v>21</v>
      </c>
      <c r="H14" s="209">
        <v>17</v>
      </c>
      <c r="I14" s="618">
        <f>ROUND(Tbl_EquipmentDefinitions[[#This Row],[New Unit Equipment Life (years)]]/3,0)</f>
        <v>6</v>
      </c>
      <c r="J14" s="209"/>
      <c r="K14" s="209"/>
      <c r="L14" s="208" t="s">
        <v>586</v>
      </c>
      <c r="M14" s="99"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Both</v>
      </c>
      <c r="N14" s="361" t="str">
        <f>$N$16</f>
        <v>-</v>
      </c>
      <c r="O14" s="11" t="str">
        <f>$O$16</f>
        <v>14 SEER/11.7 EER/8.2 HSPF</v>
      </c>
      <c r="P14" s="11" t="str">
        <f>$P$16</f>
        <v>16 SEER/8.5 HSPF</v>
      </c>
      <c r="Q14" s="11" t="str">
        <f>$Q$16</f>
        <v>18 SEER/9.6 HSPF</v>
      </c>
      <c r="R14" s="105" t="s">
        <v>119</v>
      </c>
      <c r="S14" s="2" t="s">
        <v>119</v>
      </c>
      <c r="T14" s="2" t="s">
        <v>119</v>
      </c>
      <c r="U14" s="98" t="s">
        <v>119</v>
      </c>
      <c r="V14" s="105" t="s">
        <v>119</v>
      </c>
      <c r="W14" s="2" t="s">
        <v>119</v>
      </c>
      <c r="X14" s="2" t="s">
        <v>119</v>
      </c>
      <c r="Y14" s="98" t="s">
        <v>119</v>
      </c>
      <c r="Z14" s="103" t="str">
        <f>$Z$12</f>
        <v>78% AFUE (78.9%)</v>
      </c>
      <c r="AA14" s="104" t="str">
        <f>$AA$12</f>
        <v>83% AFUE</v>
      </c>
      <c r="AB14" s="104" t="str">
        <f>$AB$12</f>
        <v>-</v>
      </c>
      <c r="AC14" s="104" t="str">
        <f>$AC$12</f>
        <v>-</v>
      </c>
    </row>
    <row r="15" spans="1:29" x14ac:dyDescent="0.2">
      <c r="B15" s="16"/>
      <c r="C15" s="2" t="s">
        <v>12</v>
      </c>
      <c r="D15" s="2" t="s">
        <v>854</v>
      </c>
      <c r="E15" s="3" t="s">
        <v>116</v>
      </c>
      <c r="F15" s="3" t="s">
        <v>29</v>
      </c>
      <c r="G15" s="3" t="s">
        <v>22</v>
      </c>
      <c r="H15" s="209">
        <v>17</v>
      </c>
      <c r="I15" s="618">
        <f>ROUND(Tbl_EquipmentDefinitions[[#This Row],[New Unit Equipment Life (years)]]/3,0)</f>
        <v>6</v>
      </c>
      <c r="J15" s="209"/>
      <c r="K15" s="209"/>
      <c r="L15" s="208" t="s">
        <v>586</v>
      </c>
      <c r="M15" s="99"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Both</v>
      </c>
      <c r="N15" s="362" t="str">
        <f>$N$16</f>
        <v>-</v>
      </c>
      <c r="O15" s="11" t="str">
        <f>$O$16</f>
        <v>14 SEER/11.7 EER/8.2 HSPF</v>
      </c>
      <c r="P15" s="11" t="str">
        <f>$P$16</f>
        <v>16 SEER/8.5 HSPF</v>
      </c>
      <c r="Q15" s="11" t="str">
        <f>$Q$16</f>
        <v>18 SEER/9.6 HSPF</v>
      </c>
      <c r="R15" s="105" t="s">
        <v>119</v>
      </c>
      <c r="S15" s="2" t="s">
        <v>119</v>
      </c>
      <c r="T15" s="2" t="s">
        <v>119</v>
      </c>
      <c r="U15" s="98" t="s">
        <v>119</v>
      </c>
      <c r="V15" s="103" t="str">
        <f>$V$13</f>
        <v>78% AFUE (78.9%)</v>
      </c>
      <c r="W15" s="11" t="str">
        <f>$W$13</f>
        <v>85% AFUE</v>
      </c>
      <c r="X15" s="11" t="str">
        <f>$X$13</f>
        <v>-</v>
      </c>
      <c r="Y15" s="99" t="str">
        <f>$Y$13</f>
        <v>-</v>
      </c>
      <c r="Z15" s="105" t="s">
        <v>119</v>
      </c>
      <c r="AA15" s="106" t="s">
        <v>119</v>
      </c>
      <c r="AB15" s="106" t="s">
        <v>119</v>
      </c>
      <c r="AC15" s="106" t="s">
        <v>119</v>
      </c>
    </row>
    <row r="16" spans="1:29" x14ac:dyDescent="0.2">
      <c r="B16" s="16"/>
      <c r="C16" s="2" t="s">
        <v>13</v>
      </c>
      <c r="D16" s="2" t="s">
        <v>855</v>
      </c>
      <c r="E16" s="3" t="s">
        <v>117</v>
      </c>
      <c r="F16" s="3" t="s">
        <v>29</v>
      </c>
      <c r="G16" s="3" t="s">
        <v>25</v>
      </c>
      <c r="H16" s="209">
        <v>17</v>
      </c>
      <c r="I16" s="618">
        <f>ROUND(Tbl_EquipmentDefinitions[[#This Row],[New Unit Equipment Life (years)]]/3,0)</f>
        <v>6</v>
      </c>
      <c r="J16" s="209"/>
      <c r="K16" s="209"/>
      <c r="L16" s="208" t="s">
        <v>586</v>
      </c>
      <c r="M16" s="1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Both</v>
      </c>
      <c r="N16" s="105" t="s">
        <v>119</v>
      </c>
      <c r="O16" s="2" t="s">
        <v>1068</v>
      </c>
      <c r="P16" s="2" t="s">
        <v>1065</v>
      </c>
      <c r="Q16" s="98" t="s">
        <v>137</v>
      </c>
      <c r="R16" s="105" t="s">
        <v>119</v>
      </c>
      <c r="S16" s="2" t="s">
        <v>119</v>
      </c>
      <c r="T16" s="2" t="s">
        <v>119</v>
      </c>
      <c r="U16" s="98" t="s">
        <v>119</v>
      </c>
      <c r="V16" s="105" t="s">
        <v>119</v>
      </c>
      <c r="W16" s="2" t="s">
        <v>119</v>
      </c>
      <c r="X16" s="2" t="s">
        <v>119</v>
      </c>
      <c r="Y16" s="98" t="s">
        <v>119</v>
      </c>
      <c r="Z16" s="105" t="s">
        <v>119</v>
      </c>
      <c r="AA16" s="106" t="s">
        <v>119</v>
      </c>
      <c r="AB16" s="106" t="s">
        <v>119</v>
      </c>
      <c r="AC16" s="106" t="s">
        <v>119</v>
      </c>
    </row>
    <row r="17" spans="2:29" x14ac:dyDescent="0.2">
      <c r="B17" s="16"/>
      <c r="C17" s="2" t="s">
        <v>14</v>
      </c>
      <c r="D17" s="2" t="s">
        <v>30</v>
      </c>
      <c r="E17" s="3" t="s">
        <v>117</v>
      </c>
      <c r="F17" s="3" t="s">
        <v>26</v>
      </c>
      <c r="G17" s="3" t="s">
        <v>27</v>
      </c>
      <c r="H17" s="209">
        <v>20</v>
      </c>
      <c r="I17" s="209">
        <v>10</v>
      </c>
      <c r="J17" s="209"/>
      <c r="K17" s="209"/>
      <c r="L17" s="208" t="s">
        <v>578</v>
      </c>
      <c r="M17" s="1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Baseline Only</v>
      </c>
      <c r="N17" s="105" t="s">
        <v>119</v>
      </c>
      <c r="O17" s="2" t="s">
        <v>119</v>
      </c>
      <c r="P17" s="2" t="s">
        <v>119</v>
      </c>
      <c r="Q17" s="98" t="s">
        <v>119</v>
      </c>
      <c r="R17" s="105" t="s">
        <v>119</v>
      </c>
      <c r="S17" s="2" t="s">
        <v>119</v>
      </c>
      <c r="T17" s="2" t="s">
        <v>119</v>
      </c>
      <c r="U17" s="98" t="s">
        <v>119</v>
      </c>
      <c r="V17" s="105" t="s">
        <v>119</v>
      </c>
      <c r="W17" s="2" t="s">
        <v>119</v>
      </c>
      <c r="X17" s="2" t="s">
        <v>119</v>
      </c>
      <c r="Y17" s="98" t="s">
        <v>119</v>
      </c>
      <c r="Z17" s="105" t="s">
        <v>138</v>
      </c>
      <c r="AA17" s="207" t="s">
        <v>442</v>
      </c>
      <c r="AB17" s="106" t="s">
        <v>119</v>
      </c>
      <c r="AC17" s="106" t="s">
        <v>119</v>
      </c>
    </row>
    <row r="18" spans="2:29" x14ac:dyDescent="0.2">
      <c r="B18" s="16"/>
      <c r="C18" s="2" t="s">
        <v>15</v>
      </c>
      <c r="D18" s="2" t="s">
        <v>31</v>
      </c>
      <c r="E18" s="3" t="s">
        <v>117</v>
      </c>
      <c r="F18" s="3" t="s">
        <v>26</v>
      </c>
      <c r="G18" s="3" t="s">
        <v>28</v>
      </c>
      <c r="H18" s="209">
        <v>20</v>
      </c>
      <c r="I18" s="209">
        <v>10</v>
      </c>
      <c r="J18" s="209"/>
      <c r="K18" s="209"/>
      <c r="L18" s="208" t="s">
        <v>578</v>
      </c>
      <c r="M18" s="1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Baseline Only</v>
      </c>
      <c r="N18" s="105" t="s">
        <v>119</v>
      </c>
      <c r="O18" s="2" t="s">
        <v>119</v>
      </c>
      <c r="P18" s="2" t="s">
        <v>119</v>
      </c>
      <c r="Q18" s="98" t="s">
        <v>119</v>
      </c>
      <c r="R18" s="105" t="s">
        <v>119</v>
      </c>
      <c r="S18" s="2" t="s">
        <v>119</v>
      </c>
      <c r="T18" s="2" t="s">
        <v>119</v>
      </c>
      <c r="U18" s="98" t="s">
        <v>119</v>
      </c>
      <c r="V18" s="206" t="s">
        <v>138</v>
      </c>
      <c r="W18" s="205" t="s">
        <v>141</v>
      </c>
      <c r="X18" s="2" t="s">
        <v>119</v>
      </c>
      <c r="Y18" s="98" t="s">
        <v>119</v>
      </c>
      <c r="Z18" s="105" t="s">
        <v>119</v>
      </c>
      <c r="AA18" s="106" t="s">
        <v>119</v>
      </c>
      <c r="AB18" s="106" t="s">
        <v>119</v>
      </c>
      <c r="AC18" s="106" t="s">
        <v>119</v>
      </c>
    </row>
    <row r="19" spans="2:29" x14ac:dyDescent="0.2">
      <c r="B19" s="16"/>
      <c r="C19" s="2" t="s">
        <v>16</v>
      </c>
      <c r="D19" s="2" t="s">
        <v>32</v>
      </c>
      <c r="E19" s="3" t="s">
        <v>116</v>
      </c>
      <c r="F19" s="3" t="s">
        <v>29</v>
      </c>
      <c r="G19" s="3" t="s">
        <v>21</v>
      </c>
      <c r="H19" s="209">
        <v>18</v>
      </c>
      <c r="I19" s="209">
        <v>10</v>
      </c>
      <c r="J19" s="209"/>
      <c r="K19" s="209"/>
      <c r="L19" s="208" t="s">
        <v>577</v>
      </c>
      <c r="M19" s="1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Both</v>
      </c>
      <c r="N19" s="105" t="s">
        <v>119</v>
      </c>
      <c r="O19" s="2" t="s">
        <v>1069</v>
      </c>
      <c r="P19" s="2" t="s">
        <v>1066</v>
      </c>
      <c r="Q19" s="98" t="s">
        <v>1067</v>
      </c>
      <c r="R19" s="105" t="s">
        <v>119</v>
      </c>
      <c r="S19" s="2" t="s">
        <v>119</v>
      </c>
      <c r="T19" s="2" t="s">
        <v>119</v>
      </c>
      <c r="U19" s="98" t="s">
        <v>119</v>
      </c>
      <c r="V19" s="105" t="s">
        <v>119</v>
      </c>
      <c r="W19" s="2" t="s">
        <v>119</v>
      </c>
      <c r="X19" s="2" t="s">
        <v>119</v>
      </c>
      <c r="Y19" s="98" t="s">
        <v>119</v>
      </c>
      <c r="Z19" s="103" t="str">
        <f>$Z$17</f>
        <v>75% AFUE</v>
      </c>
      <c r="AA19" s="104" t="str">
        <f>$AA$17</f>
        <v>84% AFUE</v>
      </c>
      <c r="AB19" s="104" t="str">
        <f>$AB$17</f>
        <v>-</v>
      </c>
      <c r="AC19" s="104" t="str">
        <f>$AC$17</f>
        <v>-</v>
      </c>
    </row>
    <row r="20" spans="2:29" x14ac:dyDescent="0.2">
      <c r="B20" s="16"/>
      <c r="C20" s="2" t="s">
        <v>17</v>
      </c>
      <c r="D20" s="2" t="s">
        <v>33</v>
      </c>
      <c r="E20" s="3" t="s">
        <v>116</v>
      </c>
      <c r="F20" s="3" t="s">
        <v>29</v>
      </c>
      <c r="G20" s="3" t="s">
        <v>22</v>
      </c>
      <c r="H20" s="209">
        <v>18</v>
      </c>
      <c r="I20" s="209">
        <v>10</v>
      </c>
      <c r="J20" s="209"/>
      <c r="K20" s="209"/>
      <c r="L20" s="208" t="s">
        <v>577</v>
      </c>
      <c r="M20" s="1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Both</v>
      </c>
      <c r="N20" s="360" t="str">
        <f>N19</f>
        <v>-</v>
      </c>
      <c r="O20" s="12" t="str">
        <f>O19</f>
        <v>15 SEER/12 EER/8.2 HSPF</v>
      </c>
      <c r="P20" s="12" t="str">
        <f>P19</f>
        <v>18 SEER/10.0 HSPF</v>
      </c>
      <c r="Q20" s="12" t="str">
        <f>Q19</f>
        <v>20 SEER/12.0 HSPF</v>
      </c>
      <c r="R20" s="105" t="s">
        <v>119</v>
      </c>
      <c r="S20" s="2" t="s">
        <v>119</v>
      </c>
      <c r="T20" s="2" t="s">
        <v>119</v>
      </c>
      <c r="U20" s="98" t="s">
        <v>119</v>
      </c>
      <c r="V20" s="103" t="str">
        <f>$V$18</f>
        <v>75% AFUE</v>
      </c>
      <c r="W20" s="11" t="str">
        <f>$W$18</f>
        <v>82% AFUE (79.3% actual)</v>
      </c>
      <c r="X20" s="11" t="str">
        <f>$X$18</f>
        <v>-</v>
      </c>
      <c r="Y20" s="99" t="str">
        <f>$Y$18</f>
        <v>-</v>
      </c>
      <c r="Z20" s="105" t="s">
        <v>119</v>
      </c>
      <c r="AA20" s="106" t="s">
        <v>119</v>
      </c>
      <c r="AB20" s="106" t="s">
        <v>119</v>
      </c>
      <c r="AC20" s="106" t="s">
        <v>119</v>
      </c>
    </row>
    <row r="21" spans="2:29" x14ac:dyDescent="0.2">
      <c r="B21" s="16"/>
      <c r="C21" s="2" t="s">
        <v>18</v>
      </c>
      <c r="D21" s="2" t="s">
        <v>34</v>
      </c>
      <c r="E21" s="3" t="s">
        <v>117</v>
      </c>
      <c r="F21" s="3" t="s">
        <v>26</v>
      </c>
      <c r="G21" s="3" t="s">
        <v>25</v>
      </c>
      <c r="H21" s="209">
        <v>15</v>
      </c>
      <c r="I21" s="618">
        <f>ROUND(Tbl_EquipmentDefinitions[[#This Row],[New Unit Equipment Life (years)]]/3,0)</f>
        <v>5</v>
      </c>
      <c r="J21" s="209"/>
      <c r="K21" s="209"/>
      <c r="L21" s="3" t="s">
        <v>587</v>
      </c>
      <c r="M21" s="1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Baseline Only</v>
      </c>
      <c r="N21" s="105" t="s">
        <v>139</v>
      </c>
      <c r="O21" s="2" t="s">
        <v>139</v>
      </c>
      <c r="P21" s="2" t="s">
        <v>119</v>
      </c>
      <c r="Q21" s="98" t="s">
        <v>119</v>
      </c>
      <c r="R21" s="105" t="s">
        <v>119</v>
      </c>
      <c r="S21" s="2" t="s">
        <v>119</v>
      </c>
      <c r="T21" s="2" t="s">
        <v>119</v>
      </c>
      <c r="U21" s="98" t="s">
        <v>119</v>
      </c>
      <c r="V21" s="105" t="s">
        <v>119</v>
      </c>
      <c r="W21" s="2" t="s">
        <v>119</v>
      </c>
      <c r="X21" s="2" t="s">
        <v>119</v>
      </c>
      <c r="Y21" s="98" t="s">
        <v>119</v>
      </c>
      <c r="Z21" s="105" t="s">
        <v>119</v>
      </c>
      <c r="AA21" s="106" t="s">
        <v>119</v>
      </c>
      <c r="AB21" s="106" t="s">
        <v>119</v>
      </c>
      <c r="AC21" s="106" t="s">
        <v>119</v>
      </c>
    </row>
    <row r="22" spans="2:29" x14ac:dyDescent="0.2">
      <c r="B22" s="16"/>
      <c r="C22" s="2" t="s">
        <v>36</v>
      </c>
      <c r="D22" s="2" t="s">
        <v>35</v>
      </c>
      <c r="E22" s="3" t="s">
        <v>116</v>
      </c>
      <c r="F22" s="3" t="s">
        <v>29</v>
      </c>
      <c r="G22" s="3" t="s">
        <v>140</v>
      </c>
      <c r="H22" s="209">
        <v>18</v>
      </c>
      <c r="I22" s="618">
        <f>ROUND(Tbl_EquipmentDefinitions[[#This Row],[New Unit Equipment Life (years)]]/3,0)</f>
        <v>6</v>
      </c>
      <c r="J22" s="209"/>
      <c r="K22" s="209"/>
      <c r="L22" s="208" t="s">
        <v>577</v>
      </c>
      <c r="M22" s="1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Both</v>
      </c>
      <c r="N22" s="360" t="str">
        <f>"1 COP"&amp;IF(N19&lt;&gt;"-",", "&amp;N19,"")</f>
        <v>1 COP</v>
      </c>
      <c r="O22" s="12" t="str">
        <f t="shared" ref="O22:Q22" si="0">"1 COP"&amp;IF(O19&lt;&gt;"-",", "&amp;O19,"")</f>
        <v>1 COP, 15 SEER/12 EER/8.2 HSPF</v>
      </c>
      <c r="P22" s="12" t="str">
        <f t="shared" si="0"/>
        <v>1 COP, 18 SEER/10.0 HSPF</v>
      </c>
      <c r="Q22" s="12" t="str">
        <f t="shared" si="0"/>
        <v>1 COP, 20 SEER/12.0 HSPF</v>
      </c>
      <c r="R22" s="105" t="s">
        <v>119</v>
      </c>
      <c r="S22" s="2" t="s">
        <v>119</v>
      </c>
      <c r="T22" s="2" t="s">
        <v>119</v>
      </c>
      <c r="U22" s="98" t="s">
        <v>119</v>
      </c>
      <c r="V22" s="105" t="s">
        <v>119</v>
      </c>
      <c r="W22" s="2" t="s">
        <v>119</v>
      </c>
      <c r="X22" s="2" t="s">
        <v>119</v>
      </c>
      <c r="Y22" s="98" t="s">
        <v>119</v>
      </c>
      <c r="Z22" s="105" t="s">
        <v>119</v>
      </c>
      <c r="AA22" s="106" t="s">
        <v>119</v>
      </c>
      <c r="AB22" s="106" t="s">
        <v>119</v>
      </c>
      <c r="AC22" s="106" t="s">
        <v>119</v>
      </c>
    </row>
    <row r="23" spans="2:29" x14ac:dyDescent="0.2">
      <c r="B23" s="16"/>
      <c r="C23" s="2" t="s">
        <v>37</v>
      </c>
      <c r="D23" s="2" t="s">
        <v>51</v>
      </c>
      <c r="E23" s="3" t="s">
        <v>117</v>
      </c>
      <c r="F23" s="3" t="s">
        <v>52</v>
      </c>
      <c r="G23" s="3" t="s">
        <v>27</v>
      </c>
      <c r="H23" s="209">
        <v>20</v>
      </c>
      <c r="I23" s="618">
        <f>ROUND(Tbl_EquipmentDefinitions[[#This Row],[New Unit Equipment Life (years)]]/3,0)</f>
        <v>7</v>
      </c>
      <c r="J23" s="209"/>
      <c r="K23" s="209"/>
      <c r="L23" s="3" t="s">
        <v>583</v>
      </c>
      <c r="M23" s="1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Baseline Only</v>
      </c>
      <c r="N23" s="105" t="s">
        <v>119</v>
      </c>
      <c r="O23" s="2" t="s">
        <v>119</v>
      </c>
      <c r="P23" s="2" t="s">
        <v>119</v>
      </c>
      <c r="Q23" s="98" t="s">
        <v>119</v>
      </c>
      <c r="R23" s="105" t="s">
        <v>119</v>
      </c>
      <c r="S23" s="2" t="s">
        <v>119</v>
      </c>
      <c r="T23" s="2" t="s">
        <v>119</v>
      </c>
      <c r="U23" s="98" t="s">
        <v>119</v>
      </c>
      <c r="V23" s="105" t="s">
        <v>119</v>
      </c>
      <c r="W23" s="2" t="s">
        <v>119</v>
      </c>
      <c r="X23" s="2" t="s">
        <v>119</v>
      </c>
      <c r="Y23" s="98" t="s">
        <v>119</v>
      </c>
      <c r="Z23" s="103" t="str">
        <f>$Z$17</f>
        <v>75% AFUE</v>
      </c>
      <c r="AA23" s="104" t="str">
        <f>$AA$17</f>
        <v>84% AFUE</v>
      </c>
      <c r="AB23" s="106" t="s">
        <v>119</v>
      </c>
      <c r="AC23" s="106" t="s">
        <v>119</v>
      </c>
    </row>
    <row r="24" spans="2:29" x14ac:dyDescent="0.2">
      <c r="B24" s="16"/>
      <c r="C24" s="2" t="s">
        <v>38</v>
      </c>
      <c r="D24" s="2" t="s">
        <v>53</v>
      </c>
      <c r="E24" s="3" t="s">
        <v>117</v>
      </c>
      <c r="F24" s="3" t="s">
        <v>52</v>
      </c>
      <c r="G24" s="3" t="s">
        <v>25</v>
      </c>
      <c r="H24" s="209">
        <v>10</v>
      </c>
      <c r="I24" s="618">
        <f>ROUND(Tbl_EquipmentDefinitions[[#This Row],[New Unit Equipment Life (years)]]/3,0)</f>
        <v>3</v>
      </c>
      <c r="J24" s="209"/>
      <c r="K24" s="209"/>
      <c r="L24" s="3" t="s">
        <v>579</v>
      </c>
      <c r="M24" s="1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Low</v>
      </c>
      <c r="N24" s="105" t="s">
        <v>119</v>
      </c>
      <c r="O24" s="205" t="s">
        <v>407</v>
      </c>
      <c r="P24" s="205" t="s">
        <v>406</v>
      </c>
      <c r="Q24" s="98" t="s">
        <v>119</v>
      </c>
      <c r="R24" s="105" t="s">
        <v>119</v>
      </c>
      <c r="S24" s="2" t="s">
        <v>119</v>
      </c>
      <c r="T24" s="2" t="s">
        <v>119</v>
      </c>
      <c r="U24" s="98" t="s">
        <v>119</v>
      </c>
      <c r="V24" s="105" t="s">
        <v>119</v>
      </c>
      <c r="W24" s="2" t="s">
        <v>119</v>
      </c>
      <c r="X24" s="2" t="s">
        <v>119</v>
      </c>
      <c r="Y24" s="98" t="s">
        <v>119</v>
      </c>
      <c r="Z24" s="105" t="s">
        <v>119</v>
      </c>
      <c r="AA24" s="106" t="s">
        <v>119</v>
      </c>
      <c r="AB24" s="106" t="s">
        <v>119</v>
      </c>
      <c r="AC24" s="106" t="s">
        <v>119</v>
      </c>
    </row>
    <row r="25" spans="2:29" x14ac:dyDescent="0.2">
      <c r="B25" s="16"/>
      <c r="C25" s="2" t="s">
        <v>39</v>
      </c>
      <c r="D25" s="2" t="s">
        <v>54</v>
      </c>
      <c r="E25" s="3" t="s">
        <v>117</v>
      </c>
      <c r="F25" s="3" t="s">
        <v>26</v>
      </c>
      <c r="G25" s="3" t="s">
        <v>55</v>
      </c>
      <c r="H25" s="209">
        <v>20</v>
      </c>
      <c r="I25" s="209">
        <v>10</v>
      </c>
      <c r="J25" s="209"/>
      <c r="K25" s="209"/>
      <c r="L25" s="3" t="s">
        <v>580</v>
      </c>
      <c r="M25" s="1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Both</v>
      </c>
      <c r="N25" s="105" t="s">
        <v>119</v>
      </c>
      <c r="O25" s="2" t="s">
        <v>119</v>
      </c>
      <c r="P25" s="2" t="s">
        <v>119</v>
      </c>
      <c r="Q25" s="98" t="s">
        <v>119</v>
      </c>
      <c r="R25" s="105" t="s">
        <v>119</v>
      </c>
      <c r="S25" s="2" t="s">
        <v>141</v>
      </c>
      <c r="T25" s="2" t="s">
        <v>142</v>
      </c>
      <c r="U25" s="98" t="s">
        <v>143</v>
      </c>
      <c r="V25" s="105" t="s">
        <v>119</v>
      </c>
      <c r="W25" s="2" t="s">
        <v>119</v>
      </c>
      <c r="X25" s="2" t="s">
        <v>119</v>
      </c>
      <c r="Y25" s="98" t="s">
        <v>119</v>
      </c>
      <c r="Z25" s="105" t="s">
        <v>119</v>
      </c>
      <c r="AA25" s="106" t="s">
        <v>119</v>
      </c>
      <c r="AB25" s="106" t="s">
        <v>119</v>
      </c>
      <c r="AC25" s="106" t="s">
        <v>119</v>
      </c>
    </row>
    <row r="26" spans="2:29" x14ac:dyDescent="0.2">
      <c r="B26" s="16"/>
      <c r="C26" s="2" t="s">
        <v>40</v>
      </c>
      <c r="D26" s="2" t="s">
        <v>56</v>
      </c>
      <c r="E26" s="3" t="s">
        <v>116</v>
      </c>
      <c r="F26" s="3" t="s">
        <v>57</v>
      </c>
      <c r="G26" s="3" t="s">
        <v>27</v>
      </c>
      <c r="H26" s="209">
        <v>20</v>
      </c>
      <c r="I26" s="209">
        <v>10</v>
      </c>
      <c r="J26" s="209"/>
      <c r="K26" s="209"/>
      <c r="L26" s="3" t="s">
        <v>582</v>
      </c>
      <c r="M26" s="1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Baseline Only</v>
      </c>
      <c r="N26" s="105" t="s">
        <v>119</v>
      </c>
      <c r="O26" s="2" t="s">
        <v>119</v>
      </c>
      <c r="P26" s="2" t="s">
        <v>119</v>
      </c>
      <c r="Q26" s="98" t="s">
        <v>119</v>
      </c>
      <c r="R26" s="105" t="s">
        <v>119</v>
      </c>
      <c r="S26" s="2" t="s">
        <v>119</v>
      </c>
      <c r="T26" s="2" t="s">
        <v>119</v>
      </c>
      <c r="U26" s="98" t="s">
        <v>119</v>
      </c>
      <c r="V26" s="105" t="s">
        <v>119</v>
      </c>
      <c r="W26" s="2" t="s">
        <v>119</v>
      </c>
      <c r="X26" s="2" t="s">
        <v>119</v>
      </c>
      <c r="Y26" s="98" t="s">
        <v>119</v>
      </c>
      <c r="Z26" s="105" t="s">
        <v>589</v>
      </c>
      <c r="AA26" s="106" t="s">
        <v>590</v>
      </c>
      <c r="AB26" s="106" t="s">
        <v>119</v>
      </c>
      <c r="AC26" s="106" t="s">
        <v>119</v>
      </c>
    </row>
    <row r="27" spans="2:29" x14ac:dyDescent="0.2">
      <c r="B27" s="16"/>
      <c r="C27" s="2" t="s">
        <v>41</v>
      </c>
      <c r="D27" s="2" t="s">
        <v>58</v>
      </c>
      <c r="E27" s="3" t="s">
        <v>116</v>
      </c>
      <c r="F27" s="3" t="s">
        <v>57</v>
      </c>
      <c r="G27" s="3" t="s">
        <v>28</v>
      </c>
      <c r="H27" s="209">
        <v>20</v>
      </c>
      <c r="I27" s="209">
        <v>10</v>
      </c>
      <c r="J27" s="209"/>
      <c r="K27" s="209"/>
      <c r="L27" s="3" t="s">
        <v>582</v>
      </c>
      <c r="M27" s="1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Baseline Only</v>
      </c>
      <c r="N27" s="105" t="s">
        <v>119</v>
      </c>
      <c r="O27" s="2" t="s">
        <v>119</v>
      </c>
      <c r="P27" s="2" t="s">
        <v>119</v>
      </c>
      <c r="Q27" s="98" t="s">
        <v>119</v>
      </c>
      <c r="R27" s="105" t="s">
        <v>119</v>
      </c>
      <c r="S27" s="2" t="s">
        <v>119</v>
      </c>
      <c r="T27" s="2" t="s">
        <v>119</v>
      </c>
      <c r="U27" s="98" t="s">
        <v>119</v>
      </c>
      <c r="V27" s="105" t="s">
        <v>589</v>
      </c>
      <c r="W27" s="2" t="s">
        <v>591</v>
      </c>
      <c r="X27" s="2" t="s">
        <v>119</v>
      </c>
      <c r="Y27" s="98" t="s">
        <v>119</v>
      </c>
      <c r="Z27" s="105" t="s">
        <v>119</v>
      </c>
      <c r="AA27" s="106" t="s">
        <v>119</v>
      </c>
      <c r="AB27" s="106" t="s">
        <v>119</v>
      </c>
      <c r="AC27" s="106" t="s">
        <v>119</v>
      </c>
    </row>
    <row r="28" spans="2:29" x14ac:dyDescent="0.2">
      <c r="B28" s="16"/>
      <c r="C28" s="2" t="s">
        <v>42</v>
      </c>
      <c r="D28" s="2" t="s">
        <v>59</v>
      </c>
      <c r="E28" s="3" t="s">
        <v>116</v>
      </c>
      <c r="F28" s="3" t="s">
        <v>57</v>
      </c>
      <c r="G28" s="3" t="s">
        <v>55</v>
      </c>
      <c r="H28" s="209">
        <v>20</v>
      </c>
      <c r="I28" s="209">
        <v>10</v>
      </c>
      <c r="J28" s="209"/>
      <c r="K28" s="209"/>
      <c r="L28" s="3" t="s">
        <v>580</v>
      </c>
      <c r="M28" s="1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Both</v>
      </c>
      <c r="N28" s="105" t="s">
        <v>119</v>
      </c>
      <c r="O28" s="2" t="s">
        <v>119</v>
      </c>
      <c r="P28" s="2" t="s">
        <v>119</v>
      </c>
      <c r="Q28" s="98" t="s">
        <v>119</v>
      </c>
      <c r="R28" s="105" t="s">
        <v>119</v>
      </c>
      <c r="S28" s="2" t="s">
        <v>141</v>
      </c>
      <c r="T28" s="2" t="s">
        <v>142</v>
      </c>
      <c r="U28" s="98" t="s">
        <v>143</v>
      </c>
      <c r="V28" s="105" t="s">
        <v>119</v>
      </c>
      <c r="W28" s="2" t="s">
        <v>119</v>
      </c>
      <c r="X28" s="2" t="s">
        <v>119</v>
      </c>
      <c r="Y28" s="98" t="s">
        <v>119</v>
      </c>
      <c r="Z28" s="105" t="s">
        <v>119</v>
      </c>
      <c r="AA28" s="106" t="s">
        <v>119</v>
      </c>
      <c r="AB28" s="106" t="s">
        <v>119</v>
      </c>
      <c r="AC28" s="106" t="s">
        <v>119</v>
      </c>
    </row>
    <row r="29" spans="2:29" x14ac:dyDescent="0.2">
      <c r="B29" s="16"/>
      <c r="C29" s="2" t="s">
        <v>43</v>
      </c>
      <c r="D29" s="2" t="s">
        <v>61</v>
      </c>
      <c r="E29" s="3" t="s">
        <v>117</v>
      </c>
      <c r="F29" s="3" t="s">
        <v>26</v>
      </c>
      <c r="G29" s="3" t="s">
        <v>55</v>
      </c>
      <c r="H29" s="209">
        <v>17</v>
      </c>
      <c r="I29" s="618">
        <f>ROUND(Tbl_EquipmentDefinitions[[#This Row],[New Unit Equipment Life (years)]]/3,0)</f>
        <v>6</v>
      </c>
      <c r="J29" s="209"/>
      <c r="K29" s="209"/>
      <c r="L29" s="3" t="s">
        <v>588</v>
      </c>
      <c r="M29" s="1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Both</v>
      </c>
      <c r="N29" s="105" t="s">
        <v>119</v>
      </c>
      <c r="O29" s="2" t="s">
        <v>119</v>
      </c>
      <c r="P29" s="2" t="s">
        <v>119</v>
      </c>
      <c r="Q29" s="98" t="s">
        <v>119</v>
      </c>
      <c r="R29" s="105" t="s">
        <v>119</v>
      </c>
      <c r="S29" s="2" t="s">
        <v>144</v>
      </c>
      <c r="T29" s="2" t="s">
        <v>145</v>
      </c>
      <c r="U29" s="98" t="s">
        <v>146</v>
      </c>
      <c r="V29" s="105" t="s">
        <v>119</v>
      </c>
      <c r="W29" s="2" t="s">
        <v>119</v>
      </c>
      <c r="X29" s="2" t="s">
        <v>119</v>
      </c>
      <c r="Y29" s="98" t="s">
        <v>119</v>
      </c>
      <c r="Z29" s="105" t="s">
        <v>119</v>
      </c>
      <c r="AA29" s="106" t="s">
        <v>119</v>
      </c>
      <c r="AB29" s="106" t="s">
        <v>119</v>
      </c>
      <c r="AC29" s="106" t="s">
        <v>119</v>
      </c>
    </row>
    <row r="30" spans="2:29" x14ac:dyDescent="0.2">
      <c r="B30" s="16" t="s">
        <v>1519</v>
      </c>
      <c r="C30" s="2" t="s">
        <v>44</v>
      </c>
      <c r="D30" s="2" t="s">
        <v>62</v>
      </c>
      <c r="E30" s="3" t="s">
        <v>116</v>
      </c>
      <c r="F30" s="3" t="s">
        <v>57</v>
      </c>
      <c r="G30" s="3" t="s">
        <v>27</v>
      </c>
      <c r="H30" s="209">
        <v>20</v>
      </c>
      <c r="I30" s="209">
        <v>10</v>
      </c>
      <c r="J30" s="209"/>
      <c r="K30" s="209"/>
      <c r="L30" s="208" t="s">
        <v>576</v>
      </c>
      <c r="M30" s="1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Baseline Only</v>
      </c>
      <c r="N30" s="105" t="s">
        <v>119</v>
      </c>
      <c r="O30" s="2" t="s">
        <v>119</v>
      </c>
      <c r="P30" s="2" t="s">
        <v>119</v>
      </c>
      <c r="Q30" s="98" t="s">
        <v>119</v>
      </c>
      <c r="R30" s="105" t="s">
        <v>119</v>
      </c>
      <c r="S30" s="2" t="s">
        <v>119</v>
      </c>
      <c r="T30" s="2" t="s">
        <v>119</v>
      </c>
      <c r="U30" s="98" t="s">
        <v>119</v>
      </c>
      <c r="V30" s="105" t="s">
        <v>119</v>
      </c>
      <c r="W30" s="2" t="s">
        <v>119</v>
      </c>
      <c r="X30" s="2" t="s">
        <v>119</v>
      </c>
      <c r="Y30" s="98" t="s">
        <v>119</v>
      </c>
      <c r="Z30" s="103" t="str">
        <f>Z17</f>
        <v>75% AFUE</v>
      </c>
      <c r="AA30" s="104" t="str">
        <f>AA17</f>
        <v>84% AFUE</v>
      </c>
      <c r="AB30" s="104" t="str">
        <f>$AB$26</f>
        <v>-</v>
      </c>
      <c r="AC30" s="104" t="str">
        <f>$AC$26</f>
        <v>-</v>
      </c>
    </row>
    <row r="31" spans="2:29" x14ac:dyDescent="0.2">
      <c r="B31" s="16"/>
      <c r="C31" s="2" t="s">
        <v>45</v>
      </c>
      <c r="D31" s="2" t="s">
        <v>63</v>
      </c>
      <c r="E31" s="3" t="s">
        <v>117</v>
      </c>
      <c r="F31" s="3" t="s">
        <v>57</v>
      </c>
      <c r="G31" s="3" t="s">
        <v>55</v>
      </c>
      <c r="H31" s="209">
        <v>19</v>
      </c>
      <c r="I31" s="618">
        <f>ROUND(Tbl_EquipmentDefinitions[[#This Row],[New Unit Equipment Life (years)]]/3,0)</f>
        <v>6</v>
      </c>
      <c r="J31" s="209"/>
      <c r="K31" s="209"/>
      <c r="L31" s="3" t="s">
        <v>581</v>
      </c>
      <c r="M31" s="1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Both</v>
      </c>
      <c r="N31" s="105" t="s">
        <v>119</v>
      </c>
      <c r="O31" s="2" t="s">
        <v>119</v>
      </c>
      <c r="P31" s="2" t="s">
        <v>119</v>
      </c>
      <c r="Q31" s="98" t="s">
        <v>119</v>
      </c>
      <c r="R31" s="105" t="s">
        <v>119</v>
      </c>
      <c r="S31" s="205" t="s">
        <v>147</v>
      </c>
      <c r="T31" s="2" t="s">
        <v>147</v>
      </c>
      <c r="U31" s="98" t="s">
        <v>148</v>
      </c>
      <c r="V31" s="105" t="s">
        <v>119</v>
      </c>
      <c r="W31" s="2" t="s">
        <v>119</v>
      </c>
      <c r="X31" s="2" t="s">
        <v>119</v>
      </c>
      <c r="Y31" s="98" t="s">
        <v>119</v>
      </c>
      <c r="Z31" s="105" t="s">
        <v>119</v>
      </c>
      <c r="AA31" s="106" t="s">
        <v>119</v>
      </c>
      <c r="AB31" s="106" t="s">
        <v>119</v>
      </c>
      <c r="AC31" s="106" t="s">
        <v>119</v>
      </c>
    </row>
    <row r="32" spans="2:29" x14ac:dyDescent="0.2">
      <c r="B32" s="16"/>
      <c r="C32" s="2" t="s">
        <v>46</v>
      </c>
      <c r="D32" s="2" t="s">
        <v>64</v>
      </c>
      <c r="E32" s="3" t="s">
        <v>117</v>
      </c>
      <c r="F32" s="3" t="s">
        <v>57</v>
      </c>
      <c r="G32" s="3" t="s">
        <v>28</v>
      </c>
      <c r="H32" s="209">
        <v>20</v>
      </c>
      <c r="I32" s="618">
        <f>ROUND(Tbl_EquipmentDefinitions[[#This Row],[New Unit Equipment Life (years)]]/3,0)</f>
        <v>7</v>
      </c>
      <c r="J32" s="209"/>
      <c r="K32" s="209"/>
      <c r="L32" s="3" t="s">
        <v>581</v>
      </c>
      <c r="M32" s="1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Baseline Only</v>
      </c>
      <c r="N32" s="105" t="s">
        <v>119</v>
      </c>
      <c r="O32" s="2" t="s">
        <v>119</v>
      </c>
      <c r="P32" s="2" t="s">
        <v>119</v>
      </c>
      <c r="Q32" s="98" t="s">
        <v>119</v>
      </c>
      <c r="R32" s="105" t="s">
        <v>119</v>
      </c>
      <c r="S32" s="2" t="s">
        <v>119</v>
      </c>
      <c r="T32" s="2" t="s">
        <v>119</v>
      </c>
      <c r="U32" s="98" t="s">
        <v>119</v>
      </c>
      <c r="V32" s="105" t="s">
        <v>149</v>
      </c>
      <c r="W32" s="2" t="s">
        <v>147</v>
      </c>
      <c r="X32" s="2" t="s">
        <v>119</v>
      </c>
      <c r="Y32" s="98" t="s">
        <v>119</v>
      </c>
      <c r="Z32" s="105" t="s">
        <v>119</v>
      </c>
      <c r="AA32" s="106" t="s">
        <v>119</v>
      </c>
      <c r="AB32" s="106" t="s">
        <v>119</v>
      </c>
      <c r="AC32" s="106" t="s">
        <v>119</v>
      </c>
    </row>
    <row r="33" spans="2:29" x14ac:dyDescent="0.2">
      <c r="B33" s="16"/>
      <c r="C33" s="2" t="s">
        <v>47</v>
      </c>
      <c r="D33" s="2" t="s">
        <v>65</v>
      </c>
      <c r="E33" s="3" t="s">
        <v>116</v>
      </c>
      <c r="F33" s="3" t="s">
        <v>57</v>
      </c>
      <c r="G33" s="3" t="s">
        <v>27</v>
      </c>
      <c r="H33" s="209">
        <v>20</v>
      </c>
      <c r="I33" s="209">
        <v>10</v>
      </c>
      <c r="J33" s="209"/>
      <c r="K33" s="209"/>
      <c r="L33" s="208" t="s">
        <v>578</v>
      </c>
      <c r="M33" s="1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Baseline Only</v>
      </c>
      <c r="N33" s="105" t="s">
        <v>119</v>
      </c>
      <c r="O33" s="2" t="s">
        <v>119</v>
      </c>
      <c r="P33" s="2" t="s">
        <v>119</v>
      </c>
      <c r="Q33" s="98" t="s">
        <v>119</v>
      </c>
      <c r="R33" s="105" t="s">
        <v>119</v>
      </c>
      <c r="S33" s="2" t="s">
        <v>119</v>
      </c>
      <c r="T33" s="2" t="s">
        <v>119</v>
      </c>
      <c r="U33" s="98" t="s">
        <v>119</v>
      </c>
      <c r="V33" s="105" t="s">
        <v>119</v>
      </c>
      <c r="W33" s="2" t="s">
        <v>119</v>
      </c>
      <c r="X33" s="2" t="s">
        <v>119</v>
      </c>
      <c r="Y33" s="98" t="s">
        <v>119</v>
      </c>
      <c r="Z33" s="206" t="s">
        <v>443</v>
      </c>
      <c r="AA33" s="207" t="s">
        <v>444</v>
      </c>
      <c r="AB33" s="106" t="s">
        <v>119</v>
      </c>
      <c r="AC33" s="106" t="s">
        <v>119</v>
      </c>
    </row>
    <row r="34" spans="2:29" x14ac:dyDescent="0.2">
      <c r="B34" s="16"/>
      <c r="C34" s="2" t="s">
        <v>48</v>
      </c>
      <c r="D34" s="2" t="s">
        <v>66</v>
      </c>
      <c r="E34" s="3" t="s">
        <v>116</v>
      </c>
      <c r="F34" s="3" t="s">
        <v>57</v>
      </c>
      <c r="G34" s="3" t="s">
        <v>28</v>
      </c>
      <c r="H34" s="209">
        <v>20</v>
      </c>
      <c r="I34" s="209">
        <v>10</v>
      </c>
      <c r="J34" s="209"/>
      <c r="K34" s="209"/>
      <c r="L34" s="208" t="s">
        <v>578</v>
      </c>
      <c r="M34" s="1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Baseline Only</v>
      </c>
      <c r="N34" s="105" t="s">
        <v>119</v>
      </c>
      <c r="O34" s="2" t="s">
        <v>119</v>
      </c>
      <c r="P34" s="2" t="s">
        <v>119</v>
      </c>
      <c r="Q34" s="98" t="s">
        <v>119</v>
      </c>
      <c r="R34" s="105" t="s">
        <v>119</v>
      </c>
      <c r="S34" s="2" t="s">
        <v>119</v>
      </c>
      <c r="T34" s="2" t="s">
        <v>119</v>
      </c>
      <c r="U34" s="98" t="s">
        <v>119</v>
      </c>
      <c r="V34" s="206" t="s">
        <v>443</v>
      </c>
      <c r="W34" s="207" t="s">
        <v>462</v>
      </c>
      <c r="X34" s="2" t="s">
        <v>119</v>
      </c>
      <c r="Y34" s="98" t="s">
        <v>119</v>
      </c>
      <c r="Z34" s="206" t="s">
        <v>119</v>
      </c>
      <c r="AA34" s="207" t="s">
        <v>119</v>
      </c>
      <c r="AB34" s="106" t="s">
        <v>119</v>
      </c>
      <c r="AC34" s="106" t="s">
        <v>119</v>
      </c>
    </row>
    <row r="35" spans="2:29" x14ac:dyDescent="0.2">
      <c r="B35" s="16"/>
      <c r="C35" s="2" t="s">
        <v>49</v>
      </c>
      <c r="D35" s="2" t="s">
        <v>67</v>
      </c>
      <c r="E35" s="3" t="s">
        <v>117</v>
      </c>
      <c r="F35" s="3" t="s">
        <v>52</v>
      </c>
      <c r="G35" s="3" t="s">
        <v>27</v>
      </c>
      <c r="H35" s="209">
        <v>13</v>
      </c>
      <c r="I35" s="618">
        <f>ROUND(Tbl_EquipmentDefinitions[[#This Row],[New Unit Equipment Life (years)]]/3,0)</f>
        <v>4</v>
      </c>
      <c r="J35" s="209"/>
      <c r="K35" s="209"/>
      <c r="L35" s="3" t="s">
        <v>583</v>
      </c>
      <c r="M35" s="1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Baseline Only</v>
      </c>
      <c r="N35" s="105" t="s">
        <v>119</v>
      </c>
      <c r="O35" s="2" t="s">
        <v>119</v>
      </c>
      <c r="P35" s="2" t="s">
        <v>119</v>
      </c>
      <c r="Q35" s="98" t="s">
        <v>119</v>
      </c>
      <c r="R35" s="105" t="s">
        <v>119</v>
      </c>
      <c r="S35" s="2" t="s">
        <v>119</v>
      </c>
      <c r="T35" s="2" t="s">
        <v>119</v>
      </c>
      <c r="U35" s="98" t="s">
        <v>119</v>
      </c>
      <c r="V35" s="206" t="s">
        <v>119</v>
      </c>
      <c r="W35" s="205" t="s">
        <v>119</v>
      </c>
      <c r="X35" s="2" t="s">
        <v>119</v>
      </c>
      <c r="Y35" s="98" t="s">
        <v>119</v>
      </c>
      <c r="Z35" s="206" t="s">
        <v>150</v>
      </c>
      <c r="AA35" s="205" t="s">
        <v>383</v>
      </c>
      <c r="AB35" s="106" t="s">
        <v>119</v>
      </c>
      <c r="AC35" s="106" t="s">
        <v>119</v>
      </c>
    </row>
    <row r="36" spans="2:29" x14ac:dyDescent="0.2">
      <c r="B36" s="16"/>
      <c r="C36" s="2" t="s">
        <v>50</v>
      </c>
      <c r="D36" s="2" t="s">
        <v>68</v>
      </c>
      <c r="E36" s="3" t="s">
        <v>117</v>
      </c>
      <c r="F36" s="3" t="s">
        <v>52</v>
      </c>
      <c r="G36" s="3" t="s">
        <v>28</v>
      </c>
      <c r="H36" s="209">
        <v>13</v>
      </c>
      <c r="I36" s="618">
        <f>ROUND(Tbl_EquipmentDefinitions[[#This Row],[New Unit Equipment Life (years)]]/3,0)</f>
        <v>4</v>
      </c>
      <c r="J36" s="209"/>
      <c r="K36" s="209"/>
      <c r="L36" s="3" t="s">
        <v>583</v>
      </c>
      <c r="M36" s="1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Baseline Only</v>
      </c>
      <c r="N36" s="105" t="s">
        <v>119</v>
      </c>
      <c r="O36" s="2" t="s">
        <v>119</v>
      </c>
      <c r="P36" s="2" t="s">
        <v>119</v>
      </c>
      <c r="Q36" s="98" t="s">
        <v>119</v>
      </c>
      <c r="R36" s="105" t="s">
        <v>119</v>
      </c>
      <c r="S36" s="2" t="s">
        <v>119</v>
      </c>
      <c r="T36" s="2" t="s">
        <v>119</v>
      </c>
      <c r="U36" s="98" t="s">
        <v>119</v>
      </c>
      <c r="V36" s="206" t="s">
        <v>150</v>
      </c>
      <c r="W36" s="205" t="s">
        <v>374</v>
      </c>
      <c r="X36" s="2" t="s">
        <v>119</v>
      </c>
      <c r="Y36" s="98" t="s">
        <v>119</v>
      </c>
      <c r="Z36" s="105" t="s">
        <v>119</v>
      </c>
      <c r="AA36" s="106" t="s">
        <v>119</v>
      </c>
      <c r="AB36" s="106" t="s">
        <v>119</v>
      </c>
      <c r="AC36" s="106" t="s">
        <v>119</v>
      </c>
    </row>
    <row r="37" spans="2:29" x14ac:dyDescent="0.2">
      <c r="B37" s="16"/>
      <c r="C37" s="2" t="s">
        <v>69</v>
      </c>
      <c r="D37" s="2" t="s">
        <v>72</v>
      </c>
      <c r="E37" s="3" t="s">
        <v>117</v>
      </c>
      <c r="F37" s="3" t="s">
        <v>52</v>
      </c>
      <c r="G37" s="3" t="s">
        <v>55</v>
      </c>
      <c r="H37" s="209">
        <v>15</v>
      </c>
      <c r="I37" s="618">
        <f>ROUND(Tbl_EquipmentDefinitions[[#This Row],[New Unit Equipment Life (years)]]/3,0)</f>
        <v>5</v>
      </c>
      <c r="J37" s="209"/>
      <c r="K37" s="209"/>
      <c r="L37" s="3" t="s">
        <v>584</v>
      </c>
      <c r="M37" s="1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Both</v>
      </c>
      <c r="N37" s="105" t="s">
        <v>119</v>
      </c>
      <c r="O37" s="2" t="s">
        <v>119</v>
      </c>
      <c r="P37" s="2" t="s">
        <v>119</v>
      </c>
      <c r="Q37" s="98" t="s">
        <v>119</v>
      </c>
      <c r="R37" s="105" t="s">
        <v>119</v>
      </c>
      <c r="S37" s="2" t="s">
        <v>1137</v>
      </c>
      <c r="T37" s="2" t="s">
        <v>1138</v>
      </c>
      <c r="U37" s="98" t="s">
        <v>1139</v>
      </c>
      <c r="V37" s="206" t="s">
        <v>119</v>
      </c>
      <c r="W37" s="205" t="s">
        <v>119</v>
      </c>
      <c r="X37" s="2" t="s">
        <v>119</v>
      </c>
      <c r="Y37" s="98" t="s">
        <v>119</v>
      </c>
      <c r="Z37" s="105" t="s">
        <v>119</v>
      </c>
      <c r="AA37" s="106" t="s">
        <v>119</v>
      </c>
      <c r="AB37" s="106" t="s">
        <v>119</v>
      </c>
      <c r="AC37" s="106" t="s">
        <v>119</v>
      </c>
    </row>
    <row r="38" spans="2:29" x14ac:dyDescent="0.2">
      <c r="B38" s="16"/>
      <c r="C38" s="2" t="s">
        <v>70</v>
      </c>
      <c r="D38" s="2" t="s">
        <v>73</v>
      </c>
      <c r="E38" s="3" t="s">
        <v>117</v>
      </c>
      <c r="F38" s="3" t="s">
        <v>52</v>
      </c>
      <c r="G38" s="3" t="s">
        <v>28</v>
      </c>
      <c r="H38" s="209">
        <v>20</v>
      </c>
      <c r="I38" s="618">
        <f>ROUND(Tbl_EquipmentDefinitions[[#This Row],[New Unit Equipment Life (years)]]/3,0)</f>
        <v>7</v>
      </c>
      <c r="J38" s="209"/>
      <c r="K38" s="209"/>
      <c r="L38" s="3" t="s">
        <v>583</v>
      </c>
      <c r="M38" s="1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Baseline Only</v>
      </c>
      <c r="N38" s="105" t="s">
        <v>119</v>
      </c>
      <c r="O38" s="2" t="s">
        <v>119</v>
      </c>
      <c r="P38" s="2" t="s">
        <v>119</v>
      </c>
      <c r="Q38" s="98" t="s">
        <v>119</v>
      </c>
      <c r="R38" s="105" t="s">
        <v>119</v>
      </c>
      <c r="S38" s="2" t="s">
        <v>119</v>
      </c>
      <c r="T38" s="2" t="s">
        <v>119</v>
      </c>
      <c r="U38" s="98" t="s">
        <v>119</v>
      </c>
      <c r="V38" s="206" t="s">
        <v>333</v>
      </c>
      <c r="W38" s="205" t="s">
        <v>151</v>
      </c>
      <c r="X38" s="2" t="s">
        <v>119</v>
      </c>
      <c r="Y38" s="98" t="s">
        <v>119</v>
      </c>
      <c r="Z38" s="105" t="s">
        <v>119</v>
      </c>
      <c r="AA38" s="106" t="s">
        <v>119</v>
      </c>
      <c r="AB38" s="106" t="s">
        <v>119</v>
      </c>
      <c r="AC38" s="106" t="s">
        <v>119</v>
      </c>
    </row>
    <row r="39" spans="2:29" x14ac:dyDescent="0.2">
      <c r="B39" s="16"/>
      <c r="C39" s="2" t="s">
        <v>71</v>
      </c>
      <c r="D39" s="2" t="s">
        <v>74</v>
      </c>
      <c r="E39" s="3" t="s">
        <v>117</v>
      </c>
      <c r="F39" s="3" t="s">
        <v>52</v>
      </c>
      <c r="G39" s="3" t="s">
        <v>55</v>
      </c>
      <c r="H39" s="209">
        <v>19</v>
      </c>
      <c r="I39" s="618">
        <f>ROUND(Tbl_EquipmentDefinitions[[#This Row],[New Unit Equipment Life (years)]]/3,0)</f>
        <v>6</v>
      </c>
      <c r="J39" s="209"/>
      <c r="K39" s="209"/>
      <c r="L39" s="208" t="s">
        <v>585</v>
      </c>
      <c r="M39" s="1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Low</v>
      </c>
      <c r="N39" s="105" t="s">
        <v>119</v>
      </c>
      <c r="O39" s="2" t="s">
        <v>119</v>
      </c>
      <c r="P39" s="2" t="s">
        <v>119</v>
      </c>
      <c r="Q39" s="98" t="s">
        <v>119</v>
      </c>
      <c r="R39" s="105" t="s">
        <v>119</v>
      </c>
      <c r="S39" s="205" t="s">
        <v>151</v>
      </c>
      <c r="T39" s="2" t="s">
        <v>152</v>
      </c>
      <c r="U39" s="98" t="s">
        <v>119</v>
      </c>
      <c r="V39" s="105" t="s">
        <v>119</v>
      </c>
      <c r="W39" s="2" t="s">
        <v>119</v>
      </c>
      <c r="X39" s="2" t="s">
        <v>119</v>
      </c>
      <c r="Y39" s="98" t="s">
        <v>119</v>
      </c>
      <c r="Z39" s="105" t="s">
        <v>119</v>
      </c>
      <c r="AA39" s="106" t="s">
        <v>119</v>
      </c>
      <c r="AB39" s="106" t="s">
        <v>119</v>
      </c>
      <c r="AC39" s="106" t="s">
        <v>119</v>
      </c>
    </row>
    <row r="40" spans="2:29" x14ac:dyDescent="0.2">
      <c r="B40" s="16"/>
      <c r="C40" s="228" t="s">
        <v>625</v>
      </c>
      <c r="D40" s="228" t="s">
        <v>626</v>
      </c>
      <c r="E40" s="229" t="s">
        <v>117</v>
      </c>
      <c r="F40" s="229" t="s">
        <v>627</v>
      </c>
      <c r="G40" s="229" t="s">
        <v>25</v>
      </c>
      <c r="H40" s="230">
        <v>9</v>
      </c>
      <c r="I40" s="619">
        <f>ROUND(Tbl_EquipmentDefinitions[[#This Row],[New Unit Equipment Life (years)]]/3,0)</f>
        <v>3</v>
      </c>
      <c r="J40" s="230">
        <v>9</v>
      </c>
      <c r="K40" s="230">
        <v>3</v>
      </c>
      <c r="L40" s="229" t="s">
        <v>628</v>
      </c>
      <c r="M40" s="23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Baseline Only</v>
      </c>
      <c r="N40" s="232" t="s">
        <v>629</v>
      </c>
      <c r="O40" s="228" t="s">
        <v>630</v>
      </c>
      <c r="P40" s="2" t="s">
        <v>119</v>
      </c>
      <c r="Q40" s="2" t="s">
        <v>119</v>
      </c>
      <c r="R40" s="105" t="s">
        <v>119</v>
      </c>
      <c r="S40" s="228" t="s">
        <v>119</v>
      </c>
      <c r="T40" s="228" t="s">
        <v>119</v>
      </c>
      <c r="U40" s="228" t="s">
        <v>119</v>
      </c>
      <c r="V40" s="105" t="s">
        <v>119</v>
      </c>
      <c r="W40" s="2" t="s">
        <v>119</v>
      </c>
      <c r="X40" s="2" t="s">
        <v>119</v>
      </c>
      <c r="Y40" s="98" t="s">
        <v>119</v>
      </c>
      <c r="Z40" s="105" t="s">
        <v>119</v>
      </c>
      <c r="AA40" s="106" t="s">
        <v>119</v>
      </c>
      <c r="AB40" s="106" t="s">
        <v>119</v>
      </c>
      <c r="AC40" s="106" t="s">
        <v>119</v>
      </c>
    </row>
    <row r="41" spans="2:29" x14ac:dyDescent="0.2">
      <c r="B41" s="16"/>
      <c r="C41" s="228" t="s">
        <v>837</v>
      </c>
      <c r="D41" s="228" t="s">
        <v>1427</v>
      </c>
      <c r="E41" s="229" t="s">
        <v>116</v>
      </c>
      <c r="F41" s="3" t="s">
        <v>29</v>
      </c>
      <c r="G41" s="229" t="s">
        <v>21</v>
      </c>
      <c r="H41" s="209">
        <v>20</v>
      </c>
      <c r="I41" s="209">
        <v>10</v>
      </c>
      <c r="J41" s="209">
        <v>16</v>
      </c>
      <c r="K41" s="618">
        <f>ROUND(Tbl_EquipmentDefinitions[[#This Row],[A/C Life (years)]]/3,0)</f>
        <v>5</v>
      </c>
      <c r="L41" s="208" t="s">
        <v>578</v>
      </c>
      <c r="M41" s="34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Baseline Only</v>
      </c>
      <c r="N41" s="232" t="s">
        <v>133</v>
      </c>
      <c r="O41" s="228" t="s">
        <v>134</v>
      </c>
      <c r="P41" s="2" t="s">
        <v>119</v>
      </c>
      <c r="Q41" s="2" t="s">
        <v>119</v>
      </c>
      <c r="R41" s="105" t="s">
        <v>119</v>
      </c>
      <c r="S41" s="228" t="s">
        <v>119</v>
      </c>
      <c r="T41" s="228" t="s">
        <v>119</v>
      </c>
      <c r="U41" s="228" t="s">
        <v>119</v>
      </c>
      <c r="V41" s="105" t="s">
        <v>119</v>
      </c>
      <c r="W41" s="228" t="s">
        <v>119</v>
      </c>
      <c r="X41" s="228" t="s">
        <v>119</v>
      </c>
      <c r="Y41" s="228" t="s">
        <v>119</v>
      </c>
      <c r="Z41" s="103" t="str">
        <f>Z17</f>
        <v>75% AFUE</v>
      </c>
      <c r="AA41" s="104" t="str">
        <f>AA17</f>
        <v>84% AFUE</v>
      </c>
      <c r="AB41" s="104" t="str">
        <f>AB17</f>
        <v>-</v>
      </c>
      <c r="AC41" s="104" t="str">
        <f>AC17</f>
        <v>-</v>
      </c>
    </row>
    <row r="42" spans="2:29" x14ac:dyDescent="0.2">
      <c r="B42" s="16"/>
      <c r="C42" s="228" t="s">
        <v>838</v>
      </c>
      <c r="D42" s="228" t="s">
        <v>856</v>
      </c>
      <c r="E42" s="229" t="s">
        <v>116</v>
      </c>
      <c r="F42" s="3" t="s">
        <v>29</v>
      </c>
      <c r="G42" s="229" t="s">
        <v>21</v>
      </c>
      <c r="H42" s="209">
        <v>20</v>
      </c>
      <c r="I42" s="209">
        <v>10</v>
      </c>
      <c r="J42" s="209"/>
      <c r="K42" s="209"/>
      <c r="L42" s="208" t="s">
        <v>578</v>
      </c>
      <c r="M42" s="34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Both</v>
      </c>
      <c r="N42" s="360" t="str">
        <f>$N$16</f>
        <v>-</v>
      </c>
      <c r="O42" s="12" t="str">
        <f>$O$16</f>
        <v>14 SEER/11.7 EER/8.2 HSPF</v>
      </c>
      <c r="P42" s="12" t="str">
        <f>$P$16</f>
        <v>16 SEER/8.5 HSPF</v>
      </c>
      <c r="Q42" s="12" t="str">
        <f>$Q$16</f>
        <v>18 SEER/9.6 HSPF</v>
      </c>
      <c r="R42" s="105" t="s">
        <v>119</v>
      </c>
      <c r="S42" s="228" t="s">
        <v>119</v>
      </c>
      <c r="T42" s="228" t="s">
        <v>119</v>
      </c>
      <c r="U42" s="228" t="s">
        <v>119</v>
      </c>
      <c r="V42" s="105" t="s">
        <v>119</v>
      </c>
      <c r="W42" s="228" t="s">
        <v>119</v>
      </c>
      <c r="X42" s="228" t="s">
        <v>119</v>
      </c>
      <c r="Y42" s="228" t="s">
        <v>119</v>
      </c>
      <c r="Z42" s="103" t="str">
        <f>Z17</f>
        <v>75% AFUE</v>
      </c>
      <c r="AA42" s="104" t="str">
        <f>AA17</f>
        <v>84% AFUE</v>
      </c>
      <c r="AB42" s="104" t="str">
        <f>AB17</f>
        <v>-</v>
      </c>
      <c r="AC42" s="104" t="str">
        <f>AC17</f>
        <v>-</v>
      </c>
    </row>
    <row r="43" spans="2:29" x14ac:dyDescent="0.2">
      <c r="B43" s="16"/>
      <c r="C43" s="228" t="s">
        <v>839</v>
      </c>
      <c r="D43" s="228" t="s">
        <v>1428</v>
      </c>
      <c r="E43" s="229" t="s">
        <v>116</v>
      </c>
      <c r="F43" s="3" t="s">
        <v>29</v>
      </c>
      <c r="G43" s="229" t="s">
        <v>22</v>
      </c>
      <c r="H43" s="209">
        <v>20</v>
      </c>
      <c r="I43" s="209">
        <v>10</v>
      </c>
      <c r="J43" s="209">
        <v>16</v>
      </c>
      <c r="K43" s="618">
        <f>ROUND(Tbl_EquipmentDefinitions[[#This Row],[A/C Life (years)]]/3,0)</f>
        <v>5</v>
      </c>
      <c r="L43" s="208" t="s">
        <v>578</v>
      </c>
      <c r="M43" s="34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Baseline Only</v>
      </c>
      <c r="N43" s="103" t="str">
        <f>N41</f>
        <v>10 SEER/8.5 EER</v>
      </c>
      <c r="O43" s="11" t="str">
        <f>O41</f>
        <v>13 SEER/11 EER</v>
      </c>
      <c r="P43" s="11" t="str">
        <f>P41</f>
        <v>-</v>
      </c>
      <c r="Q43" s="99" t="str">
        <f>Q41</f>
        <v>-</v>
      </c>
      <c r="R43" s="105" t="s">
        <v>119</v>
      </c>
      <c r="S43" s="228" t="s">
        <v>119</v>
      </c>
      <c r="T43" s="228" t="s">
        <v>119</v>
      </c>
      <c r="U43" s="228" t="s">
        <v>119</v>
      </c>
      <c r="V43" s="103" t="str">
        <f>V18</f>
        <v>75% AFUE</v>
      </c>
      <c r="W43" s="11" t="str">
        <f>W18</f>
        <v>82% AFUE (79.3% actual)</v>
      </c>
      <c r="X43" s="11" t="str">
        <f>X18</f>
        <v>-</v>
      </c>
      <c r="Y43" s="99" t="str">
        <f>Y18</f>
        <v>-</v>
      </c>
      <c r="Z43" s="105" t="s">
        <v>119</v>
      </c>
      <c r="AA43" s="106" t="s">
        <v>119</v>
      </c>
      <c r="AB43" s="106" t="s">
        <v>119</v>
      </c>
      <c r="AC43" s="106" t="s">
        <v>119</v>
      </c>
    </row>
    <row r="44" spans="2:29" x14ac:dyDescent="0.2">
      <c r="B44" s="16"/>
      <c r="C44" s="228" t="s">
        <v>840</v>
      </c>
      <c r="D44" s="228" t="s">
        <v>857</v>
      </c>
      <c r="E44" s="229" t="s">
        <v>116</v>
      </c>
      <c r="F44" s="3" t="s">
        <v>29</v>
      </c>
      <c r="G44" s="229" t="s">
        <v>22</v>
      </c>
      <c r="H44" s="209">
        <v>20</v>
      </c>
      <c r="I44" s="209">
        <v>10</v>
      </c>
      <c r="J44" s="209"/>
      <c r="K44" s="209"/>
      <c r="L44" s="208" t="s">
        <v>578</v>
      </c>
      <c r="M44" s="341"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Both</v>
      </c>
      <c r="N44" s="360" t="str">
        <f>$N$16</f>
        <v>-</v>
      </c>
      <c r="O44" s="12" t="str">
        <f>$O$16</f>
        <v>14 SEER/11.7 EER/8.2 HSPF</v>
      </c>
      <c r="P44" s="12" t="str">
        <f>$P$16</f>
        <v>16 SEER/8.5 HSPF</v>
      </c>
      <c r="Q44" s="12" t="str">
        <f>$Q$16</f>
        <v>18 SEER/9.6 HSPF</v>
      </c>
      <c r="R44" s="105" t="s">
        <v>119</v>
      </c>
      <c r="S44" s="228" t="s">
        <v>119</v>
      </c>
      <c r="T44" s="228" t="s">
        <v>119</v>
      </c>
      <c r="U44" s="228" t="s">
        <v>119</v>
      </c>
      <c r="V44" s="103" t="str">
        <f>V18</f>
        <v>75% AFUE</v>
      </c>
      <c r="W44" s="11" t="str">
        <f>W18</f>
        <v>82% AFUE (79.3% actual)</v>
      </c>
      <c r="X44" s="11" t="str">
        <f>X18</f>
        <v>-</v>
      </c>
      <c r="Y44" s="99" t="str">
        <f>Y18</f>
        <v>-</v>
      </c>
      <c r="Z44" s="105" t="s">
        <v>119</v>
      </c>
      <c r="AA44" s="106" t="s">
        <v>119</v>
      </c>
      <c r="AB44" s="106" t="s">
        <v>119</v>
      </c>
      <c r="AC44" s="106" t="s">
        <v>119</v>
      </c>
    </row>
    <row r="45" spans="2:29" x14ac:dyDescent="0.2">
      <c r="B45" s="16"/>
      <c r="C45" s="228" t="s">
        <v>939</v>
      </c>
      <c r="D45" s="378" t="s">
        <v>1430</v>
      </c>
      <c r="E45" s="229" t="s">
        <v>116</v>
      </c>
      <c r="F45" s="3" t="s">
        <v>29</v>
      </c>
      <c r="G45" s="229" t="s">
        <v>21</v>
      </c>
      <c r="H45" s="209">
        <v>20</v>
      </c>
      <c r="I45" s="209">
        <v>10</v>
      </c>
      <c r="J45" s="595">
        <f>ACBASE2_EQUIPMENT_LIFE</f>
        <v>6</v>
      </c>
      <c r="K45" s="594">
        <f>ACBASE2_RUL</f>
        <v>2</v>
      </c>
      <c r="L45" s="208" t="s">
        <v>578</v>
      </c>
      <c r="M45" s="380"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Baseline Only</v>
      </c>
      <c r="N45" s="103" t="str">
        <f>$N$40</f>
        <v>8 EER</v>
      </c>
      <c r="O45" s="11" t="str">
        <f>$O$40</f>
        <v>10 EER</v>
      </c>
      <c r="P45" s="11" t="str">
        <f>$P$40</f>
        <v>-</v>
      </c>
      <c r="Q45" s="99" t="str">
        <f>$Q$40</f>
        <v>-</v>
      </c>
      <c r="R45" s="105" t="s">
        <v>119</v>
      </c>
      <c r="S45" s="228" t="s">
        <v>119</v>
      </c>
      <c r="T45" s="228" t="s">
        <v>119</v>
      </c>
      <c r="U45" s="565" t="s">
        <v>119</v>
      </c>
      <c r="V45" s="105" t="s">
        <v>119</v>
      </c>
      <c r="W45" s="228" t="s">
        <v>119</v>
      </c>
      <c r="X45" s="228" t="s">
        <v>119</v>
      </c>
      <c r="Y45" s="228" t="s">
        <v>119</v>
      </c>
      <c r="Z45" s="103" t="str">
        <f>$Z$17</f>
        <v>75% AFUE</v>
      </c>
      <c r="AA45" s="104" t="str">
        <f>$AA$17</f>
        <v>84% AFUE</v>
      </c>
      <c r="AB45" s="104" t="str">
        <f>$AB$17</f>
        <v>-</v>
      </c>
      <c r="AC45" s="104" t="str">
        <f>$AC$17</f>
        <v>-</v>
      </c>
    </row>
    <row r="46" spans="2:29" x14ac:dyDescent="0.2">
      <c r="B46" s="16"/>
      <c r="C46" s="228" t="s">
        <v>940</v>
      </c>
      <c r="D46" s="378" t="s">
        <v>1431</v>
      </c>
      <c r="E46" s="229" t="s">
        <v>116</v>
      </c>
      <c r="F46" s="3" t="s">
        <v>29</v>
      </c>
      <c r="G46" s="379" t="s">
        <v>22</v>
      </c>
      <c r="H46" s="209">
        <v>20</v>
      </c>
      <c r="I46" s="209">
        <v>10</v>
      </c>
      <c r="J46" s="595">
        <f>ACBASE2_EQUIPMENT_LIFE</f>
        <v>6</v>
      </c>
      <c r="K46" s="594">
        <f>ACBASE2_RUL</f>
        <v>2</v>
      </c>
      <c r="L46" s="208" t="s">
        <v>578</v>
      </c>
      <c r="M46" s="602"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Baseline Only</v>
      </c>
      <c r="N46" s="103" t="str">
        <f>$N$40</f>
        <v>8 EER</v>
      </c>
      <c r="O46" s="11" t="str">
        <f>$O$40</f>
        <v>10 EER</v>
      </c>
      <c r="P46" s="11" t="str">
        <f>$P$40</f>
        <v>-</v>
      </c>
      <c r="Q46" s="99" t="str">
        <f>$Q$40</f>
        <v>-</v>
      </c>
      <c r="R46" s="105" t="s">
        <v>119</v>
      </c>
      <c r="S46" s="228" t="s">
        <v>119</v>
      </c>
      <c r="T46" s="228" t="s">
        <v>119</v>
      </c>
      <c r="U46" s="565" t="s">
        <v>119</v>
      </c>
      <c r="V46" s="103" t="str">
        <f>$V$18</f>
        <v>75% AFUE</v>
      </c>
      <c r="W46" s="382" t="str">
        <f>$W$18</f>
        <v>82% AFUE (79.3% actual)</v>
      </c>
      <c r="X46" s="382" t="str">
        <f>$X$18</f>
        <v>-</v>
      </c>
      <c r="Y46" s="382" t="str">
        <f>$Y$18</f>
        <v>-</v>
      </c>
      <c r="Z46" s="105" t="s">
        <v>119</v>
      </c>
      <c r="AA46" s="228" t="s">
        <v>119</v>
      </c>
      <c r="AB46" s="228" t="s">
        <v>119</v>
      </c>
      <c r="AC46" s="228" t="s">
        <v>119</v>
      </c>
    </row>
    <row r="47" spans="2:29" x14ac:dyDescent="0.2">
      <c r="B47" s="16"/>
      <c r="C47" s="228" t="s">
        <v>941</v>
      </c>
      <c r="D47" s="378" t="s">
        <v>1505</v>
      </c>
      <c r="E47" s="229" t="s">
        <v>116</v>
      </c>
      <c r="F47" s="3" t="s">
        <v>29</v>
      </c>
      <c r="G47" s="379" t="s">
        <v>140</v>
      </c>
      <c r="H47" s="209">
        <v>15</v>
      </c>
      <c r="I47" s="620">
        <f>ROUND(Tbl_EquipmentDefinitions[[#This Row],[New Unit Equipment Life (years)]]/3,0)</f>
        <v>5</v>
      </c>
      <c r="J47" s="595">
        <f>ACBASE2_EQUIPMENT_LIFE</f>
        <v>6</v>
      </c>
      <c r="K47" s="594">
        <f>ACBASE2_RUL</f>
        <v>2</v>
      </c>
      <c r="L47" s="208" t="s">
        <v>578</v>
      </c>
      <c r="M47" s="602"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Baseline Only</v>
      </c>
      <c r="N47" s="360" t="str">
        <f>N40&amp;"/"&amp;N21</f>
        <v>8 EER/1 COP</v>
      </c>
      <c r="O47" s="12" t="str">
        <f>O40&amp;"/"&amp;O21</f>
        <v>10 EER/1 COP</v>
      </c>
      <c r="P47" s="12" t="str">
        <f>P40</f>
        <v>-</v>
      </c>
      <c r="Q47" s="12" t="str">
        <f>Q40</f>
        <v>-</v>
      </c>
      <c r="R47" s="105" t="s">
        <v>119</v>
      </c>
      <c r="S47" s="228" t="s">
        <v>119</v>
      </c>
      <c r="T47" s="228" t="s">
        <v>119</v>
      </c>
      <c r="U47" s="565" t="s">
        <v>119</v>
      </c>
      <c r="V47" s="105" t="s">
        <v>119</v>
      </c>
      <c r="W47" s="228" t="s">
        <v>119</v>
      </c>
      <c r="X47" s="228" t="s">
        <v>119</v>
      </c>
      <c r="Y47" s="228" t="s">
        <v>119</v>
      </c>
      <c r="Z47" s="105" t="s">
        <v>119</v>
      </c>
      <c r="AA47" s="228" t="s">
        <v>119</v>
      </c>
      <c r="AB47" s="228" t="s">
        <v>119</v>
      </c>
      <c r="AC47" s="228" t="s">
        <v>119</v>
      </c>
    </row>
    <row r="48" spans="2:29" x14ac:dyDescent="0.2">
      <c r="B48" s="16"/>
      <c r="C48" s="228" t="s">
        <v>942</v>
      </c>
      <c r="D48" s="228" t="s">
        <v>489</v>
      </c>
      <c r="E48" s="229" t="s">
        <v>117</v>
      </c>
      <c r="F48" s="3" t="s">
        <v>29</v>
      </c>
      <c r="G48" s="229" t="s">
        <v>25</v>
      </c>
      <c r="H48" s="230">
        <v>18</v>
      </c>
      <c r="I48" s="620">
        <f>ROUND(Tbl_EquipmentDefinitions[[#This Row],[New Unit Equipment Life (years)]]/3,0)</f>
        <v>6</v>
      </c>
      <c r="J48" s="381">
        <v>18</v>
      </c>
      <c r="K48" s="381">
        <v>6</v>
      </c>
      <c r="L48" s="229" t="s">
        <v>1312</v>
      </c>
      <c r="M48" s="603"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Both</v>
      </c>
      <c r="N48" s="563" t="str">
        <f>N19</f>
        <v>-</v>
      </c>
      <c r="O48" s="564" t="str">
        <f t="shared" ref="O48:Q48" si="1">O19</f>
        <v>15 SEER/12 EER/8.2 HSPF</v>
      </c>
      <c r="P48" s="564" t="str">
        <f t="shared" si="1"/>
        <v>18 SEER/10.0 HSPF</v>
      </c>
      <c r="Q48" s="564" t="str">
        <f t="shared" si="1"/>
        <v>20 SEER/12.0 HSPF</v>
      </c>
      <c r="R48" s="105" t="s">
        <v>119</v>
      </c>
      <c r="S48" s="2" t="s">
        <v>119</v>
      </c>
      <c r="T48" s="2" t="s">
        <v>119</v>
      </c>
      <c r="U48" s="566" t="s">
        <v>119</v>
      </c>
      <c r="V48" s="105" t="s">
        <v>119</v>
      </c>
      <c r="W48" s="228" t="s">
        <v>119</v>
      </c>
      <c r="X48" s="228" t="s">
        <v>119</v>
      </c>
      <c r="Y48" s="228" t="s">
        <v>119</v>
      </c>
      <c r="Z48" s="105" t="s">
        <v>119</v>
      </c>
      <c r="AA48" s="228" t="s">
        <v>119</v>
      </c>
      <c r="AB48" s="228" t="s">
        <v>119</v>
      </c>
      <c r="AC48" s="228" t="s">
        <v>119</v>
      </c>
    </row>
    <row r="49" spans="2:29" x14ac:dyDescent="0.2">
      <c r="B49" s="16"/>
      <c r="C49" s="228" t="s">
        <v>943</v>
      </c>
      <c r="D49" s="228" t="s">
        <v>1436</v>
      </c>
      <c r="E49" s="229" t="s">
        <v>117</v>
      </c>
      <c r="F49" s="229" t="s">
        <v>627</v>
      </c>
      <c r="G49" s="229" t="s">
        <v>25</v>
      </c>
      <c r="H49" s="230">
        <v>16</v>
      </c>
      <c r="I49" s="621">
        <f>ROUND(Tbl_EquipmentDefinitions[[#This Row],[New Unit Equipment Life (years)]]/3,0)</f>
        <v>5</v>
      </c>
      <c r="J49" s="209">
        <v>16</v>
      </c>
      <c r="K49" s="209">
        <f>ROUND(Tbl_EquipmentDefinitions[[#This Row],[A/C Life (years)]]/3,0)</f>
        <v>5</v>
      </c>
      <c r="L49" s="229" t="s">
        <v>1312</v>
      </c>
      <c r="M49" s="602" t="str">
        <f>IF(OR(Tbl_EquipmentDefinitions[[#This Row],[Electricity High Measure Efficiency]]&lt;&gt;"-",Tbl_EquipmentDefinitions[[#This Row],[Natural Gas High Measure Efficiency]]&lt;&gt;"-",Tbl_EquipmentDefinitions[[#This Row],[Propane High Measure Efficiency]]&lt;&gt;"-",Tbl_EquipmentDefinitions[[#This Row],[Oil High Measure Efficiency]]&lt;&gt;"-"),
       IF(OR(Tbl_EquipmentDefinitions[[#This Row],[Electricity Low Measure Efficiency]]&lt;&gt;"-",Tbl_EquipmentDefinitions[[#This Row],[Natural Gas Low Measure Efficiency]]&lt;&gt;"-",Tbl_EquipmentDefinitions[[#This Row],[Propane Low Measure Efficiency]]&lt;&gt;"-",Tbl_EquipmentDefinitions[[#This Row],[Oil Low Measure Efficiency]]&lt;&gt;"-"),
            "Both",
            "High"),
       IF(OR(Tbl_EquipmentDefinitions[[#This Row],[Electricity Low Measure Efficiency]]&lt;&gt;"-",Tbl_EquipmentDefinitions[[#This Row],[Natural Gas Low Measure Efficiency]]&lt;&gt;"-",Tbl_EquipmentDefinitions[[#This Row],[Propane Low Measure Efficiency]]&lt;&gt;"-",Tbl_EquipmentDefinitions[[#This Row],[Oil Low Measure Efficiency]]&lt;&gt;"-"),"Low","Baseline Only"))</f>
        <v>Baseline Only</v>
      </c>
      <c r="N49" s="360" t="str">
        <f>N41</f>
        <v>10 SEER/8.5 EER</v>
      </c>
      <c r="O49" s="12" t="s">
        <v>134</v>
      </c>
      <c r="P49" s="12" t="s">
        <v>119</v>
      </c>
      <c r="Q49" s="12" t="s">
        <v>119</v>
      </c>
      <c r="R49" s="105" t="s">
        <v>119</v>
      </c>
      <c r="S49" s="2" t="s">
        <v>119</v>
      </c>
      <c r="T49" s="2" t="s">
        <v>119</v>
      </c>
      <c r="U49" s="98" t="s">
        <v>119</v>
      </c>
      <c r="V49" s="105" t="s">
        <v>119</v>
      </c>
      <c r="W49" s="228" t="s">
        <v>119</v>
      </c>
      <c r="X49" s="228" t="s">
        <v>119</v>
      </c>
      <c r="Y49" s="228" t="s">
        <v>119</v>
      </c>
      <c r="Z49" s="105" t="s">
        <v>119</v>
      </c>
      <c r="AA49" s="228" t="s">
        <v>119</v>
      </c>
      <c r="AB49" s="228" t="s">
        <v>119</v>
      </c>
      <c r="AC49" s="228" t="s">
        <v>119</v>
      </c>
    </row>
    <row r="50" spans="2:29" x14ac:dyDescent="0.2">
      <c r="B50" s="16"/>
    </row>
  </sheetData>
  <dataValidations count="3">
    <dataValidation type="list" allowBlank="1" showInputMessage="1" showErrorMessage="1" sqref="G10:G49">
      <formula1>"Electric,Natural Gas,Propane,Oil,Electric+Natural Gas,Electric+Propane,Electric+Oil,Electric+Electric"</formula1>
    </dataValidation>
    <dataValidation type="list" allowBlank="1" showInputMessage="1" showErrorMessage="1" sqref="F10:F49">
      <formula1>"Cool,Heat,Cool+Heat,HW,Cool+HW,Heat+HW,Cool+Heat+HW"</formula1>
    </dataValidation>
    <dataValidation type="list" allowBlank="1" showInputMessage="1" showErrorMessage="1" sqref="E10:E49">
      <formula1>"Primary,Secondary"</formula1>
    </dataValidation>
  </dataValidations>
  <pageMargins left="0.7" right="0.7" top="0.75" bottom="0.75" header="0.3" footer="0.3"/>
  <pageSetup orientation="portrait" r:id="rId1"/>
  <ignoredErrors>
    <ignoredError sqref="N44:Q44" formula="1"/>
    <ignoredError sqref="N47:Q47" formula="1" unlockedFormula="1"/>
  </ignoredErrors>
  <legacyDrawing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3"/>
  </sheetPr>
  <dimension ref="A1:AD165"/>
  <sheetViews>
    <sheetView workbookViewId="0"/>
  </sheetViews>
  <sheetFormatPr defaultColWidth="9.33203125" defaultRowHeight="11.25" x14ac:dyDescent="0.2"/>
  <cols>
    <col min="1" max="2" width="3.33203125" style="6" customWidth="1"/>
    <col min="3" max="3" width="22.6640625" style="6" bestFit="1" customWidth="1"/>
    <col min="4" max="4" width="14.33203125" style="6" customWidth="1"/>
    <col min="5" max="5" width="18.6640625" style="6" customWidth="1"/>
    <col min="6" max="6" width="15" style="6" customWidth="1"/>
    <col min="7" max="7" width="13.5" style="6" customWidth="1"/>
    <col min="8" max="8" width="16.6640625" style="6" customWidth="1"/>
    <col min="9" max="9" width="22.33203125" style="6" bestFit="1" customWidth="1"/>
    <col min="10" max="10" width="20.5" style="6" bestFit="1" customWidth="1"/>
    <col min="11"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93" t="s">
        <v>101</v>
      </c>
      <c r="E9" s="7" t="s">
        <v>290</v>
      </c>
    </row>
    <row r="10" spans="1:30" ht="12.75" x14ac:dyDescent="0.2">
      <c r="B10" s="16"/>
      <c r="C10" s="30" t="s">
        <v>289</v>
      </c>
      <c r="D10" s="83" t="str">
        <f>INDEX(Tbl_MeasureList[Baseline ID],MATCH($D$9,Tbl_MeasureList[Measure ID],0))</f>
        <v>BASE12</v>
      </c>
      <c r="E10" s="7"/>
    </row>
    <row r="11" spans="1:30" x14ac:dyDescent="0.2">
      <c r="B11" s="16"/>
      <c r="C11" s="7"/>
      <c r="D11" s="7"/>
      <c r="E11" s="7"/>
    </row>
    <row r="12" spans="1:30" ht="12" thickBot="1" x14ac:dyDescent="0.25">
      <c r="B12" s="16"/>
      <c r="C12" s="7"/>
      <c r="D12" s="89" t="s">
        <v>5</v>
      </c>
      <c r="E12" s="89" t="s">
        <v>284</v>
      </c>
    </row>
    <row r="13" spans="1:30" x14ac:dyDescent="0.2">
      <c r="B13" s="16"/>
      <c r="C13" s="32" t="s">
        <v>2</v>
      </c>
      <c r="D13" s="84" t="str">
        <f>INDEX(Tbl_MeasureList[Baseline Equipment ID],MATCH($D$9,Tbl_MeasureList[Measure ID],0))</f>
        <v>EQUI023</v>
      </c>
      <c r="E13" s="84" t="str">
        <f>INDEX(Tbl_MeasureList[Replacement ID],MATCH($D$9,Tbl_MeasureList[Measure ID],0))</f>
        <v>EQUI022</v>
      </c>
      <c r="F13" s="7"/>
    </row>
    <row r="14" spans="1:30" x14ac:dyDescent="0.2">
      <c r="B14" s="16"/>
      <c r="C14" s="32" t="s">
        <v>4</v>
      </c>
      <c r="D14" s="85" t="str">
        <f>INDEX(Tbl_EquipmentDefinitions[[Equipment Name]:[Equipment Name]],MATCH(D$13,Tbl_EquipmentDefinitions[[Equipment ID]:[Equipment ID]],0))</f>
        <v>Propane Combination Boiler</v>
      </c>
      <c r="E14" s="85" t="str">
        <f>INDEX(Tbl_EquipmentDefinitions[[Equipment Name]:[Equipment Name]],MATCH(E$13,Tbl_EquipmentDefinitions[[Equipment ID]:[Equipment ID]],0))</f>
        <v>Gas Combination Boiler</v>
      </c>
      <c r="F14" s="7"/>
    </row>
    <row r="15" spans="1:30" x14ac:dyDescent="0.2">
      <c r="B15" s="16"/>
      <c r="C15" s="32" t="s">
        <v>24</v>
      </c>
      <c r="D15" s="84" t="str">
        <f>INDEX(Tbl_EquipmentDefinitions[[Function]:[Function]],MATCH(D$13,Tbl_EquipmentDefinitions[[Equipment ID]:[Equipment ID]],0))</f>
        <v>Heat+HW</v>
      </c>
      <c r="E15" s="84" t="str">
        <f>INDEX(Tbl_EquipmentDefinitions[[Function]:[Function]],MATCH(E$13,Tbl_EquipmentDefinitions[[Equipment ID]:[Equipment ID]],0))</f>
        <v>Heat+HW</v>
      </c>
      <c r="F15" s="7"/>
    </row>
    <row r="16" spans="1:30" x14ac:dyDescent="0.2">
      <c r="B16" s="16"/>
      <c r="C16" s="32" t="s">
        <v>7</v>
      </c>
      <c r="D16" s="85" t="str">
        <f>INDEX(Tbl_EquipmentDefinitions[[Fuel Type]:[Fuel Type]],MATCH(D$13,Tbl_EquipmentDefinitions[[Equipment ID]:[Equipment ID]],0))</f>
        <v>Propane</v>
      </c>
      <c r="E16" s="85" t="str">
        <f>INDEX(Tbl_EquipmentDefinitions[[Fuel Type]:[Fuel Type]],MATCH(E$13,Tbl_EquipmentDefinitions[[Equipment ID]:[Equipment ID]],0))</f>
        <v>Natural Gas</v>
      </c>
      <c r="F16" s="7"/>
    </row>
    <row r="17" spans="2:14" x14ac:dyDescent="0.2">
      <c r="B17" s="16"/>
      <c r="C17" s="32" t="s">
        <v>126</v>
      </c>
      <c r="D17" s="84">
        <f>IF(ISERR(SEARCH("+",D16,1)),1,2)</f>
        <v>1</v>
      </c>
      <c r="E17" s="84">
        <f>IF(ISERR(SEARCH("+",E16,1)),1,2)</f>
        <v>1</v>
      </c>
      <c r="F17" s="7"/>
    </row>
    <row r="18" spans="2:14" x14ac:dyDescent="0.2">
      <c r="B18" s="16"/>
      <c r="C18" s="32" t="s">
        <v>155</v>
      </c>
      <c r="D18" s="86">
        <f>INDEX(Tbl_BaselineSummary[Space Heating Load (MMBtu/yr)],MATCH($D$10,Tbl_BaselineSummary[Baseline ID],0))</f>
        <v>62.12700000000001</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11.3</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89" t="s">
        <v>127</v>
      </c>
      <c r="D25" s="281" t="s">
        <v>345</v>
      </c>
      <c r="E25" s="385" t="s">
        <v>956</v>
      </c>
      <c r="F25" s="281" t="s">
        <v>326</v>
      </c>
      <c r="G25" s="421" t="s">
        <v>1532</v>
      </c>
      <c r="H25" s="385" t="s">
        <v>958</v>
      </c>
      <c r="I25" s="569" t="s">
        <v>1447</v>
      </c>
      <c r="J25" s="569" t="s">
        <v>1448</v>
      </c>
      <c r="L25" s="89" t="s">
        <v>1533</v>
      </c>
      <c r="M25" s="421" t="s">
        <v>1531</v>
      </c>
    </row>
    <row r="26" spans="2:14" ht="11.25" customHeight="1" x14ac:dyDescent="0.2">
      <c r="B26" s="16"/>
      <c r="C26" s="32" t="s">
        <v>6</v>
      </c>
      <c r="D26" s="122">
        <f>E80</f>
        <v>329</v>
      </c>
      <c r="E26" s="126">
        <f>E89</f>
        <v>5.0469798657718119E-2</v>
      </c>
      <c r="F26" s="111">
        <f>D26*PRICE_PER_KWH_2018_ELECTRICITY</f>
        <v>65.0762</v>
      </c>
      <c r="G26" s="139">
        <v>0</v>
      </c>
      <c r="H26" s="404">
        <f>E95</f>
        <v>0</v>
      </c>
      <c r="I26" s="39" t="s">
        <v>1449</v>
      </c>
      <c r="J26" s="39" t="s">
        <v>1449</v>
      </c>
      <c r="L26" s="84">
        <f t="shared" ref="L26:M28" si="0">F26+E32+E38+E44</f>
        <v>1381.0512111111113</v>
      </c>
      <c r="M26" s="86">
        <f t="shared" si="0"/>
        <v>16130</v>
      </c>
    </row>
    <row r="27" spans="2:14" x14ac:dyDescent="0.2">
      <c r="B27" s="16"/>
      <c r="C27" s="32" t="s">
        <v>19</v>
      </c>
      <c r="D27" s="122">
        <f>E81</f>
        <v>329</v>
      </c>
      <c r="E27" s="126">
        <f>E90</f>
        <v>5.0469798657718119E-2</v>
      </c>
      <c r="F27" s="111">
        <f>D27*PRICE_PER_KWH_2018_ELECTRICITY</f>
        <v>65.0762</v>
      </c>
      <c r="G27" s="139">
        <v>0</v>
      </c>
      <c r="H27" s="404">
        <f t="shared" ref="H27:H28" si="1">E96</f>
        <v>0</v>
      </c>
      <c r="I27" s="39" t="s">
        <v>1449</v>
      </c>
      <c r="J27" s="39" t="s">
        <v>1449</v>
      </c>
      <c r="L27" s="84">
        <f t="shared" si="0"/>
        <v>1381.0512111111113</v>
      </c>
      <c r="M27" s="86">
        <f t="shared" si="0"/>
        <v>16130</v>
      </c>
    </row>
    <row r="28" spans="2:14" x14ac:dyDescent="0.2">
      <c r="B28" s="16"/>
      <c r="C28" s="32" t="s">
        <v>20</v>
      </c>
      <c r="D28" s="122">
        <f>E82</f>
        <v>312</v>
      </c>
      <c r="E28" s="126">
        <f>E91</f>
        <v>4.7861936720997124E-2</v>
      </c>
      <c r="F28" s="111">
        <f>D28*PRICE_PER_KWH_2018_ELECTRICITY</f>
        <v>61.7136</v>
      </c>
      <c r="G28" s="139">
        <v>0</v>
      </c>
      <c r="H28" s="404">
        <f t="shared" si="1"/>
        <v>0</v>
      </c>
      <c r="I28" s="39" t="s">
        <v>1449</v>
      </c>
      <c r="J28" s="39" t="s">
        <v>1449</v>
      </c>
      <c r="L28" s="84">
        <f t="shared" si="0"/>
        <v>1308.4267684210529</v>
      </c>
      <c r="M28" s="86">
        <f t="shared" si="0"/>
        <v>16130</v>
      </c>
    </row>
    <row r="29" spans="2:14" x14ac:dyDescent="0.2">
      <c r="B29" s="16"/>
    </row>
    <row r="30" spans="2:14" ht="12.75" thickBot="1" x14ac:dyDescent="0.25">
      <c r="B30" s="16"/>
      <c r="C30" s="34" t="s">
        <v>55</v>
      </c>
      <c r="D30" s="34"/>
      <c r="E30" s="33"/>
      <c r="F30" s="33"/>
    </row>
    <row r="31" spans="2:14" ht="34.5" thickBot="1" x14ac:dyDescent="0.25">
      <c r="B31" s="16"/>
      <c r="C31" s="89" t="s">
        <v>127</v>
      </c>
      <c r="D31" s="281" t="s">
        <v>325</v>
      </c>
      <c r="E31" s="281" t="s">
        <v>326</v>
      </c>
      <c r="F31" s="421" t="s">
        <v>1532</v>
      </c>
    </row>
    <row r="32" spans="2:14" x14ac:dyDescent="0.2">
      <c r="B32" s="16"/>
      <c r="C32" s="32" t="s">
        <v>6</v>
      </c>
      <c r="D32" s="122">
        <f>E76</f>
        <v>815.85555555555561</v>
      </c>
      <c r="E32" s="111">
        <f>D32*PRICE_PER_THERM_2018_NATURALGAS</f>
        <v>1315.9750111111114</v>
      </c>
      <c r="F32" s="111">
        <f>E115</f>
        <v>16130</v>
      </c>
      <c r="G32" s="7" t="s">
        <v>128</v>
      </c>
    </row>
    <row r="33" spans="2:14" x14ac:dyDescent="0.2">
      <c r="B33" s="16"/>
      <c r="C33" s="32" t="s">
        <v>19</v>
      </c>
      <c r="D33" s="122">
        <f>E77</f>
        <v>815.85555555555561</v>
      </c>
      <c r="E33" s="111">
        <f>D33*PRICE_PER_THERM_2018_NATURALGAS</f>
        <v>1315.9750111111114</v>
      </c>
      <c r="F33" s="111">
        <f t="shared" ref="F33:F34" si="2">E116</f>
        <v>16130</v>
      </c>
    </row>
    <row r="34" spans="2:14" x14ac:dyDescent="0.2">
      <c r="B34" s="16"/>
      <c r="C34" s="32" t="s">
        <v>20</v>
      </c>
      <c r="D34" s="122">
        <f>E78</f>
        <v>772.9157894736843</v>
      </c>
      <c r="E34" s="111">
        <f>D34*PRICE_PER_THERM_2018_NATURALGAS</f>
        <v>1246.7131684210528</v>
      </c>
      <c r="F34" s="111">
        <f t="shared" si="2"/>
        <v>16130</v>
      </c>
    </row>
    <row r="35" spans="2:14" x14ac:dyDescent="0.2">
      <c r="B35" s="16"/>
    </row>
    <row r="36" spans="2:14" ht="12.75" thickBot="1" x14ac:dyDescent="0.25">
      <c r="B36" s="16"/>
      <c r="C36" s="34" t="s">
        <v>28</v>
      </c>
      <c r="D36" s="34"/>
      <c r="E36" s="33"/>
      <c r="F36" s="33"/>
    </row>
    <row r="37" spans="2:14" ht="34.5" thickBot="1" x14ac:dyDescent="0.25">
      <c r="B37" s="16"/>
      <c r="C37" s="89" t="s">
        <v>127</v>
      </c>
      <c r="D37" s="281" t="s">
        <v>756</v>
      </c>
      <c r="E37" s="281" t="s">
        <v>326</v>
      </c>
      <c r="F37" s="421"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34.5" thickBot="1" x14ac:dyDescent="0.25">
      <c r="B43" s="16"/>
      <c r="C43" s="89" t="s">
        <v>127</v>
      </c>
      <c r="D43" s="281" t="s">
        <v>756</v>
      </c>
      <c r="E43" s="281" t="s">
        <v>326</v>
      </c>
      <c r="F43" s="421" t="s">
        <v>1532</v>
      </c>
    </row>
    <row r="44" spans="2:14" x14ac:dyDescent="0.2">
      <c r="B44" s="16"/>
      <c r="C44" s="32" t="s">
        <v>6</v>
      </c>
      <c r="D44" s="40">
        <v>0</v>
      </c>
      <c r="E44" s="39">
        <v>0</v>
      </c>
      <c r="F44" s="39">
        <v>0</v>
      </c>
      <c r="G44" s="7" t="s">
        <v>128</v>
      </c>
    </row>
    <row r="45" spans="2:14" x14ac:dyDescent="0.2">
      <c r="B45" s="16"/>
      <c r="C45" s="32" t="s">
        <v>19</v>
      </c>
      <c r="D45" s="40">
        <v>0</v>
      </c>
      <c r="E45" s="39">
        <v>0</v>
      </c>
      <c r="F45" s="39">
        <v>0</v>
      </c>
    </row>
    <row r="46" spans="2:14" x14ac:dyDescent="0.2">
      <c r="B46" s="16"/>
      <c r="C46" s="32" t="s">
        <v>20</v>
      </c>
      <c r="D46" s="40">
        <v>0</v>
      </c>
      <c r="E46" s="39">
        <v>0</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v>
      </c>
      <c r="E51" s="690"/>
      <c r="F51" s="693" t="str">
        <f>INDEX(Tbl_EquipmentDefinitions[Natural Gas Code Efficiency],MATCH($E$13,Tbl_EquipmentDefinitions[Equipment ID],0))</f>
        <v>90% AFUE</v>
      </c>
      <c r="G51" s="690"/>
      <c r="H51" s="693" t="str">
        <f>INDEX(Tbl_EquipmentDefinitions[Propane Code Efficiency],MATCH($E$13,Tbl_EquipmentDefinitions[Equipment ID],0))</f>
        <v>-</v>
      </c>
      <c r="I51" s="690"/>
      <c r="J51" s="693" t="str">
        <f>INDEX(Tbl_EquipmentDefinitions[Oil Code Efficiency],MATCH($E$13,Tbl_EquipmentDefinitions[Equipment ID],0))</f>
        <v>-</v>
      </c>
      <c r="K51" s="690"/>
    </row>
    <row r="52" spans="2:14" ht="12.75" x14ac:dyDescent="0.2">
      <c r="B52" s="16"/>
      <c r="C52" s="30" t="s">
        <v>153</v>
      </c>
      <c r="D52" s="689" t="str">
        <f>INDEX(Tbl_EquipmentDefinitions[Electricity Low Measure Efficiency],MATCH($E$13,Tbl_EquipmentDefinitions[Equipment ID],0))</f>
        <v>-</v>
      </c>
      <c r="E52" s="690"/>
      <c r="F52" s="689" t="str">
        <f>INDEX(Tbl_EquipmentDefinitions[Natural Gas Low Measure Efficiency],MATCH($E$13,Tbl_EquipmentDefinitions[Equipment ID],0))</f>
        <v>90% AFUE</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v>
      </c>
      <c r="E53" s="690"/>
      <c r="F53" s="689" t="str">
        <f>INDEX(Tbl_EquipmentDefinitions[Natural Gas High Measure Efficiency],MATCH($E$13,Tbl_EquipmentDefinitions[Equipment ID],0))</f>
        <v>95% AFUE</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163" t="s">
        <v>131</v>
      </c>
      <c r="D58" s="691" t="s">
        <v>132</v>
      </c>
      <c r="E58" s="692"/>
      <c r="F58" s="692"/>
      <c r="G58" s="692"/>
    </row>
    <row r="59" spans="2:14" x14ac:dyDescent="0.2">
      <c r="B59" s="16"/>
      <c r="C59" s="32" t="s">
        <v>386</v>
      </c>
      <c r="D59" s="698" t="s">
        <v>316</v>
      </c>
      <c r="E59" s="699"/>
      <c r="F59" s="699"/>
      <c r="G59" s="699"/>
      <c r="H59" s="94" t="s">
        <v>317</v>
      </c>
    </row>
    <row r="60" spans="2:14" x14ac:dyDescent="0.2">
      <c r="B60" s="16"/>
      <c r="C60" s="32" t="s">
        <v>436</v>
      </c>
      <c r="D60" s="698" t="s">
        <v>437</v>
      </c>
      <c r="E60" s="699"/>
      <c r="F60" s="699"/>
      <c r="G60" s="699"/>
    </row>
    <row r="61" spans="2:14" x14ac:dyDescent="0.2">
      <c r="B61" s="16"/>
      <c r="C61" s="32" t="s">
        <v>438</v>
      </c>
      <c r="D61" s="698" t="s">
        <v>439</v>
      </c>
      <c r="E61" s="699"/>
      <c r="F61" s="699"/>
      <c r="G61" s="699"/>
    </row>
    <row r="62" spans="2:14" x14ac:dyDescent="0.2">
      <c r="B62" s="16"/>
    </row>
    <row r="64" spans="2:14" ht="13.5" thickBot="1" x14ac:dyDescent="0.25">
      <c r="B64" s="9" t="s">
        <v>129</v>
      </c>
      <c r="C64" s="9"/>
      <c r="D64" s="9"/>
      <c r="E64" s="9"/>
      <c r="F64" s="9"/>
      <c r="G64" s="9"/>
      <c r="H64" s="9"/>
      <c r="I64" s="9"/>
      <c r="J64" s="9"/>
      <c r="K64" s="9"/>
      <c r="L64" s="9"/>
      <c r="M64" s="9"/>
      <c r="N64" s="9"/>
    </row>
    <row r="65" spans="2:7" x14ac:dyDescent="0.2">
      <c r="B65" s="15"/>
    </row>
    <row r="66" spans="2:7" x14ac:dyDescent="0.2">
      <c r="B66" s="16"/>
      <c r="C66" s="6" t="s">
        <v>453</v>
      </c>
    </row>
    <row r="67" spans="2:7" x14ac:dyDescent="0.2">
      <c r="B67" s="16"/>
      <c r="C67" s="6" t="s">
        <v>454</v>
      </c>
    </row>
    <row r="68" spans="2:7" x14ac:dyDescent="0.2">
      <c r="B68" s="16"/>
    </row>
    <row r="69" spans="2:7" ht="12.75" x14ac:dyDescent="0.2">
      <c r="B69" s="16"/>
      <c r="D69" s="95" t="s">
        <v>155</v>
      </c>
      <c r="E69" s="140">
        <f>D18</f>
        <v>62.12700000000001</v>
      </c>
      <c r="F69" s="6" t="s">
        <v>381</v>
      </c>
      <c r="G69" s="6" t="s">
        <v>382</v>
      </c>
    </row>
    <row r="70" spans="2:7" ht="12.75" x14ac:dyDescent="0.2">
      <c r="B70" s="16"/>
      <c r="D70" s="95" t="s">
        <v>244</v>
      </c>
      <c r="E70" s="140">
        <f>D20</f>
        <v>11.3</v>
      </c>
      <c r="F70" s="6" t="s">
        <v>381</v>
      </c>
      <c r="G70" s="6" t="s">
        <v>382</v>
      </c>
    </row>
    <row r="71" spans="2:7" ht="12.75" x14ac:dyDescent="0.2">
      <c r="B71" s="16"/>
      <c r="D71" s="95"/>
    </row>
    <row r="72" spans="2:7" ht="12.75" x14ac:dyDescent="0.2">
      <c r="B72" s="16"/>
      <c r="D72" s="95" t="s">
        <v>159</v>
      </c>
      <c r="E72" s="150">
        <v>0.9</v>
      </c>
      <c r="F72" s="6" t="s">
        <v>158</v>
      </c>
      <c r="G72" s="45" t="s">
        <v>371</v>
      </c>
    </row>
    <row r="73" spans="2:7" ht="12.75" x14ac:dyDescent="0.2">
      <c r="B73" s="16"/>
      <c r="D73" s="95" t="s">
        <v>180</v>
      </c>
      <c r="E73" s="150">
        <v>0.9</v>
      </c>
      <c r="F73" s="6" t="s">
        <v>158</v>
      </c>
      <c r="G73" s="8"/>
    </row>
    <row r="74" spans="2:7" ht="12.75" x14ac:dyDescent="0.2">
      <c r="B74" s="16"/>
      <c r="D74" s="95" t="s">
        <v>181</v>
      </c>
      <c r="E74" s="150">
        <v>0.95</v>
      </c>
      <c r="F74" s="6" t="s">
        <v>158</v>
      </c>
      <c r="G74" s="8"/>
    </row>
    <row r="75" spans="2:7" ht="12.75" x14ac:dyDescent="0.2">
      <c r="B75" s="16"/>
      <c r="D75" s="95"/>
    </row>
    <row r="76" spans="2:7" ht="12.75" x14ac:dyDescent="0.2">
      <c r="B76" s="16"/>
      <c r="D76" s="95" t="s">
        <v>430</v>
      </c>
      <c r="E76" s="41">
        <f>Therm_per_MMBtu*($E$69+$E$70)/E72</f>
        <v>815.85555555555561</v>
      </c>
      <c r="F76" s="6" t="s">
        <v>372</v>
      </c>
      <c r="G76" s="45" t="s">
        <v>305</v>
      </c>
    </row>
    <row r="77" spans="2:7" ht="12.75" x14ac:dyDescent="0.2">
      <c r="B77" s="16"/>
      <c r="D77" s="95" t="s">
        <v>431</v>
      </c>
      <c r="E77" s="41">
        <f>Therm_per_MMBtu*($E$69+$E$70)/E73</f>
        <v>815.85555555555561</v>
      </c>
      <c r="F77" s="6" t="s">
        <v>372</v>
      </c>
    </row>
    <row r="78" spans="2:7" ht="12.75" x14ac:dyDescent="0.2">
      <c r="B78" s="16"/>
      <c r="D78" s="95" t="s">
        <v>432</v>
      </c>
      <c r="E78" s="41">
        <f>Therm_per_MMBtu*($E$69+$E$70)/E74</f>
        <v>772.9157894736843</v>
      </c>
      <c r="F78" s="6" t="s">
        <v>372</v>
      </c>
    </row>
    <row r="79" spans="2:7" ht="12.75" x14ac:dyDescent="0.2">
      <c r="B79" s="16"/>
      <c r="D79" s="95"/>
    </row>
    <row r="80" spans="2:7" ht="12.75" x14ac:dyDescent="0.2">
      <c r="B80" s="16"/>
      <c r="D80" s="154" t="s">
        <v>408</v>
      </c>
      <c r="E80" s="88">
        <v>329</v>
      </c>
      <c r="F80" s="6" t="s">
        <v>434</v>
      </c>
      <c r="G80" s="6" t="s">
        <v>461</v>
      </c>
    </row>
    <row r="81" spans="2:7" ht="12.75" x14ac:dyDescent="0.2">
      <c r="B81" s="16"/>
      <c r="D81" s="154" t="s">
        <v>409</v>
      </c>
      <c r="E81" s="88">
        <v>329</v>
      </c>
      <c r="F81" s="6" t="s">
        <v>434</v>
      </c>
      <c r="G81" s="6" t="s">
        <v>461</v>
      </c>
    </row>
    <row r="82" spans="2:7" ht="12.75" x14ac:dyDescent="0.2">
      <c r="B82" s="16"/>
      <c r="D82" s="154" t="s">
        <v>433</v>
      </c>
      <c r="E82" s="88">
        <v>312</v>
      </c>
      <c r="F82" s="6" t="s">
        <v>434</v>
      </c>
      <c r="G82" s="6" t="s">
        <v>461</v>
      </c>
    </row>
    <row r="83" spans="2:7" x14ac:dyDescent="0.2">
      <c r="B83" s="16"/>
      <c r="D83" s="155"/>
    </row>
    <row r="84" spans="2:7" x14ac:dyDescent="0.2">
      <c r="B84" s="16"/>
      <c r="D84" s="156" t="s">
        <v>422</v>
      </c>
      <c r="E84" s="146">
        <f>AVERAGE(530,984,1329,1329)</f>
        <v>1043</v>
      </c>
      <c r="F84" s="6" t="s">
        <v>397</v>
      </c>
      <c r="G84" s="6" t="s">
        <v>423</v>
      </c>
    </row>
    <row r="85" spans="2:7" x14ac:dyDescent="0.2">
      <c r="B85" s="16"/>
      <c r="D85" s="155"/>
    </row>
    <row r="86" spans="2:7" x14ac:dyDescent="0.2">
      <c r="B86" s="16"/>
      <c r="D86" s="6" t="s">
        <v>740</v>
      </c>
    </row>
    <row r="87" spans="2:7" x14ac:dyDescent="0.2">
      <c r="B87" s="16"/>
      <c r="D87" s="155" t="s">
        <v>949</v>
      </c>
      <c r="E87" s="146">
        <v>0.16</v>
      </c>
    </row>
    <row r="88" spans="2:7" x14ac:dyDescent="0.2">
      <c r="B88" s="16"/>
      <c r="D88" s="155"/>
    </row>
    <row r="89" spans="2:7" x14ac:dyDescent="0.2">
      <c r="B89" s="16"/>
      <c r="D89" s="156" t="s">
        <v>1107</v>
      </c>
      <c r="E89" s="145">
        <f>$E$87*E80/$E$84</f>
        <v>5.0469798657718119E-2</v>
      </c>
      <c r="F89" s="5" t="s">
        <v>176</v>
      </c>
    </row>
    <row r="90" spans="2:7" x14ac:dyDescent="0.2">
      <c r="B90" s="16"/>
      <c r="D90" s="156" t="s">
        <v>1117</v>
      </c>
      <c r="E90" s="145">
        <f>$E$87*E81/$E$84</f>
        <v>5.0469798657718119E-2</v>
      </c>
      <c r="F90" s="5" t="s">
        <v>176</v>
      </c>
    </row>
    <row r="91" spans="2:7" x14ac:dyDescent="0.2">
      <c r="B91" s="16"/>
      <c r="D91" s="156" t="s">
        <v>1118</v>
      </c>
      <c r="E91" s="145">
        <f>$E$87*E82/$E$84</f>
        <v>4.7861936720997124E-2</v>
      </c>
      <c r="F91" s="5" t="s">
        <v>176</v>
      </c>
    </row>
    <row r="92" spans="2:7" x14ac:dyDescent="0.2">
      <c r="B92" s="16"/>
    </row>
    <row r="93" spans="2:7" x14ac:dyDescent="0.2">
      <c r="B93" s="16"/>
      <c r="D93" s="6" t="s">
        <v>976</v>
      </c>
    </row>
    <row r="94" spans="2:7" x14ac:dyDescent="0.2">
      <c r="B94" s="16"/>
      <c r="D94" s="6" t="s">
        <v>977</v>
      </c>
      <c r="F94" s="5"/>
    </row>
    <row r="95" spans="2:7" x14ac:dyDescent="0.2">
      <c r="B95" s="16"/>
      <c r="D95" s="156" t="s">
        <v>1109</v>
      </c>
      <c r="E95" s="387">
        <v>0</v>
      </c>
      <c r="F95" s="5" t="s">
        <v>176</v>
      </c>
    </row>
    <row r="96" spans="2:7" x14ac:dyDescent="0.2">
      <c r="B96" s="16"/>
      <c r="D96" s="156" t="s">
        <v>1119</v>
      </c>
      <c r="E96" s="387">
        <v>0</v>
      </c>
      <c r="F96" s="5" t="s">
        <v>176</v>
      </c>
    </row>
    <row r="97" spans="2:7" x14ac:dyDescent="0.2">
      <c r="B97" s="16"/>
      <c r="D97" s="156" t="s">
        <v>1120</v>
      </c>
      <c r="E97" s="387">
        <v>0</v>
      </c>
      <c r="F97" s="5" t="s">
        <v>176</v>
      </c>
    </row>
    <row r="98" spans="2:7" x14ac:dyDescent="0.2">
      <c r="B98" s="16"/>
    </row>
    <row r="99" spans="2:7" x14ac:dyDescent="0.2">
      <c r="B99" s="16"/>
    </row>
    <row r="100" spans="2:7" ht="12.75" x14ac:dyDescent="0.2">
      <c r="B100" s="16"/>
      <c r="C100" s="36" t="s">
        <v>1181</v>
      </c>
      <c r="D100" s="41" t="str">
        <f>INPUT_INCLUDEGASLINE</f>
        <v>Yes</v>
      </c>
    </row>
    <row r="101" spans="2:7" ht="12.75" x14ac:dyDescent="0.2">
      <c r="B101" s="16"/>
      <c r="C101" s="36" t="s">
        <v>1182</v>
      </c>
      <c r="D101" s="233">
        <f>IF(D100="No",0,INPUT_GASLINECOST)</f>
        <v>5600</v>
      </c>
      <c r="E101" s="188" t="s">
        <v>1180</v>
      </c>
    </row>
    <row r="102" spans="2:7" x14ac:dyDescent="0.2">
      <c r="B102" s="16"/>
    </row>
    <row r="103" spans="2:7" x14ac:dyDescent="0.2">
      <c r="B103" s="16"/>
      <c r="C103" s="109" t="s">
        <v>1187</v>
      </c>
    </row>
    <row r="104" spans="2:7" x14ac:dyDescent="0.2">
      <c r="B104" s="16"/>
      <c r="C104" s="109" t="s">
        <v>457</v>
      </c>
    </row>
    <row r="105" spans="2:7" x14ac:dyDescent="0.2">
      <c r="B105" s="16"/>
      <c r="C105" s="109" t="s">
        <v>458</v>
      </c>
    </row>
    <row r="106" spans="2:7" x14ac:dyDescent="0.2">
      <c r="B106" s="16"/>
      <c r="C106" s="109" t="s">
        <v>459</v>
      </c>
    </row>
    <row r="107" spans="2:7" x14ac:dyDescent="0.2">
      <c r="B107" s="16"/>
      <c r="C107" s="109" t="s">
        <v>460</v>
      </c>
    </row>
    <row r="108" spans="2:7" ht="12.75" x14ac:dyDescent="0.2">
      <c r="B108" s="16"/>
      <c r="D108" s="95" t="s">
        <v>1183</v>
      </c>
      <c r="E108" s="108">
        <v>10530</v>
      </c>
      <c r="F108" s="6" t="s">
        <v>164</v>
      </c>
      <c r="G108" s="6" t="s">
        <v>455</v>
      </c>
    </row>
    <row r="109" spans="2:7" ht="12.75" x14ac:dyDescent="0.2">
      <c r="B109" s="16"/>
      <c r="D109" s="95" t="s">
        <v>1184</v>
      </c>
      <c r="E109" s="108">
        <v>10530</v>
      </c>
      <c r="F109" s="6" t="s">
        <v>164</v>
      </c>
      <c r="G109" s="6" t="s">
        <v>455</v>
      </c>
    </row>
    <row r="110" spans="2:7" ht="12.75" x14ac:dyDescent="0.2">
      <c r="B110" s="16"/>
      <c r="D110" s="95" t="s">
        <v>1185</v>
      </c>
      <c r="E110" s="108">
        <v>10530</v>
      </c>
      <c r="F110" s="6" t="s">
        <v>164</v>
      </c>
      <c r="G110" s="6" t="s">
        <v>456</v>
      </c>
    </row>
    <row r="111" spans="2:7" x14ac:dyDescent="0.2">
      <c r="B111" s="16"/>
    </row>
    <row r="112" spans="2:7" ht="12.75" x14ac:dyDescent="0.2">
      <c r="B112" s="16"/>
      <c r="C112" s="420" t="s">
        <v>1196</v>
      </c>
      <c r="D112" s="146">
        <v>0</v>
      </c>
      <c r="E112" s="188" t="s">
        <v>1180</v>
      </c>
      <c r="F112" s="8" t="s">
        <v>1340</v>
      </c>
    </row>
    <row r="113" spans="2:14" x14ac:dyDescent="0.2">
      <c r="B113" s="16"/>
    </row>
    <row r="114" spans="2:14" x14ac:dyDescent="0.2">
      <c r="B114" s="16"/>
      <c r="C114" s="6" t="s">
        <v>324</v>
      </c>
    </row>
    <row r="115" spans="2:14" ht="12.75" x14ac:dyDescent="0.2">
      <c r="B115" s="16"/>
      <c r="D115" s="95" t="s">
        <v>331</v>
      </c>
      <c r="E115" s="42">
        <f>E108+$D$101+$D$112</f>
        <v>16130</v>
      </c>
      <c r="F115" s="6" t="s">
        <v>164</v>
      </c>
    </row>
    <row r="116" spans="2:14" ht="12.75" x14ac:dyDescent="0.2">
      <c r="B116" s="16"/>
      <c r="D116" s="95" t="s">
        <v>332</v>
      </c>
      <c r="E116" s="42">
        <f>E109+$D$101+$D$112</f>
        <v>16130</v>
      </c>
      <c r="F116" s="6" t="s">
        <v>164</v>
      </c>
    </row>
    <row r="117" spans="2:14" ht="12.75" x14ac:dyDescent="0.2">
      <c r="B117" s="16"/>
      <c r="D117" s="95" t="s">
        <v>393</v>
      </c>
      <c r="E117" s="42">
        <f>E110+$D$101+$D$112</f>
        <v>16130</v>
      </c>
      <c r="F117" s="6" t="s">
        <v>164</v>
      </c>
    </row>
    <row r="118" spans="2:14" x14ac:dyDescent="0.2">
      <c r="B118" s="16"/>
    </row>
    <row r="119" spans="2:14" x14ac:dyDescent="0.2">
      <c r="B119" s="16"/>
    </row>
    <row r="121" spans="2:14" ht="13.5" thickBot="1" x14ac:dyDescent="0.25">
      <c r="B121" s="9" t="s">
        <v>322</v>
      </c>
      <c r="C121" s="9"/>
      <c r="D121" s="9"/>
      <c r="E121" s="9"/>
      <c r="F121" s="9"/>
      <c r="G121" s="9"/>
      <c r="H121" s="9"/>
      <c r="I121" s="9"/>
      <c r="J121" s="9"/>
      <c r="K121" s="9"/>
      <c r="L121" s="9"/>
      <c r="M121" s="9"/>
      <c r="N121" s="9"/>
    </row>
    <row r="122" spans="2:14" x14ac:dyDescent="0.2">
      <c r="B122" s="16"/>
    </row>
    <row r="123" spans="2:14" x14ac:dyDescent="0.2">
      <c r="B123" s="16"/>
    </row>
    <row r="124" spans="2:14" x14ac:dyDescent="0.2">
      <c r="B124" s="16"/>
    </row>
    <row r="125" spans="2:14" x14ac:dyDescent="0.2">
      <c r="B125" s="16"/>
    </row>
    <row r="126" spans="2:14" x14ac:dyDescent="0.2">
      <c r="B126" s="16"/>
    </row>
    <row r="127" spans="2:14" x14ac:dyDescent="0.2">
      <c r="B127" s="16"/>
    </row>
    <row r="128" spans="2:14" x14ac:dyDescent="0.2">
      <c r="B128" s="16"/>
    </row>
    <row r="129" spans="2:2" x14ac:dyDescent="0.2">
      <c r="B129" s="16"/>
    </row>
    <row r="130" spans="2:2" x14ac:dyDescent="0.2">
      <c r="B130" s="16"/>
    </row>
    <row r="131" spans="2:2" x14ac:dyDescent="0.2">
      <c r="B131" s="16"/>
    </row>
    <row r="132" spans="2:2" x14ac:dyDescent="0.2">
      <c r="B132" s="16"/>
    </row>
    <row r="133" spans="2:2" x14ac:dyDescent="0.2">
      <c r="B133" s="16"/>
    </row>
    <row r="134" spans="2:2" x14ac:dyDescent="0.2">
      <c r="B134" s="16"/>
    </row>
    <row r="135" spans="2:2" x14ac:dyDescent="0.2">
      <c r="B135" s="16"/>
    </row>
    <row r="136" spans="2:2" x14ac:dyDescent="0.2">
      <c r="B136" s="16"/>
    </row>
    <row r="137" spans="2:2" x14ac:dyDescent="0.2">
      <c r="B137" s="16"/>
    </row>
    <row r="138" spans="2:2" x14ac:dyDescent="0.2">
      <c r="B138" s="16"/>
    </row>
    <row r="139" spans="2:2" x14ac:dyDescent="0.2">
      <c r="B139" s="16"/>
    </row>
    <row r="140" spans="2:2" x14ac:dyDescent="0.2">
      <c r="B140" s="16"/>
    </row>
    <row r="141" spans="2:2" x14ac:dyDescent="0.2">
      <c r="B141" s="16"/>
    </row>
    <row r="142" spans="2:2" x14ac:dyDescent="0.2">
      <c r="B142" s="16"/>
    </row>
    <row r="143" spans="2:2" x14ac:dyDescent="0.2">
      <c r="B143" s="16"/>
    </row>
    <row r="144" spans="2:2" x14ac:dyDescent="0.2">
      <c r="B144" s="16"/>
    </row>
    <row r="145" spans="2:2" x14ac:dyDescent="0.2">
      <c r="B145" s="16"/>
    </row>
    <row r="146" spans="2:2" x14ac:dyDescent="0.2">
      <c r="B146" s="16"/>
    </row>
    <row r="147" spans="2:2" x14ac:dyDescent="0.2">
      <c r="B147" s="16"/>
    </row>
    <row r="148" spans="2:2" x14ac:dyDescent="0.2">
      <c r="B148" s="16"/>
    </row>
    <row r="149" spans="2:2" x14ac:dyDescent="0.2">
      <c r="B149" s="16"/>
    </row>
    <row r="150" spans="2:2" x14ac:dyDescent="0.2">
      <c r="B150" s="16"/>
    </row>
    <row r="151" spans="2:2" x14ac:dyDescent="0.2">
      <c r="B151" s="16"/>
    </row>
    <row r="152" spans="2:2" x14ac:dyDescent="0.2">
      <c r="B152" s="16"/>
    </row>
    <row r="153" spans="2:2" x14ac:dyDescent="0.2">
      <c r="B153" s="16"/>
    </row>
    <row r="154" spans="2:2" x14ac:dyDescent="0.2">
      <c r="B154" s="16"/>
    </row>
    <row r="155" spans="2:2" x14ac:dyDescent="0.2">
      <c r="B155" s="16"/>
    </row>
    <row r="156" spans="2:2" x14ac:dyDescent="0.2">
      <c r="B156" s="16"/>
    </row>
    <row r="157" spans="2:2" x14ac:dyDescent="0.2">
      <c r="B157" s="16"/>
    </row>
    <row r="158" spans="2:2" x14ac:dyDescent="0.2">
      <c r="B158" s="16"/>
    </row>
    <row r="159" spans="2:2" x14ac:dyDescent="0.2">
      <c r="B159" s="16"/>
    </row>
    <row r="160" spans="2:2" x14ac:dyDescent="0.2">
      <c r="B160" s="16"/>
    </row>
    <row r="161" spans="2:2" x14ac:dyDescent="0.2">
      <c r="B161" s="16"/>
    </row>
    <row r="162" spans="2:2" x14ac:dyDescent="0.2">
      <c r="B162" s="16"/>
    </row>
    <row r="163" spans="2:2" x14ac:dyDescent="0.2">
      <c r="B163" s="16"/>
    </row>
    <row r="164" spans="2:2" x14ac:dyDescent="0.2">
      <c r="B164" s="16"/>
    </row>
    <row r="165" spans="2:2" x14ac:dyDescent="0.2">
      <c r="B165" s="16"/>
    </row>
  </sheetData>
  <mergeCells count="20">
    <mergeCell ref="D59:G59"/>
    <mergeCell ref="D60:G60"/>
    <mergeCell ref="D61:G61"/>
    <mergeCell ref="D52:E52"/>
    <mergeCell ref="F52:G52"/>
    <mergeCell ref="D53:E53"/>
    <mergeCell ref="F53:G53"/>
    <mergeCell ref="D58:G58"/>
    <mergeCell ref="D50:E50"/>
    <mergeCell ref="F50:G50"/>
    <mergeCell ref="H50:I50"/>
    <mergeCell ref="J50:K50"/>
    <mergeCell ref="H53:I53"/>
    <mergeCell ref="J53:K53"/>
    <mergeCell ref="D51:E51"/>
    <mergeCell ref="F51:G51"/>
    <mergeCell ref="H51:I51"/>
    <mergeCell ref="J51:K51"/>
    <mergeCell ref="H52:I52"/>
    <mergeCell ref="J52:K52"/>
  </mergeCells>
  <dataValidations disablePrompts="1" count="2">
    <dataValidation type="list" allowBlank="1" showInputMessage="1" showErrorMessage="1" sqref="D9">
      <formula1>DEFINED_MEASURES</formula1>
    </dataValidation>
    <dataValidation type="list" allowBlank="1" showInputMessage="1" showErrorMessage="1" sqref="D5">
      <formula1>"1. Not Started,2. Analyzing,3. Ready"</formula1>
    </dataValidation>
  </dataValidations>
  <hyperlinks>
    <hyperlink ref="H59" r:id="rId1"/>
  </hyperlinks>
  <pageMargins left="0.7" right="0.7" top="0.75" bottom="0.75" header="0.3" footer="0.3"/>
  <pageSetup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3"/>
  </sheetPr>
  <dimension ref="A1:AD165"/>
  <sheetViews>
    <sheetView workbookViewId="0"/>
  </sheetViews>
  <sheetFormatPr defaultColWidth="9.33203125" defaultRowHeight="11.25" x14ac:dyDescent="0.2"/>
  <cols>
    <col min="1" max="2" width="3.33203125" style="6" customWidth="1"/>
    <col min="3" max="3" width="22.6640625" style="6" bestFit="1" customWidth="1"/>
    <col min="4" max="4" width="14.33203125" style="6" customWidth="1"/>
    <col min="5" max="5" width="18.83203125" style="6" customWidth="1"/>
    <col min="6" max="6" width="15" style="6" customWidth="1"/>
    <col min="7" max="7" width="13.5" style="6" customWidth="1"/>
    <col min="8" max="8" width="14.5" style="6" customWidth="1"/>
    <col min="9" max="9" width="22.33203125" style="6" bestFit="1" customWidth="1"/>
    <col min="10" max="10" width="20.5" style="6" bestFit="1" customWidth="1"/>
    <col min="11"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93" t="s">
        <v>102</v>
      </c>
      <c r="E9" s="7" t="s">
        <v>290</v>
      </c>
    </row>
    <row r="10" spans="1:30" ht="12.75" x14ac:dyDescent="0.2">
      <c r="B10" s="16"/>
      <c r="C10" s="30" t="s">
        <v>289</v>
      </c>
      <c r="D10" s="83" t="str">
        <f>INDEX(Tbl_MeasureList[Baseline ID],MATCH($D$9,Tbl_MeasureList[Measure ID],0))</f>
        <v>BASE13</v>
      </c>
      <c r="E10" s="7"/>
    </row>
    <row r="11" spans="1:30" x14ac:dyDescent="0.2">
      <c r="B11" s="16"/>
      <c r="C11" s="7"/>
      <c r="D11" s="7"/>
      <c r="E11" s="7"/>
    </row>
    <row r="12" spans="1:30" ht="12" thickBot="1" x14ac:dyDescent="0.25">
      <c r="B12" s="16"/>
      <c r="C12" s="7"/>
      <c r="D12" s="89" t="s">
        <v>5</v>
      </c>
      <c r="E12" s="89" t="s">
        <v>284</v>
      </c>
    </row>
    <row r="13" spans="1:30" x14ac:dyDescent="0.2">
      <c r="B13" s="16"/>
      <c r="C13" s="32" t="s">
        <v>2</v>
      </c>
      <c r="D13" s="84" t="str">
        <f>INDEX(Tbl_MeasureList[Baseline Equipment ID],MATCH($D$9,Tbl_MeasureList[Measure ID],0))</f>
        <v>EQUI024</v>
      </c>
      <c r="E13" s="84" t="str">
        <f>INDEX(Tbl_MeasureList[Replacement ID],MATCH($D$9,Tbl_MeasureList[Measure ID],0))</f>
        <v>EQUI022</v>
      </c>
      <c r="F13" s="7"/>
    </row>
    <row r="14" spans="1:30" x14ac:dyDescent="0.2">
      <c r="B14" s="16"/>
      <c r="C14" s="32" t="s">
        <v>4</v>
      </c>
      <c r="D14" s="85" t="str">
        <f>INDEX(Tbl_EquipmentDefinitions[[Equipment Name]:[Equipment Name]],MATCH(D$13,Tbl_EquipmentDefinitions[[Equipment ID]:[Equipment ID]],0))</f>
        <v>Oil Boiler+Storage WH</v>
      </c>
      <c r="E14" s="85" t="str">
        <f>INDEX(Tbl_EquipmentDefinitions[[Equipment Name]:[Equipment Name]],MATCH(E$13,Tbl_EquipmentDefinitions[[Equipment ID]:[Equipment ID]],0))</f>
        <v>Gas Combination Boiler</v>
      </c>
      <c r="F14" s="7"/>
    </row>
    <row r="15" spans="1:30" x14ac:dyDescent="0.2">
      <c r="B15" s="16"/>
      <c r="C15" s="32" t="s">
        <v>24</v>
      </c>
      <c r="D15" s="84" t="str">
        <f>INDEX(Tbl_EquipmentDefinitions[[Function]:[Function]],MATCH(D$13,Tbl_EquipmentDefinitions[[Equipment ID]:[Equipment ID]],0))</f>
        <v>Heat+HW</v>
      </c>
      <c r="E15" s="84" t="str">
        <f>INDEX(Tbl_EquipmentDefinitions[[Function]:[Function]],MATCH(E$13,Tbl_EquipmentDefinitions[[Equipment ID]:[Equipment ID]],0))</f>
        <v>Heat+HW</v>
      </c>
      <c r="F15" s="7"/>
    </row>
    <row r="16" spans="1:30" x14ac:dyDescent="0.2">
      <c r="B16" s="16"/>
      <c r="C16" s="32" t="s">
        <v>7</v>
      </c>
      <c r="D16" s="85" t="str">
        <f>INDEX(Tbl_EquipmentDefinitions[[Fuel Type]:[Fuel Type]],MATCH(D$13,Tbl_EquipmentDefinitions[[Equipment ID]:[Equipment ID]],0))</f>
        <v>Oil</v>
      </c>
      <c r="E16" s="85" t="str">
        <f>INDEX(Tbl_EquipmentDefinitions[[Fuel Type]:[Fuel Type]],MATCH(E$13,Tbl_EquipmentDefinitions[[Equipment ID]:[Equipment ID]],0))</f>
        <v>Natural Gas</v>
      </c>
      <c r="F16" s="7"/>
    </row>
    <row r="17" spans="2:14" x14ac:dyDescent="0.2">
      <c r="B17" s="16"/>
      <c r="C17" s="32" t="s">
        <v>126</v>
      </c>
      <c r="D17" s="84">
        <f>IF(ISERR(SEARCH("+",D16,1)),1,2)</f>
        <v>1</v>
      </c>
      <c r="E17" s="84">
        <f>IF(ISERR(SEARCH("+",E16,1)),1,2)</f>
        <v>1</v>
      </c>
      <c r="F17" s="7"/>
    </row>
    <row r="18" spans="2:14" x14ac:dyDescent="0.2">
      <c r="B18" s="16"/>
      <c r="C18" s="32" t="s">
        <v>155</v>
      </c>
      <c r="D18" s="86">
        <f>INDEX(Tbl_BaselineSummary[Space Heating Load (MMBtu/yr)],MATCH($D$10,Tbl_BaselineSummary[Baseline ID],0))</f>
        <v>76.7</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13.9</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89" t="s">
        <v>127</v>
      </c>
      <c r="D25" s="281" t="s">
        <v>345</v>
      </c>
      <c r="E25" s="385" t="s">
        <v>956</v>
      </c>
      <c r="F25" s="281" t="s">
        <v>326</v>
      </c>
      <c r="G25" s="421" t="s">
        <v>1532</v>
      </c>
      <c r="H25" s="385" t="s">
        <v>958</v>
      </c>
      <c r="I25" s="569" t="s">
        <v>1447</v>
      </c>
      <c r="J25" s="569" t="s">
        <v>1448</v>
      </c>
      <c r="L25" s="89" t="s">
        <v>1533</v>
      </c>
      <c r="M25" s="421" t="s">
        <v>1531</v>
      </c>
    </row>
    <row r="26" spans="2:14" ht="11.25" customHeight="1" x14ac:dyDescent="0.2">
      <c r="B26" s="16"/>
      <c r="C26" s="32" t="s">
        <v>6</v>
      </c>
      <c r="D26" s="122">
        <f>E80</f>
        <v>329</v>
      </c>
      <c r="E26" s="126">
        <f>E89</f>
        <v>5.0469798657718119E-2</v>
      </c>
      <c r="F26" s="111">
        <f>D26*PRICE_PER_KWH_2018_ELECTRICITY</f>
        <v>65.0762</v>
      </c>
      <c r="G26" s="139">
        <v>0</v>
      </c>
      <c r="H26" s="404">
        <f>E95</f>
        <v>0</v>
      </c>
      <c r="I26" s="39" t="s">
        <v>1449</v>
      </c>
      <c r="J26" s="39" t="s">
        <v>1449</v>
      </c>
      <c r="L26" s="84">
        <f t="shared" ref="L26:M28" si="0">F26+E32+E38+E44</f>
        <v>1688.8295333333335</v>
      </c>
      <c r="M26" s="86">
        <f t="shared" si="0"/>
        <v>16130</v>
      </c>
    </row>
    <row r="27" spans="2:14" x14ac:dyDescent="0.2">
      <c r="B27" s="16"/>
      <c r="C27" s="32" t="s">
        <v>19</v>
      </c>
      <c r="D27" s="122">
        <f>E81</f>
        <v>329</v>
      </c>
      <c r="E27" s="126">
        <f>E90</f>
        <v>5.0469798657718119E-2</v>
      </c>
      <c r="F27" s="111">
        <f>D27*PRICE_PER_KWH_2018_ELECTRICITY</f>
        <v>65.0762</v>
      </c>
      <c r="G27" s="139">
        <v>0</v>
      </c>
      <c r="H27" s="404">
        <f t="shared" ref="H27:H28" si="1">E96</f>
        <v>0</v>
      </c>
      <c r="I27" s="39" t="s">
        <v>1449</v>
      </c>
      <c r="J27" s="39" t="s">
        <v>1449</v>
      </c>
      <c r="L27" s="84">
        <f t="shared" si="0"/>
        <v>1688.8295333333335</v>
      </c>
      <c r="M27" s="86">
        <f t="shared" si="0"/>
        <v>16130</v>
      </c>
    </row>
    <row r="28" spans="2:14" x14ac:dyDescent="0.2">
      <c r="B28" s="16"/>
      <c r="C28" s="32" t="s">
        <v>20</v>
      </c>
      <c r="D28" s="122">
        <f>E82</f>
        <v>312</v>
      </c>
      <c r="E28" s="126">
        <f>E91</f>
        <v>4.7861936720997124E-2</v>
      </c>
      <c r="F28" s="111">
        <f>D28*PRICE_PER_KWH_2018_ELECTRICITY</f>
        <v>61.7136</v>
      </c>
      <c r="G28" s="139">
        <v>0</v>
      </c>
      <c r="H28" s="404">
        <f t="shared" si="1"/>
        <v>0</v>
      </c>
      <c r="I28" s="39" t="s">
        <v>1449</v>
      </c>
      <c r="J28" s="39" t="s">
        <v>1449</v>
      </c>
      <c r="L28" s="84">
        <f t="shared" si="0"/>
        <v>1600.0062315789478</v>
      </c>
      <c r="M28" s="86">
        <f t="shared" si="0"/>
        <v>16130</v>
      </c>
    </row>
    <row r="29" spans="2:14" x14ac:dyDescent="0.2">
      <c r="B29" s="16"/>
    </row>
    <row r="30" spans="2:14" ht="12.75" thickBot="1" x14ac:dyDescent="0.25">
      <c r="B30" s="16"/>
      <c r="C30" s="34" t="s">
        <v>55</v>
      </c>
      <c r="D30" s="34"/>
      <c r="E30" s="33"/>
      <c r="F30" s="33"/>
    </row>
    <row r="31" spans="2:14" ht="34.5" thickBot="1" x14ac:dyDescent="0.25">
      <c r="B31" s="16"/>
      <c r="C31" s="89" t="s">
        <v>127</v>
      </c>
      <c r="D31" s="281" t="s">
        <v>325</v>
      </c>
      <c r="E31" s="281" t="s">
        <v>326</v>
      </c>
      <c r="F31" s="421" t="s">
        <v>1532</v>
      </c>
    </row>
    <row r="32" spans="2:14" x14ac:dyDescent="0.2">
      <c r="B32" s="16"/>
      <c r="C32" s="32" t="s">
        <v>6</v>
      </c>
      <c r="D32" s="122">
        <f>E76</f>
        <v>1006.6666666666667</v>
      </c>
      <c r="E32" s="111">
        <f>D32*PRICE_PER_THERM_2018_NATURALGAS</f>
        <v>1623.7533333333336</v>
      </c>
      <c r="F32" s="111">
        <f>E115</f>
        <v>16130</v>
      </c>
      <c r="G32" s="7" t="s">
        <v>128</v>
      </c>
    </row>
    <row r="33" spans="2:14" x14ac:dyDescent="0.2">
      <c r="B33" s="16"/>
      <c r="C33" s="32" t="s">
        <v>19</v>
      </c>
      <c r="D33" s="122">
        <f>E77</f>
        <v>1006.6666666666667</v>
      </c>
      <c r="E33" s="111">
        <f>D33*PRICE_PER_THERM_2018_NATURALGAS</f>
        <v>1623.7533333333336</v>
      </c>
      <c r="F33" s="111">
        <f t="shared" ref="F33:F34" si="2">E116</f>
        <v>16130</v>
      </c>
    </row>
    <row r="34" spans="2:14" x14ac:dyDescent="0.2">
      <c r="B34" s="16"/>
      <c r="C34" s="32" t="s">
        <v>20</v>
      </c>
      <c r="D34" s="122">
        <f>E78</f>
        <v>953.68421052631595</v>
      </c>
      <c r="E34" s="111">
        <f>D34*PRICE_PER_THERM_2018_NATURALGAS</f>
        <v>1538.2926315789477</v>
      </c>
      <c r="F34" s="111">
        <f t="shared" si="2"/>
        <v>16130</v>
      </c>
    </row>
    <row r="35" spans="2:14" x14ac:dyDescent="0.2">
      <c r="B35" s="16"/>
    </row>
    <row r="36" spans="2:14" ht="12.75" thickBot="1" x14ac:dyDescent="0.25">
      <c r="B36" s="16"/>
      <c r="C36" s="34" t="s">
        <v>28</v>
      </c>
      <c r="D36" s="34"/>
      <c r="E36" s="33"/>
      <c r="F36" s="33"/>
    </row>
    <row r="37" spans="2:14" ht="34.5" thickBot="1" x14ac:dyDescent="0.25">
      <c r="B37" s="16"/>
      <c r="C37" s="89" t="s">
        <v>127</v>
      </c>
      <c r="D37" s="281" t="s">
        <v>756</v>
      </c>
      <c r="E37" s="281" t="s">
        <v>326</v>
      </c>
      <c r="F37" s="421"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34.5" thickBot="1" x14ac:dyDescent="0.25">
      <c r="B43" s="16"/>
      <c r="C43" s="89" t="s">
        <v>127</v>
      </c>
      <c r="D43" s="281" t="s">
        <v>756</v>
      </c>
      <c r="E43" s="281" t="s">
        <v>326</v>
      </c>
      <c r="F43" s="421" t="s">
        <v>1532</v>
      </c>
    </row>
    <row r="44" spans="2:14" x14ac:dyDescent="0.2">
      <c r="B44" s="16"/>
      <c r="C44" s="32" t="s">
        <v>6</v>
      </c>
      <c r="D44" s="40">
        <v>0</v>
      </c>
      <c r="E44" s="39">
        <v>0</v>
      </c>
      <c r="F44" s="39">
        <v>0</v>
      </c>
      <c r="G44" s="7" t="s">
        <v>128</v>
      </c>
    </row>
    <row r="45" spans="2:14" x14ac:dyDescent="0.2">
      <c r="B45" s="16"/>
      <c r="C45" s="32" t="s">
        <v>19</v>
      </c>
      <c r="D45" s="40">
        <v>0</v>
      </c>
      <c r="E45" s="39">
        <v>0</v>
      </c>
      <c r="F45" s="39">
        <v>0</v>
      </c>
    </row>
    <row r="46" spans="2:14" x14ac:dyDescent="0.2">
      <c r="B46" s="16"/>
      <c r="C46" s="32" t="s">
        <v>20</v>
      </c>
      <c r="D46" s="40">
        <v>0</v>
      </c>
      <c r="E46" s="39">
        <v>0</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v>
      </c>
      <c r="E51" s="690"/>
      <c r="F51" s="693" t="str">
        <f>INDEX(Tbl_EquipmentDefinitions[Natural Gas Code Efficiency],MATCH($E$13,Tbl_EquipmentDefinitions[Equipment ID],0))</f>
        <v>90% AFUE</v>
      </c>
      <c r="G51" s="690"/>
      <c r="H51" s="693" t="str">
        <f>INDEX(Tbl_EquipmentDefinitions[Propane Code Efficiency],MATCH($E$13,Tbl_EquipmentDefinitions[Equipment ID],0))</f>
        <v>-</v>
      </c>
      <c r="I51" s="690"/>
      <c r="J51" s="693" t="str">
        <f>INDEX(Tbl_EquipmentDefinitions[Oil Code Efficiency],MATCH($E$13,Tbl_EquipmentDefinitions[Equipment ID],0))</f>
        <v>-</v>
      </c>
      <c r="K51" s="690"/>
    </row>
    <row r="52" spans="2:14" ht="12.75" x14ac:dyDescent="0.2">
      <c r="B52" s="16"/>
      <c r="C52" s="30" t="s">
        <v>153</v>
      </c>
      <c r="D52" s="689" t="str">
        <f>INDEX(Tbl_EquipmentDefinitions[Electricity Low Measure Efficiency],MATCH($E$13,Tbl_EquipmentDefinitions[Equipment ID],0))</f>
        <v>-</v>
      </c>
      <c r="E52" s="690"/>
      <c r="F52" s="689" t="str">
        <f>INDEX(Tbl_EquipmentDefinitions[Natural Gas Low Measure Efficiency],MATCH($E$13,Tbl_EquipmentDefinitions[Equipment ID],0))</f>
        <v>90% AFUE</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v>
      </c>
      <c r="E53" s="690"/>
      <c r="F53" s="689" t="str">
        <f>INDEX(Tbl_EquipmentDefinitions[Natural Gas High Measure Efficiency],MATCH($E$13,Tbl_EquipmentDefinitions[Equipment ID],0))</f>
        <v>95% AFUE</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89" t="s">
        <v>131</v>
      </c>
      <c r="D58" s="691" t="s">
        <v>132</v>
      </c>
      <c r="E58" s="692"/>
      <c r="F58" s="692"/>
      <c r="G58" s="692"/>
    </row>
    <row r="59" spans="2:14" x14ac:dyDescent="0.2">
      <c r="B59" s="16"/>
      <c r="C59" s="32" t="s">
        <v>386</v>
      </c>
      <c r="D59" s="698" t="s">
        <v>316</v>
      </c>
      <c r="E59" s="699"/>
      <c r="F59" s="699"/>
      <c r="G59" s="699"/>
      <c r="H59" s="94" t="s">
        <v>317</v>
      </c>
    </row>
    <row r="60" spans="2:14" x14ac:dyDescent="0.2">
      <c r="B60" s="16"/>
      <c r="C60" s="32" t="s">
        <v>436</v>
      </c>
      <c r="D60" s="698" t="s">
        <v>437</v>
      </c>
      <c r="E60" s="699"/>
      <c r="F60" s="699"/>
      <c r="G60" s="699"/>
    </row>
    <row r="61" spans="2:14" x14ac:dyDescent="0.2">
      <c r="B61" s="16"/>
      <c r="C61" s="32" t="s">
        <v>438</v>
      </c>
      <c r="D61" s="698" t="s">
        <v>439</v>
      </c>
      <c r="E61" s="699"/>
      <c r="F61" s="699"/>
      <c r="G61" s="699"/>
    </row>
    <row r="62" spans="2:14" x14ac:dyDescent="0.2">
      <c r="B62" s="16"/>
    </row>
    <row r="64" spans="2:14" ht="13.5" thickBot="1" x14ac:dyDescent="0.25">
      <c r="B64" s="9" t="s">
        <v>129</v>
      </c>
      <c r="C64" s="9"/>
      <c r="D64" s="9"/>
      <c r="E64" s="9"/>
      <c r="F64" s="9"/>
      <c r="G64" s="9"/>
      <c r="H64" s="9"/>
      <c r="I64" s="9"/>
      <c r="J64" s="9"/>
      <c r="K64" s="9"/>
      <c r="L64" s="9"/>
      <c r="M64" s="9"/>
      <c r="N64" s="9"/>
    </row>
    <row r="65" spans="2:7" x14ac:dyDescent="0.2">
      <c r="B65" s="15"/>
    </row>
    <row r="66" spans="2:7" x14ac:dyDescent="0.2">
      <c r="B66" s="16"/>
      <c r="C66" s="6" t="s">
        <v>453</v>
      </c>
    </row>
    <row r="67" spans="2:7" x14ac:dyDescent="0.2">
      <c r="B67" s="16"/>
      <c r="C67" s="6" t="s">
        <v>454</v>
      </c>
    </row>
    <row r="68" spans="2:7" x14ac:dyDescent="0.2">
      <c r="B68" s="16"/>
    </row>
    <row r="69" spans="2:7" ht="12.75" x14ac:dyDescent="0.2">
      <c r="B69" s="16"/>
      <c r="D69" s="95" t="s">
        <v>155</v>
      </c>
      <c r="E69" s="140">
        <f>D18</f>
        <v>76.7</v>
      </c>
      <c r="F69" s="6" t="s">
        <v>381</v>
      </c>
      <c r="G69" s="6" t="s">
        <v>382</v>
      </c>
    </row>
    <row r="70" spans="2:7" ht="12.75" x14ac:dyDescent="0.2">
      <c r="B70" s="16"/>
      <c r="D70" s="95" t="s">
        <v>244</v>
      </c>
      <c r="E70" s="140">
        <f>D20</f>
        <v>13.9</v>
      </c>
      <c r="F70" s="6" t="s">
        <v>381</v>
      </c>
      <c r="G70" s="6" t="s">
        <v>382</v>
      </c>
    </row>
    <row r="71" spans="2:7" ht="12.75" x14ac:dyDescent="0.2">
      <c r="B71" s="16"/>
      <c r="D71" s="95"/>
    </row>
    <row r="72" spans="2:7" ht="12.75" x14ac:dyDescent="0.2">
      <c r="B72" s="16"/>
      <c r="D72" s="95" t="s">
        <v>159</v>
      </c>
      <c r="E72" s="150">
        <v>0.9</v>
      </c>
      <c r="F72" s="6" t="s">
        <v>158</v>
      </c>
      <c r="G72" s="45" t="s">
        <v>371</v>
      </c>
    </row>
    <row r="73" spans="2:7" ht="12.75" x14ac:dyDescent="0.2">
      <c r="B73" s="16"/>
      <c r="D73" s="95" t="s">
        <v>180</v>
      </c>
      <c r="E73" s="150">
        <v>0.9</v>
      </c>
      <c r="F73" s="6" t="s">
        <v>158</v>
      </c>
      <c r="G73" s="8"/>
    </row>
    <row r="74" spans="2:7" ht="12.75" x14ac:dyDescent="0.2">
      <c r="B74" s="16"/>
      <c r="D74" s="95" t="s">
        <v>181</v>
      </c>
      <c r="E74" s="150">
        <v>0.95</v>
      </c>
      <c r="F74" s="6" t="s">
        <v>158</v>
      </c>
      <c r="G74" s="8"/>
    </row>
    <row r="75" spans="2:7" ht="12.75" x14ac:dyDescent="0.2">
      <c r="B75" s="16"/>
      <c r="D75" s="95"/>
    </row>
    <row r="76" spans="2:7" ht="12.75" x14ac:dyDescent="0.2">
      <c r="B76" s="16"/>
      <c r="D76" s="95" t="s">
        <v>430</v>
      </c>
      <c r="E76" s="41">
        <f>Therm_per_MMBtu*($E$69+$E$70)/E72</f>
        <v>1006.6666666666667</v>
      </c>
      <c r="F76" s="6" t="s">
        <v>372</v>
      </c>
      <c r="G76" s="45" t="s">
        <v>305</v>
      </c>
    </row>
    <row r="77" spans="2:7" ht="12.75" x14ac:dyDescent="0.2">
      <c r="B77" s="16"/>
      <c r="D77" s="95" t="s">
        <v>431</v>
      </c>
      <c r="E77" s="41">
        <f>Therm_per_MMBtu*($E$69+$E$70)/E73</f>
        <v>1006.6666666666667</v>
      </c>
      <c r="F77" s="6" t="s">
        <v>372</v>
      </c>
    </row>
    <row r="78" spans="2:7" ht="12.75" x14ac:dyDescent="0.2">
      <c r="B78" s="16"/>
      <c r="D78" s="95" t="s">
        <v>432</v>
      </c>
      <c r="E78" s="41">
        <f>Therm_per_MMBtu*($E$69+$E$70)/E74</f>
        <v>953.68421052631595</v>
      </c>
      <c r="F78" s="6" t="s">
        <v>372</v>
      </c>
    </row>
    <row r="79" spans="2:7" ht="12.75" x14ac:dyDescent="0.2">
      <c r="B79" s="16"/>
      <c r="D79" s="95"/>
    </row>
    <row r="80" spans="2:7" ht="12.75" x14ac:dyDescent="0.2">
      <c r="B80" s="16"/>
      <c r="D80" s="154" t="s">
        <v>408</v>
      </c>
      <c r="E80" s="88">
        <v>329</v>
      </c>
      <c r="F80" s="6" t="s">
        <v>434</v>
      </c>
      <c r="G80" s="6" t="s">
        <v>461</v>
      </c>
    </row>
    <row r="81" spans="2:7" ht="12.75" x14ac:dyDescent="0.2">
      <c r="B81" s="16"/>
      <c r="D81" s="154" t="s">
        <v>409</v>
      </c>
      <c r="E81" s="88">
        <v>329</v>
      </c>
      <c r="F81" s="6" t="s">
        <v>434</v>
      </c>
      <c r="G81" s="6" t="s">
        <v>461</v>
      </c>
    </row>
    <row r="82" spans="2:7" ht="12.75" x14ac:dyDescent="0.2">
      <c r="B82" s="16"/>
      <c r="D82" s="154" t="s">
        <v>433</v>
      </c>
      <c r="E82" s="88">
        <v>312</v>
      </c>
      <c r="F82" s="6" t="s">
        <v>434</v>
      </c>
      <c r="G82" s="6" t="s">
        <v>461</v>
      </c>
    </row>
    <row r="83" spans="2:7" x14ac:dyDescent="0.2">
      <c r="B83" s="16"/>
      <c r="D83" s="155"/>
    </row>
    <row r="84" spans="2:7" x14ac:dyDescent="0.2">
      <c r="B84" s="16"/>
      <c r="D84" s="156" t="s">
        <v>422</v>
      </c>
      <c r="E84" s="146">
        <f>AVERAGE(530,984,1329,1329)</f>
        <v>1043</v>
      </c>
      <c r="F84" s="6" t="s">
        <v>397</v>
      </c>
      <c r="G84" s="6" t="s">
        <v>423</v>
      </c>
    </row>
    <row r="85" spans="2:7" x14ac:dyDescent="0.2">
      <c r="B85" s="16"/>
      <c r="D85" s="155"/>
    </row>
    <row r="86" spans="2:7" x14ac:dyDescent="0.2">
      <c r="B86" s="16"/>
      <c r="D86" s="6" t="s">
        <v>740</v>
      </c>
    </row>
    <row r="87" spans="2:7" x14ac:dyDescent="0.2">
      <c r="B87" s="16"/>
      <c r="D87" s="155" t="s">
        <v>949</v>
      </c>
      <c r="E87" s="146">
        <v>0.16</v>
      </c>
    </row>
    <row r="88" spans="2:7" x14ac:dyDescent="0.2">
      <c r="B88" s="16"/>
      <c r="D88" s="155"/>
    </row>
    <row r="89" spans="2:7" x14ac:dyDescent="0.2">
      <c r="B89" s="16"/>
      <c r="D89" s="156" t="s">
        <v>1107</v>
      </c>
      <c r="E89" s="145">
        <f>$E$87*E80/$E$84</f>
        <v>5.0469798657718119E-2</v>
      </c>
      <c r="F89" s="5" t="s">
        <v>176</v>
      </c>
    </row>
    <row r="90" spans="2:7" x14ac:dyDescent="0.2">
      <c r="B90" s="16"/>
      <c r="D90" s="156" t="s">
        <v>1117</v>
      </c>
      <c r="E90" s="145">
        <f>$E$87*E81/$E$84</f>
        <v>5.0469798657718119E-2</v>
      </c>
      <c r="F90" s="5" t="s">
        <v>176</v>
      </c>
    </row>
    <row r="91" spans="2:7" x14ac:dyDescent="0.2">
      <c r="B91" s="16"/>
      <c r="D91" s="156" t="s">
        <v>1118</v>
      </c>
      <c r="E91" s="145">
        <f>$E$87*E82/$E$84</f>
        <v>4.7861936720997124E-2</v>
      </c>
      <c r="F91" s="5" t="s">
        <v>176</v>
      </c>
    </row>
    <row r="92" spans="2:7" x14ac:dyDescent="0.2">
      <c r="B92" s="16"/>
    </row>
    <row r="93" spans="2:7" x14ac:dyDescent="0.2">
      <c r="B93" s="16"/>
      <c r="D93" s="6" t="s">
        <v>976</v>
      </c>
    </row>
    <row r="94" spans="2:7" x14ac:dyDescent="0.2">
      <c r="B94" s="16"/>
      <c r="D94" s="6" t="s">
        <v>977</v>
      </c>
      <c r="F94" s="5"/>
    </row>
    <row r="95" spans="2:7" x14ac:dyDescent="0.2">
      <c r="B95" s="16"/>
      <c r="D95" s="156" t="s">
        <v>1109</v>
      </c>
      <c r="E95" s="387">
        <v>0</v>
      </c>
      <c r="F95" s="5" t="s">
        <v>176</v>
      </c>
    </row>
    <row r="96" spans="2:7" x14ac:dyDescent="0.2">
      <c r="B96" s="16"/>
      <c r="D96" s="156" t="s">
        <v>1119</v>
      </c>
      <c r="E96" s="387">
        <v>0</v>
      </c>
      <c r="F96" s="5" t="s">
        <v>176</v>
      </c>
    </row>
    <row r="97" spans="2:7" x14ac:dyDescent="0.2">
      <c r="B97" s="16"/>
      <c r="D97" s="156" t="s">
        <v>1120</v>
      </c>
      <c r="E97" s="387">
        <v>0</v>
      </c>
      <c r="F97" s="5" t="s">
        <v>176</v>
      </c>
    </row>
    <row r="98" spans="2:7" x14ac:dyDescent="0.2">
      <c r="B98" s="16"/>
    </row>
    <row r="99" spans="2:7" x14ac:dyDescent="0.2">
      <c r="B99" s="16"/>
    </row>
    <row r="100" spans="2:7" ht="12.75" x14ac:dyDescent="0.2">
      <c r="B100" s="16"/>
      <c r="C100" s="36" t="s">
        <v>1181</v>
      </c>
      <c r="D100" s="41" t="str">
        <f>INPUT_INCLUDEGASLINE</f>
        <v>Yes</v>
      </c>
    </row>
    <row r="101" spans="2:7" ht="12.75" x14ac:dyDescent="0.2">
      <c r="B101" s="16"/>
      <c r="C101" s="36" t="s">
        <v>1182</v>
      </c>
      <c r="D101" s="233">
        <f>IF(D100="No",0,INPUT_GASLINECOST)</f>
        <v>5600</v>
      </c>
      <c r="E101" s="188" t="s">
        <v>1180</v>
      </c>
    </row>
    <row r="102" spans="2:7" x14ac:dyDescent="0.2">
      <c r="B102" s="16"/>
    </row>
    <row r="103" spans="2:7" x14ac:dyDescent="0.2">
      <c r="B103" s="16"/>
      <c r="C103" s="109" t="s">
        <v>1187</v>
      </c>
    </row>
    <row r="104" spans="2:7" x14ac:dyDescent="0.2">
      <c r="B104" s="16"/>
      <c r="C104" s="109" t="s">
        <v>457</v>
      </c>
    </row>
    <row r="105" spans="2:7" x14ac:dyDescent="0.2">
      <c r="B105" s="16"/>
      <c r="C105" s="109" t="s">
        <v>458</v>
      </c>
    </row>
    <row r="106" spans="2:7" x14ac:dyDescent="0.2">
      <c r="B106" s="16"/>
      <c r="C106" s="109" t="s">
        <v>459</v>
      </c>
    </row>
    <row r="107" spans="2:7" x14ac:dyDescent="0.2">
      <c r="B107" s="16"/>
      <c r="C107" s="109" t="s">
        <v>460</v>
      </c>
    </row>
    <row r="108" spans="2:7" ht="12.75" x14ac:dyDescent="0.2">
      <c r="B108" s="16"/>
      <c r="D108" s="95" t="s">
        <v>1183</v>
      </c>
      <c r="E108" s="108">
        <v>10530</v>
      </c>
      <c r="F108" s="6" t="s">
        <v>164</v>
      </c>
      <c r="G108" s="6" t="s">
        <v>455</v>
      </c>
    </row>
    <row r="109" spans="2:7" ht="12.75" x14ac:dyDescent="0.2">
      <c r="B109" s="16"/>
      <c r="D109" s="95" t="s">
        <v>1184</v>
      </c>
      <c r="E109" s="108">
        <v>10530</v>
      </c>
      <c r="F109" s="6" t="s">
        <v>164</v>
      </c>
      <c r="G109" s="6" t="s">
        <v>455</v>
      </c>
    </row>
    <row r="110" spans="2:7" ht="12.75" x14ac:dyDescent="0.2">
      <c r="B110" s="16"/>
      <c r="D110" s="95" t="s">
        <v>1185</v>
      </c>
      <c r="E110" s="108">
        <v>10530</v>
      </c>
      <c r="F110" s="6" t="s">
        <v>164</v>
      </c>
      <c r="G110" s="6" t="s">
        <v>456</v>
      </c>
    </row>
    <row r="111" spans="2:7" x14ac:dyDescent="0.2">
      <c r="B111" s="16"/>
    </row>
    <row r="112" spans="2:7" ht="12.75" x14ac:dyDescent="0.2">
      <c r="B112" s="16"/>
      <c r="C112" s="420" t="s">
        <v>1196</v>
      </c>
      <c r="D112" s="146">
        <v>0</v>
      </c>
      <c r="E112" s="188" t="s">
        <v>1180</v>
      </c>
      <c r="F112" s="8" t="s">
        <v>1340</v>
      </c>
    </row>
    <row r="113" spans="2:14" x14ac:dyDescent="0.2">
      <c r="B113" s="16"/>
    </row>
    <row r="114" spans="2:14" x14ac:dyDescent="0.2">
      <c r="B114" s="16"/>
      <c r="C114" s="6" t="s">
        <v>324</v>
      </c>
    </row>
    <row r="115" spans="2:14" ht="12.75" x14ac:dyDescent="0.2">
      <c r="B115" s="16"/>
      <c r="D115" s="95" t="s">
        <v>331</v>
      </c>
      <c r="E115" s="42">
        <f>E108+$D$101+$D$112</f>
        <v>16130</v>
      </c>
      <c r="F115" s="6" t="s">
        <v>164</v>
      </c>
    </row>
    <row r="116" spans="2:14" ht="12.75" x14ac:dyDescent="0.2">
      <c r="B116" s="16"/>
      <c r="D116" s="95" t="s">
        <v>332</v>
      </c>
      <c r="E116" s="42">
        <f>E109+$D$101+$D$112</f>
        <v>16130</v>
      </c>
      <c r="F116" s="6" t="s">
        <v>164</v>
      </c>
    </row>
    <row r="117" spans="2:14" ht="12.75" x14ac:dyDescent="0.2">
      <c r="B117" s="16"/>
      <c r="D117" s="95" t="s">
        <v>393</v>
      </c>
      <c r="E117" s="42">
        <f>E110+$D$101+$D$112</f>
        <v>16130</v>
      </c>
      <c r="F117" s="6" t="s">
        <v>164</v>
      </c>
    </row>
    <row r="118" spans="2:14" x14ac:dyDescent="0.2">
      <c r="B118" s="16"/>
    </row>
    <row r="119" spans="2:14" x14ac:dyDescent="0.2">
      <c r="B119" s="16"/>
    </row>
    <row r="121" spans="2:14" ht="13.5" thickBot="1" x14ac:dyDescent="0.25">
      <c r="B121" s="9" t="s">
        <v>322</v>
      </c>
      <c r="C121" s="9"/>
      <c r="D121" s="9"/>
      <c r="E121" s="9"/>
      <c r="F121" s="9"/>
      <c r="G121" s="9"/>
      <c r="H121" s="9"/>
      <c r="I121" s="9"/>
      <c r="J121" s="9"/>
      <c r="K121" s="9"/>
      <c r="L121" s="9"/>
      <c r="M121" s="9"/>
      <c r="N121" s="9"/>
    </row>
    <row r="122" spans="2:14" x14ac:dyDescent="0.2">
      <c r="B122" s="16"/>
    </row>
    <row r="123" spans="2:14" x14ac:dyDescent="0.2">
      <c r="B123" s="16"/>
    </row>
    <row r="124" spans="2:14" x14ac:dyDescent="0.2">
      <c r="B124" s="16"/>
    </row>
    <row r="125" spans="2:14" x14ac:dyDescent="0.2">
      <c r="B125" s="16"/>
    </row>
    <row r="126" spans="2:14" x14ac:dyDescent="0.2">
      <c r="B126" s="16"/>
    </row>
    <row r="127" spans="2:14" x14ac:dyDescent="0.2">
      <c r="B127" s="16"/>
    </row>
    <row r="128" spans="2:14" x14ac:dyDescent="0.2">
      <c r="B128" s="16"/>
    </row>
    <row r="129" spans="2:2" x14ac:dyDescent="0.2">
      <c r="B129" s="16"/>
    </row>
    <row r="130" spans="2:2" x14ac:dyDescent="0.2">
      <c r="B130" s="16"/>
    </row>
    <row r="131" spans="2:2" x14ac:dyDescent="0.2">
      <c r="B131" s="16"/>
    </row>
    <row r="132" spans="2:2" x14ac:dyDescent="0.2">
      <c r="B132" s="16"/>
    </row>
    <row r="133" spans="2:2" x14ac:dyDescent="0.2">
      <c r="B133" s="16"/>
    </row>
    <row r="134" spans="2:2" x14ac:dyDescent="0.2">
      <c r="B134" s="16"/>
    </row>
    <row r="135" spans="2:2" x14ac:dyDescent="0.2">
      <c r="B135" s="16"/>
    </row>
    <row r="136" spans="2:2" x14ac:dyDescent="0.2">
      <c r="B136" s="16"/>
    </row>
    <row r="137" spans="2:2" x14ac:dyDescent="0.2">
      <c r="B137" s="16"/>
    </row>
    <row r="138" spans="2:2" x14ac:dyDescent="0.2">
      <c r="B138" s="16"/>
    </row>
    <row r="139" spans="2:2" x14ac:dyDescent="0.2">
      <c r="B139" s="16"/>
    </row>
    <row r="140" spans="2:2" x14ac:dyDescent="0.2">
      <c r="B140" s="16"/>
    </row>
    <row r="141" spans="2:2" x14ac:dyDescent="0.2">
      <c r="B141" s="16"/>
    </row>
    <row r="142" spans="2:2" x14ac:dyDescent="0.2">
      <c r="B142" s="16"/>
    </row>
    <row r="143" spans="2:2" x14ac:dyDescent="0.2">
      <c r="B143" s="16"/>
    </row>
    <row r="144" spans="2:2" x14ac:dyDescent="0.2">
      <c r="B144" s="16"/>
    </row>
    <row r="145" spans="2:2" x14ac:dyDescent="0.2">
      <c r="B145" s="16"/>
    </row>
    <row r="146" spans="2:2" x14ac:dyDescent="0.2">
      <c r="B146" s="16"/>
    </row>
    <row r="147" spans="2:2" x14ac:dyDescent="0.2">
      <c r="B147" s="16"/>
    </row>
    <row r="148" spans="2:2" x14ac:dyDescent="0.2">
      <c r="B148" s="16"/>
    </row>
    <row r="149" spans="2:2" x14ac:dyDescent="0.2">
      <c r="B149" s="16"/>
    </row>
    <row r="150" spans="2:2" x14ac:dyDescent="0.2">
      <c r="B150" s="16"/>
    </row>
    <row r="151" spans="2:2" x14ac:dyDescent="0.2">
      <c r="B151" s="16"/>
    </row>
    <row r="152" spans="2:2" x14ac:dyDescent="0.2">
      <c r="B152" s="16"/>
    </row>
    <row r="153" spans="2:2" x14ac:dyDescent="0.2">
      <c r="B153" s="16"/>
    </row>
    <row r="154" spans="2:2" x14ac:dyDescent="0.2">
      <c r="B154" s="16"/>
    </row>
    <row r="155" spans="2:2" x14ac:dyDescent="0.2">
      <c r="B155" s="16"/>
    </row>
    <row r="156" spans="2:2" x14ac:dyDescent="0.2">
      <c r="B156" s="16"/>
    </row>
    <row r="157" spans="2:2" x14ac:dyDescent="0.2">
      <c r="B157" s="16"/>
    </row>
    <row r="158" spans="2:2" x14ac:dyDescent="0.2">
      <c r="B158" s="16"/>
    </row>
    <row r="159" spans="2:2" x14ac:dyDescent="0.2">
      <c r="B159" s="16"/>
    </row>
    <row r="160" spans="2:2" x14ac:dyDescent="0.2">
      <c r="B160" s="16"/>
    </row>
    <row r="161" spans="2:2" x14ac:dyDescent="0.2">
      <c r="B161" s="16"/>
    </row>
    <row r="162" spans="2:2" x14ac:dyDescent="0.2">
      <c r="B162" s="16"/>
    </row>
    <row r="163" spans="2:2" x14ac:dyDescent="0.2">
      <c r="B163" s="16"/>
    </row>
    <row r="164" spans="2:2" x14ac:dyDescent="0.2">
      <c r="B164" s="16"/>
    </row>
    <row r="165" spans="2:2" x14ac:dyDescent="0.2">
      <c r="B165" s="16"/>
    </row>
  </sheetData>
  <mergeCells count="20">
    <mergeCell ref="D59:G59"/>
    <mergeCell ref="D60:G60"/>
    <mergeCell ref="D61:G61"/>
    <mergeCell ref="D52:E52"/>
    <mergeCell ref="F52:G52"/>
    <mergeCell ref="D53:E53"/>
    <mergeCell ref="F53:G53"/>
    <mergeCell ref="D58:G58"/>
    <mergeCell ref="D50:E50"/>
    <mergeCell ref="F50:G50"/>
    <mergeCell ref="H50:I50"/>
    <mergeCell ref="J50:K50"/>
    <mergeCell ref="H53:I53"/>
    <mergeCell ref="J53:K53"/>
    <mergeCell ref="D51:E51"/>
    <mergeCell ref="F51:G51"/>
    <mergeCell ref="H51:I51"/>
    <mergeCell ref="J51:K51"/>
    <mergeCell ref="H52:I52"/>
    <mergeCell ref="J52:K52"/>
  </mergeCells>
  <dataValidations count="2">
    <dataValidation type="list" allowBlank="1" showInputMessage="1" showErrorMessage="1" sqref="D9">
      <formula1>DEFINED_MEASURES</formula1>
    </dataValidation>
    <dataValidation type="list" allowBlank="1" showInputMessage="1" showErrorMessage="1" sqref="D5">
      <formula1>"1. Not Started,2. Analyzing,3. Ready"</formula1>
    </dataValidation>
  </dataValidations>
  <hyperlinks>
    <hyperlink ref="H59" r:id="rId1"/>
  </hyperlinks>
  <pageMargins left="0.7" right="0.7" top="0.75" bottom="0.75" header="0.3" footer="0.3"/>
  <pageSetup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3"/>
  </sheetPr>
  <dimension ref="A1:AD165"/>
  <sheetViews>
    <sheetView workbookViewId="0"/>
  </sheetViews>
  <sheetFormatPr defaultColWidth="9.33203125" defaultRowHeight="11.25" x14ac:dyDescent="0.2"/>
  <cols>
    <col min="1" max="2" width="3.33203125" style="6" customWidth="1"/>
    <col min="3" max="3" width="22.6640625" style="6" bestFit="1" customWidth="1"/>
    <col min="4" max="4" width="14.33203125" style="6" customWidth="1"/>
    <col min="5" max="5" width="18.5" style="6" customWidth="1"/>
    <col min="6" max="6" width="15" style="6" customWidth="1"/>
    <col min="7" max="7" width="13.5" style="6" customWidth="1"/>
    <col min="8" max="8" width="15.83203125" style="6" customWidth="1"/>
    <col min="9" max="9" width="22.33203125" style="6" bestFit="1" customWidth="1"/>
    <col min="10" max="10" width="20.5" style="6" bestFit="1" customWidth="1"/>
    <col min="11"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93" t="s">
        <v>103</v>
      </c>
      <c r="E9" s="7" t="s">
        <v>290</v>
      </c>
    </row>
    <row r="10" spans="1:30" ht="12.75" x14ac:dyDescent="0.2">
      <c r="B10" s="16"/>
      <c r="C10" s="30" t="s">
        <v>289</v>
      </c>
      <c r="D10" s="83" t="str">
        <f>INDEX(Tbl_MeasureList[Baseline ID],MATCH($D$9,Tbl_MeasureList[Measure ID],0))</f>
        <v>BASE14</v>
      </c>
      <c r="E10" s="7"/>
    </row>
    <row r="11" spans="1:30" x14ac:dyDescent="0.2">
      <c r="B11" s="16"/>
      <c r="C11" s="7"/>
      <c r="D11" s="7"/>
      <c r="E11" s="7"/>
    </row>
    <row r="12" spans="1:30" ht="12" thickBot="1" x14ac:dyDescent="0.25">
      <c r="B12" s="16"/>
      <c r="C12" s="7"/>
      <c r="D12" s="89" t="s">
        <v>5</v>
      </c>
      <c r="E12" s="89" t="s">
        <v>284</v>
      </c>
    </row>
    <row r="13" spans="1:30" x14ac:dyDescent="0.2">
      <c r="B13" s="16"/>
      <c r="C13" s="32" t="s">
        <v>2</v>
      </c>
      <c r="D13" s="84" t="str">
        <f>INDEX(Tbl_MeasureList[Baseline Equipment ID],MATCH($D$9,Tbl_MeasureList[Measure ID],0))</f>
        <v>EQUI025</v>
      </c>
      <c r="E13" s="84" t="str">
        <f>INDEX(Tbl_MeasureList[Replacement ID],MATCH($D$9,Tbl_MeasureList[Measure ID],0))</f>
        <v>EQUI022</v>
      </c>
      <c r="F13" s="7"/>
    </row>
    <row r="14" spans="1:30" x14ac:dyDescent="0.2">
      <c r="B14" s="16"/>
      <c r="C14" s="32" t="s">
        <v>4</v>
      </c>
      <c r="D14" s="85" t="str">
        <f>INDEX(Tbl_EquipmentDefinitions[[Equipment Name]:[Equipment Name]],MATCH(D$13,Tbl_EquipmentDefinitions[[Equipment ID]:[Equipment ID]],0))</f>
        <v>Propane Boiler+Storage WH</v>
      </c>
      <c r="E14" s="85" t="str">
        <f>INDEX(Tbl_EquipmentDefinitions[[Equipment Name]:[Equipment Name]],MATCH(E$13,Tbl_EquipmentDefinitions[[Equipment ID]:[Equipment ID]],0))</f>
        <v>Gas Combination Boiler</v>
      </c>
      <c r="F14" s="7"/>
    </row>
    <row r="15" spans="1:30" x14ac:dyDescent="0.2">
      <c r="B15" s="16"/>
      <c r="C15" s="32" t="s">
        <v>24</v>
      </c>
      <c r="D15" s="84" t="str">
        <f>INDEX(Tbl_EquipmentDefinitions[[Function]:[Function]],MATCH(D$13,Tbl_EquipmentDefinitions[[Equipment ID]:[Equipment ID]],0))</f>
        <v>Heat+HW</v>
      </c>
      <c r="E15" s="84" t="str">
        <f>INDEX(Tbl_EquipmentDefinitions[[Function]:[Function]],MATCH(E$13,Tbl_EquipmentDefinitions[[Equipment ID]:[Equipment ID]],0))</f>
        <v>Heat+HW</v>
      </c>
      <c r="F15" s="7"/>
    </row>
    <row r="16" spans="1:30" x14ac:dyDescent="0.2">
      <c r="B16" s="16"/>
      <c r="C16" s="32" t="s">
        <v>7</v>
      </c>
      <c r="D16" s="85" t="str">
        <f>INDEX(Tbl_EquipmentDefinitions[[Fuel Type]:[Fuel Type]],MATCH(D$13,Tbl_EquipmentDefinitions[[Equipment ID]:[Equipment ID]],0))</f>
        <v>Propane</v>
      </c>
      <c r="E16" s="85" t="str">
        <f>INDEX(Tbl_EquipmentDefinitions[[Fuel Type]:[Fuel Type]],MATCH(E$13,Tbl_EquipmentDefinitions[[Equipment ID]:[Equipment ID]],0))</f>
        <v>Natural Gas</v>
      </c>
      <c r="F16" s="7"/>
    </row>
    <row r="17" spans="2:14" x14ac:dyDescent="0.2">
      <c r="B17" s="16"/>
      <c r="C17" s="32" t="s">
        <v>126</v>
      </c>
      <c r="D17" s="84">
        <f>IF(ISERR(SEARCH("+",D16,1)),1,2)</f>
        <v>1</v>
      </c>
      <c r="E17" s="84">
        <f>IF(ISERR(SEARCH("+",E16,1)),1,2)</f>
        <v>1</v>
      </c>
      <c r="F17" s="7"/>
    </row>
    <row r="18" spans="2:14" x14ac:dyDescent="0.2">
      <c r="B18" s="16"/>
      <c r="C18" s="32" t="s">
        <v>155</v>
      </c>
      <c r="D18" s="86">
        <f>INDEX(Tbl_BaselineSummary[Space Heating Load (MMBtu/yr)],MATCH($D$10,Tbl_BaselineSummary[Baseline ID],0))</f>
        <v>76.7</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11.3</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89" t="s">
        <v>127</v>
      </c>
      <c r="D25" s="281" t="s">
        <v>345</v>
      </c>
      <c r="E25" s="385" t="s">
        <v>956</v>
      </c>
      <c r="F25" s="281" t="s">
        <v>326</v>
      </c>
      <c r="G25" s="421" t="s">
        <v>1532</v>
      </c>
      <c r="H25" s="385" t="s">
        <v>958</v>
      </c>
      <c r="I25" s="569" t="s">
        <v>1447</v>
      </c>
      <c r="J25" s="569" t="s">
        <v>1448</v>
      </c>
      <c r="L25" s="89" t="s">
        <v>1533</v>
      </c>
      <c r="M25" s="421" t="s">
        <v>1531</v>
      </c>
    </row>
    <row r="26" spans="2:14" ht="11.25" customHeight="1" x14ac:dyDescent="0.2">
      <c r="B26" s="16"/>
      <c r="C26" s="32" t="s">
        <v>6</v>
      </c>
      <c r="D26" s="122">
        <f>E80</f>
        <v>329</v>
      </c>
      <c r="E26" s="126">
        <f>E89</f>
        <v>5.0469798657718119E-2</v>
      </c>
      <c r="F26" s="111">
        <f>D26*PRICE_PER_KWH_2018_ELECTRICITY</f>
        <v>65.0762</v>
      </c>
      <c r="G26" s="139">
        <v>0</v>
      </c>
      <c r="H26" s="404">
        <f>E95</f>
        <v>0</v>
      </c>
      <c r="I26" s="39" t="s">
        <v>1449</v>
      </c>
      <c r="J26" s="39" t="s">
        <v>1449</v>
      </c>
      <c r="L26" s="84">
        <f t="shared" ref="L26:M28" si="0">F26+E32+E38+E44</f>
        <v>1642.2317555555555</v>
      </c>
      <c r="M26" s="86">
        <f t="shared" si="0"/>
        <v>16130</v>
      </c>
    </row>
    <row r="27" spans="2:14" x14ac:dyDescent="0.2">
      <c r="B27" s="16"/>
      <c r="C27" s="32" t="s">
        <v>19</v>
      </c>
      <c r="D27" s="122">
        <f>E81</f>
        <v>329</v>
      </c>
      <c r="E27" s="126">
        <f>E90</f>
        <v>5.0469798657718119E-2</v>
      </c>
      <c r="F27" s="111">
        <f>D27*PRICE_PER_KWH_2018_ELECTRICITY</f>
        <v>65.0762</v>
      </c>
      <c r="G27" s="139">
        <v>0</v>
      </c>
      <c r="H27" s="404">
        <f t="shared" ref="H27:H28" si="1">E96</f>
        <v>0</v>
      </c>
      <c r="I27" s="39" t="s">
        <v>1449</v>
      </c>
      <c r="J27" s="39" t="s">
        <v>1449</v>
      </c>
      <c r="L27" s="84">
        <f t="shared" si="0"/>
        <v>1642.2317555555555</v>
      </c>
      <c r="M27" s="86">
        <f t="shared" si="0"/>
        <v>16130</v>
      </c>
    </row>
    <row r="28" spans="2:14" x14ac:dyDescent="0.2">
      <c r="B28" s="16"/>
      <c r="C28" s="32" t="s">
        <v>20</v>
      </c>
      <c r="D28" s="122">
        <f>E82</f>
        <v>312</v>
      </c>
      <c r="E28" s="126">
        <f>E91</f>
        <v>4.7861936720997124E-2</v>
      </c>
      <c r="F28" s="111">
        <f>D28*PRICE_PER_KWH_2018_ELECTRICITY</f>
        <v>61.7136</v>
      </c>
      <c r="G28" s="139">
        <v>0</v>
      </c>
      <c r="H28" s="404">
        <f t="shared" si="1"/>
        <v>0</v>
      </c>
      <c r="I28" s="39" t="s">
        <v>1449</v>
      </c>
      <c r="J28" s="39" t="s">
        <v>1449</v>
      </c>
      <c r="L28" s="84">
        <f t="shared" si="0"/>
        <v>1555.860968421053</v>
      </c>
      <c r="M28" s="86">
        <f t="shared" si="0"/>
        <v>16130</v>
      </c>
    </row>
    <row r="29" spans="2:14" x14ac:dyDescent="0.2">
      <c r="B29" s="16"/>
    </row>
    <row r="30" spans="2:14" ht="12.75" thickBot="1" x14ac:dyDescent="0.25">
      <c r="B30" s="16"/>
      <c r="C30" s="34" t="s">
        <v>55</v>
      </c>
      <c r="D30" s="34"/>
      <c r="E30" s="33"/>
      <c r="F30" s="33"/>
    </row>
    <row r="31" spans="2:14" ht="34.5" thickBot="1" x14ac:dyDescent="0.25">
      <c r="B31" s="16"/>
      <c r="C31" s="89" t="s">
        <v>127</v>
      </c>
      <c r="D31" s="281" t="s">
        <v>325</v>
      </c>
      <c r="E31" s="281" t="s">
        <v>326</v>
      </c>
      <c r="F31" s="421" t="s">
        <v>1532</v>
      </c>
    </row>
    <row r="32" spans="2:14" x14ac:dyDescent="0.2">
      <c r="B32" s="16"/>
      <c r="C32" s="32" t="s">
        <v>6</v>
      </c>
      <c r="D32" s="122">
        <f>E76</f>
        <v>977.77777777777771</v>
      </c>
      <c r="E32" s="111">
        <f>D32*PRICE_PER_THERM_2018_NATURALGAS</f>
        <v>1577.1555555555556</v>
      </c>
      <c r="F32" s="111">
        <f>E115</f>
        <v>16130</v>
      </c>
      <c r="G32" s="7" t="s">
        <v>128</v>
      </c>
    </row>
    <row r="33" spans="2:14" x14ac:dyDescent="0.2">
      <c r="B33" s="16"/>
      <c r="C33" s="32" t="s">
        <v>19</v>
      </c>
      <c r="D33" s="122">
        <f>E77</f>
        <v>977.77777777777771</v>
      </c>
      <c r="E33" s="111">
        <f>D33*PRICE_PER_THERM_2018_NATURALGAS</f>
        <v>1577.1555555555556</v>
      </c>
      <c r="F33" s="111">
        <f t="shared" ref="F33:F34" si="2">E116</f>
        <v>16130</v>
      </c>
    </row>
    <row r="34" spans="2:14" x14ac:dyDescent="0.2">
      <c r="B34" s="16"/>
      <c r="C34" s="32" t="s">
        <v>20</v>
      </c>
      <c r="D34" s="122">
        <f>E78</f>
        <v>926.31578947368428</v>
      </c>
      <c r="E34" s="111">
        <f>D34*PRICE_PER_THERM_2018_NATURALGAS</f>
        <v>1494.147368421053</v>
      </c>
      <c r="F34" s="111">
        <f t="shared" si="2"/>
        <v>16130</v>
      </c>
    </row>
    <row r="35" spans="2:14" x14ac:dyDescent="0.2">
      <c r="B35" s="16"/>
    </row>
    <row r="36" spans="2:14" ht="12.75" thickBot="1" x14ac:dyDescent="0.25">
      <c r="B36" s="16"/>
      <c r="C36" s="34" t="s">
        <v>28</v>
      </c>
      <c r="D36" s="34"/>
      <c r="E36" s="33"/>
      <c r="F36" s="33"/>
    </row>
    <row r="37" spans="2:14" ht="34.5" thickBot="1" x14ac:dyDescent="0.25">
      <c r="B37" s="16"/>
      <c r="C37" s="89" t="s">
        <v>127</v>
      </c>
      <c r="D37" s="281" t="s">
        <v>756</v>
      </c>
      <c r="E37" s="281" t="s">
        <v>326</v>
      </c>
      <c r="F37" s="421"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34.5" thickBot="1" x14ac:dyDescent="0.25">
      <c r="B43" s="16"/>
      <c r="C43" s="89" t="s">
        <v>127</v>
      </c>
      <c r="D43" s="281" t="s">
        <v>756</v>
      </c>
      <c r="E43" s="281" t="s">
        <v>326</v>
      </c>
      <c r="F43" s="421" t="s">
        <v>1532</v>
      </c>
    </row>
    <row r="44" spans="2:14" x14ac:dyDescent="0.2">
      <c r="B44" s="16"/>
      <c r="C44" s="32" t="s">
        <v>6</v>
      </c>
      <c r="D44" s="40">
        <v>0</v>
      </c>
      <c r="E44" s="39">
        <v>0</v>
      </c>
      <c r="F44" s="39">
        <v>0</v>
      </c>
      <c r="G44" s="7" t="s">
        <v>128</v>
      </c>
    </row>
    <row r="45" spans="2:14" x14ac:dyDescent="0.2">
      <c r="B45" s="16"/>
      <c r="C45" s="32" t="s">
        <v>19</v>
      </c>
      <c r="D45" s="40">
        <v>0</v>
      </c>
      <c r="E45" s="39">
        <v>0</v>
      </c>
      <c r="F45" s="39">
        <v>0</v>
      </c>
    </row>
    <row r="46" spans="2:14" x14ac:dyDescent="0.2">
      <c r="B46" s="16"/>
      <c r="C46" s="32" t="s">
        <v>20</v>
      </c>
      <c r="D46" s="40">
        <v>0</v>
      </c>
      <c r="E46" s="39">
        <v>0</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v>
      </c>
      <c r="E51" s="690"/>
      <c r="F51" s="693" t="str">
        <f>INDEX(Tbl_EquipmentDefinitions[Natural Gas Code Efficiency],MATCH($E$13,Tbl_EquipmentDefinitions[Equipment ID],0))</f>
        <v>90% AFUE</v>
      </c>
      <c r="G51" s="690"/>
      <c r="H51" s="693" t="str">
        <f>INDEX(Tbl_EquipmentDefinitions[Propane Code Efficiency],MATCH($E$13,Tbl_EquipmentDefinitions[Equipment ID],0))</f>
        <v>-</v>
      </c>
      <c r="I51" s="690"/>
      <c r="J51" s="693" t="str">
        <f>INDEX(Tbl_EquipmentDefinitions[Oil Code Efficiency],MATCH($E$13,Tbl_EquipmentDefinitions[Equipment ID],0))</f>
        <v>-</v>
      </c>
      <c r="K51" s="690"/>
    </row>
    <row r="52" spans="2:14" ht="12.75" x14ac:dyDescent="0.2">
      <c r="B52" s="16"/>
      <c r="C52" s="30" t="s">
        <v>153</v>
      </c>
      <c r="D52" s="689" t="str">
        <f>INDEX(Tbl_EquipmentDefinitions[Electricity Low Measure Efficiency],MATCH($E$13,Tbl_EquipmentDefinitions[Equipment ID],0))</f>
        <v>-</v>
      </c>
      <c r="E52" s="690"/>
      <c r="F52" s="689" t="str">
        <f>INDEX(Tbl_EquipmentDefinitions[Natural Gas Low Measure Efficiency],MATCH($E$13,Tbl_EquipmentDefinitions[Equipment ID],0))</f>
        <v>90% AFUE</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v>
      </c>
      <c r="E53" s="690"/>
      <c r="F53" s="689" t="str">
        <f>INDEX(Tbl_EquipmentDefinitions[Natural Gas High Measure Efficiency],MATCH($E$13,Tbl_EquipmentDefinitions[Equipment ID],0))</f>
        <v>95% AFUE</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134" t="s">
        <v>131</v>
      </c>
      <c r="D58" s="691" t="s">
        <v>132</v>
      </c>
      <c r="E58" s="692"/>
      <c r="F58" s="692"/>
      <c r="G58" s="692"/>
    </row>
    <row r="59" spans="2:14" x14ac:dyDescent="0.2">
      <c r="B59" s="16"/>
      <c r="C59" s="32" t="s">
        <v>386</v>
      </c>
      <c r="D59" s="698" t="s">
        <v>316</v>
      </c>
      <c r="E59" s="699"/>
      <c r="F59" s="699"/>
      <c r="G59" s="699"/>
      <c r="H59" s="94" t="s">
        <v>317</v>
      </c>
    </row>
    <row r="60" spans="2:14" x14ac:dyDescent="0.2">
      <c r="B60" s="16"/>
      <c r="C60" s="32" t="s">
        <v>436</v>
      </c>
      <c r="D60" s="698" t="s">
        <v>437</v>
      </c>
      <c r="E60" s="699"/>
      <c r="F60" s="699"/>
      <c r="G60" s="699"/>
    </row>
    <row r="61" spans="2:14" x14ac:dyDescent="0.2">
      <c r="B61" s="16"/>
      <c r="C61" s="32" t="s">
        <v>438</v>
      </c>
      <c r="D61" s="698" t="s">
        <v>439</v>
      </c>
      <c r="E61" s="699"/>
      <c r="F61" s="699"/>
      <c r="G61" s="699"/>
    </row>
    <row r="62" spans="2:14" x14ac:dyDescent="0.2">
      <c r="B62" s="16"/>
    </row>
    <row r="64" spans="2:14" ht="13.5" thickBot="1" x14ac:dyDescent="0.25">
      <c r="B64" s="9" t="s">
        <v>129</v>
      </c>
      <c r="C64" s="9"/>
      <c r="D64" s="9"/>
      <c r="E64" s="9"/>
      <c r="F64" s="9"/>
      <c r="G64" s="9"/>
      <c r="H64" s="9"/>
      <c r="I64" s="9"/>
      <c r="J64" s="9"/>
      <c r="K64" s="9"/>
      <c r="L64" s="9"/>
      <c r="M64" s="9"/>
      <c r="N64" s="9"/>
    </row>
    <row r="65" spans="2:7" x14ac:dyDescent="0.2">
      <c r="B65" s="15"/>
    </row>
    <row r="66" spans="2:7" x14ac:dyDescent="0.2">
      <c r="B66" s="16"/>
      <c r="C66" s="6" t="s">
        <v>453</v>
      </c>
    </row>
    <row r="67" spans="2:7" x14ac:dyDescent="0.2">
      <c r="B67" s="16"/>
      <c r="C67" s="6" t="s">
        <v>466</v>
      </c>
    </row>
    <row r="68" spans="2:7" x14ac:dyDescent="0.2">
      <c r="B68" s="16"/>
    </row>
    <row r="69" spans="2:7" ht="12.75" x14ac:dyDescent="0.2">
      <c r="B69" s="16"/>
      <c r="D69" s="95" t="s">
        <v>155</v>
      </c>
      <c r="E69" s="140">
        <f>D18</f>
        <v>76.7</v>
      </c>
      <c r="F69" s="6" t="s">
        <v>381</v>
      </c>
      <c r="G69" s="6" t="s">
        <v>382</v>
      </c>
    </row>
    <row r="70" spans="2:7" ht="12.75" x14ac:dyDescent="0.2">
      <c r="B70" s="16"/>
      <c r="D70" s="95" t="s">
        <v>244</v>
      </c>
      <c r="E70" s="140">
        <f>D20</f>
        <v>11.3</v>
      </c>
      <c r="F70" s="6" t="s">
        <v>381</v>
      </c>
      <c r="G70" s="6" t="s">
        <v>382</v>
      </c>
    </row>
    <row r="71" spans="2:7" ht="12.75" x14ac:dyDescent="0.2">
      <c r="B71" s="16"/>
      <c r="D71" s="95"/>
    </row>
    <row r="72" spans="2:7" ht="12.75" x14ac:dyDescent="0.2">
      <c r="B72" s="16"/>
      <c r="D72" s="95" t="s">
        <v>159</v>
      </c>
      <c r="E72" s="150">
        <v>0.9</v>
      </c>
      <c r="F72" s="6" t="s">
        <v>158</v>
      </c>
      <c r="G72" s="45" t="s">
        <v>371</v>
      </c>
    </row>
    <row r="73" spans="2:7" ht="12.75" x14ac:dyDescent="0.2">
      <c r="B73" s="16"/>
      <c r="D73" s="95" t="s">
        <v>180</v>
      </c>
      <c r="E73" s="150">
        <v>0.9</v>
      </c>
      <c r="F73" s="6" t="s">
        <v>158</v>
      </c>
      <c r="G73" s="8"/>
    </row>
    <row r="74" spans="2:7" ht="12.75" x14ac:dyDescent="0.2">
      <c r="B74" s="16"/>
      <c r="D74" s="95" t="s">
        <v>181</v>
      </c>
      <c r="E74" s="150">
        <v>0.95</v>
      </c>
      <c r="F74" s="6" t="s">
        <v>158</v>
      </c>
      <c r="G74" s="8"/>
    </row>
    <row r="75" spans="2:7" ht="12.75" x14ac:dyDescent="0.2">
      <c r="B75" s="16"/>
      <c r="D75" s="95"/>
    </row>
    <row r="76" spans="2:7" ht="12.75" x14ac:dyDescent="0.2">
      <c r="B76" s="16"/>
      <c r="D76" s="95" t="s">
        <v>430</v>
      </c>
      <c r="E76" s="41">
        <f>Therm_per_MMBtu*($E$69+$E$70)/E72</f>
        <v>977.77777777777771</v>
      </c>
      <c r="F76" s="6" t="s">
        <v>372</v>
      </c>
      <c r="G76" s="45" t="s">
        <v>305</v>
      </c>
    </row>
    <row r="77" spans="2:7" ht="12.75" x14ac:dyDescent="0.2">
      <c r="B77" s="16"/>
      <c r="D77" s="95" t="s">
        <v>431</v>
      </c>
      <c r="E77" s="41">
        <f>Therm_per_MMBtu*($E$69+$E$70)/E73</f>
        <v>977.77777777777771</v>
      </c>
      <c r="F77" s="6" t="s">
        <v>372</v>
      </c>
    </row>
    <row r="78" spans="2:7" ht="12.75" x14ac:dyDescent="0.2">
      <c r="B78" s="16"/>
      <c r="D78" s="95" t="s">
        <v>432</v>
      </c>
      <c r="E78" s="41">
        <f>Therm_per_MMBtu*($E$69+$E$70)/E74</f>
        <v>926.31578947368428</v>
      </c>
      <c r="F78" s="6" t="s">
        <v>372</v>
      </c>
    </row>
    <row r="79" spans="2:7" ht="12.75" x14ac:dyDescent="0.2">
      <c r="B79" s="16"/>
      <c r="D79" s="95"/>
    </row>
    <row r="80" spans="2:7" ht="12.75" x14ac:dyDescent="0.2">
      <c r="B80" s="16"/>
      <c r="D80" s="154" t="s">
        <v>408</v>
      </c>
      <c r="E80" s="88">
        <v>329</v>
      </c>
      <c r="F80" s="6" t="s">
        <v>434</v>
      </c>
      <c r="G80" s="6" t="s">
        <v>461</v>
      </c>
    </row>
    <row r="81" spans="2:7" ht="12.75" x14ac:dyDescent="0.2">
      <c r="B81" s="16"/>
      <c r="D81" s="154" t="s">
        <v>409</v>
      </c>
      <c r="E81" s="88">
        <v>329</v>
      </c>
      <c r="F81" s="6" t="s">
        <v>434</v>
      </c>
      <c r="G81" s="6" t="s">
        <v>461</v>
      </c>
    </row>
    <row r="82" spans="2:7" ht="12.75" x14ac:dyDescent="0.2">
      <c r="B82" s="16"/>
      <c r="D82" s="154" t="s">
        <v>433</v>
      </c>
      <c r="E82" s="88">
        <v>312</v>
      </c>
      <c r="F82" s="6" t="s">
        <v>434</v>
      </c>
      <c r="G82" s="6" t="s">
        <v>461</v>
      </c>
    </row>
    <row r="83" spans="2:7" x14ac:dyDescent="0.2">
      <c r="B83" s="16"/>
      <c r="D83" s="155"/>
    </row>
    <row r="84" spans="2:7" x14ac:dyDescent="0.2">
      <c r="B84" s="16"/>
      <c r="D84" s="156" t="s">
        <v>422</v>
      </c>
      <c r="E84" s="146">
        <f>AVERAGE(530,984,1329,1329)</f>
        <v>1043</v>
      </c>
      <c r="F84" s="6" t="s">
        <v>397</v>
      </c>
      <c r="G84" s="6" t="s">
        <v>423</v>
      </c>
    </row>
    <row r="85" spans="2:7" x14ac:dyDescent="0.2">
      <c r="B85" s="16"/>
      <c r="D85" s="155"/>
    </row>
    <row r="86" spans="2:7" x14ac:dyDescent="0.2">
      <c r="B86" s="16"/>
      <c r="D86" s="6" t="s">
        <v>740</v>
      </c>
    </row>
    <row r="87" spans="2:7" x14ac:dyDescent="0.2">
      <c r="B87" s="16"/>
      <c r="D87" s="155" t="s">
        <v>949</v>
      </c>
      <c r="E87" s="146">
        <v>0.16</v>
      </c>
    </row>
    <row r="88" spans="2:7" x14ac:dyDescent="0.2">
      <c r="B88" s="16"/>
      <c r="D88" s="155"/>
    </row>
    <row r="89" spans="2:7" x14ac:dyDescent="0.2">
      <c r="B89" s="16"/>
      <c r="D89" s="156" t="s">
        <v>1107</v>
      </c>
      <c r="E89" s="145">
        <f>$E$87*E80/$E$84</f>
        <v>5.0469798657718119E-2</v>
      </c>
      <c r="F89" s="5" t="s">
        <v>176</v>
      </c>
    </row>
    <row r="90" spans="2:7" x14ac:dyDescent="0.2">
      <c r="B90" s="16"/>
      <c r="D90" s="156" t="s">
        <v>1117</v>
      </c>
      <c r="E90" s="145">
        <f>$E$87*E81/$E$84</f>
        <v>5.0469798657718119E-2</v>
      </c>
      <c r="F90" s="5" t="s">
        <v>176</v>
      </c>
    </row>
    <row r="91" spans="2:7" x14ac:dyDescent="0.2">
      <c r="B91" s="16"/>
      <c r="D91" s="156" t="s">
        <v>1118</v>
      </c>
      <c r="E91" s="145">
        <f>$E$87*E82/$E$84</f>
        <v>4.7861936720997124E-2</v>
      </c>
      <c r="F91" s="5" t="s">
        <v>176</v>
      </c>
    </row>
    <row r="92" spans="2:7" x14ac:dyDescent="0.2">
      <c r="B92" s="16"/>
    </row>
    <row r="93" spans="2:7" x14ac:dyDescent="0.2">
      <c r="B93" s="16"/>
      <c r="D93" s="6" t="s">
        <v>976</v>
      </c>
    </row>
    <row r="94" spans="2:7" x14ac:dyDescent="0.2">
      <c r="B94" s="16"/>
      <c r="D94" s="6" t="s">
        <v>977</v>
      </c>
      <c r="F94" s="5"/>
    </row>
    <row r="95" spans="2:7" x14ac:dyDescent="0.2">
      <c r="B95" s="16"/>
      <c r="D95" s="156" t="s">
        <v>1109</v>
      </c>
      <c r="E95" s="387">
        <v>0</v>
      </c>
      <c r="F95" s="5" t="s">
        <v>176</v>
      </c>
    </row>
    <row r="96" spans="2:7" x14ac:dyDescent="0.2">
      <c r="B96" s="16"/>
      <c r="D96" s="156" t="s">
        <v>1119</v>
      </c>
      <c r="E96" s="387">
        <v>0</v>
      </c>
      <c r="F96" s="5" t="s">
        <v>176</v>
      </c>
    </row>
    <row r="97" spans="2:7" x14ac:dyDescent="0.2">
      <c r="B97" s="16"/>
      <c r="D97" s="156" t="s">
        <v>1120</v>
      </c>
      <c r="E97" s="387">
        <v>0</v>
      </c>
      <c r="F97" s="5" t="s">
        <v>176</v>
      </c>
    </row>
    <row r="98" spans="2:7" x14ac:dyDescent="0.2">
      <c r="B98" s="16"/>
    </row>
    <row r="99" spans="2:7" x14ac:dyDescent="0.2">
      <c r="B99" s="16"/>
    </row>
    <row r="100" spans="2:7" ht="12.75" x14ac:dyDescent="0.2">
      <c r="B100" s="16"/>
      <c r="C100" s="36" t="s">
        <v>1181</v>
      </c>
      <c r="D100" s="41" t="str">
        <f>INPUT_INCLUDEGASLINE</f>
        <v>Yes</v>
      </c>
    </row>
    <row r="101" spans="2:7" ht="12.75" x14ac:dyDescent="0.2">
      <c r="B101" s="16"/>
      <c r="C101" s="36" t="s">
        <v>1182</v>
      </c>
      <c r="D101" s="233">
        <f>IF(D100="No",0,INPUT_GASLINECOST)</f>
        <v>5600</v>
      </c>
      <c r="E101" s="188" t="s">
        <v>1180</v>
      </c>
    </row>
    <row r="102" spans="2:7" x14ac:dyDescent="0.2">
      <c r="B102" s="16"/>
    </row>
    <row r="103" spans="2:7" x14ac:dyDescent="0.2">
      <c r="B103" s="16"/>
      <c r="C103" s="109" t="s">
        <v>1187</v>
      </c>
    </row>
    <row r="104" spans="2:7" x14ac:dyDescent="0.2">
      <c r="B104" s="16"/>
      <c r="C104" s="109" t="s">
        <v>457</v>
      </c>
    </row>
    <row r="105" spans="2:7" x14ac:dyDescent="0.2">
      <c r="B105" s="16"/>
      <c r="C105" s="109" t="s">
        <v>458</v>
      </c>
    </row>
    <row r="106" spans="2:7" x14ac:dyDescent="0.2">
      <c r="B106" s="16"/>
      <c r="C106" s="109" t="s">
        <v>459</v>
      </c>
    </row>
    <row r="107" spans="2:7" x14ac:dyDescent="0.2">
      <c r="B107" s="16"/>
      <c r="C107" s="109" t="s">
        <v>460</v>
      </c>
    </row>
    <row r="108" spans="2:7" ht="12.75" x14ac:dyDescent="0.2">
      <c r="B108" s="16"/>
      <c r="D108" s="95" t="s">
        <v>1183</v>
      </c>
      <c r="E108" s="108">
        <v>10530</v>
      </c>
      <c r="F108" s="6" t="s">
        <v>164</v>
      </c>
      <c r="G108" s="6" t="s">
        <v>455</v>
      </c>
    </row>
    <row r="109" spans="2:7" ht="12.75" x14ac:dyDescent="0.2">
      <c r="B109" s="16"/>
      <c r="D109" s="95" t="s">
        <v>1184</v>
      </c>
      <c r="E109" s="108">
        <v>10530</v>
      </c>
      <c r="F109" s="6" t="s">
        <v>164</v>
      </c>
      <c r="G109" s="6" t="s">
        <v>455</v>
      </c>
    </row>
    <row r="110" spans="2:7" ht="12.75" x14ac:dyDescent="0.2">
      <c r="B110" s="16"/>
      <c r="D110" s="95" t="s">
        <v>1185</v>
      </c>
      <c r="E110" s="108">
        <v>10530</v>
      </c>
      <c r="F110" s="6" t="s">
        <v>164</v>
      </c>
      <c r="G110" s="6" t="s">
        <v>456</v>
      </c>
    </row>
    <row r="111" spans="2:7" x14ac:dyDescent="0.2">
      <c r="B111" s="16"/>
    </row>
    <row r="112" spans="2:7" ht="12.75" x14ac:dyDescent="0.2">
      <c r="B112" s="16"/>
      <c r="C112" s="420" t="s">
        <v>1196</v>
      </c>
      <c r="D112" s="146">
        <v>0</v>
      </c>
      <c r="E112" s="188" t="s">
        <v>1180</v>
      </c>
      <c r="F112" s="8" t="s">
        <v>1340</v>
      </c>
    </row>
    <row r="113" spans="2:14" x14ac:dyDescent="0.2">
      <c r="B113" s="16"/>
    </row>
    <row r="114" spans="2:14" x14ac:dyDescent="0.2">
      <c r="B114" s="16"/>
      <c r="C114" s="6" t="s">
        <v>324</v>
      </c>
    </row>
    <row r="115" spans="2:14" ht="12.75" x14ac:dyDescent="0.2">
      <c r="B115" s="16"/>
      <c r="D115" s="95" t="s">
        <v>331</v>
      </c>
      <c r="E115" s="42">
        <f>E108+$D$101+$D$112</f>
        <v>16130</v>
      </c>
      <c r="F115" s="6" t="s">
        <v>164</v>
      </c>
    </row>
    <row r="116" spans="2:14" ht="12.75" x14ac:dyDescent="0.2">
      <c r="B116" s="16"/>
      <c r="D116" s="95" t="s">
        <v>332</v>
      </c>
      <c r="E116" s="42">
        <f>E109+$D$101+$D$112</f>
        <v>16130</v>
      </c>
      <c r="F116" s="6" t="s">
        <v>164</v>
      </c>
    </row>
    <row r="117" spans="2:14" ht="12.75" x14ac:dyDescent="0.2">
      <c r="B117" s="16"/>
      <c r="D117" s="95" t="s">
        <v>393</v>
      </c>
      <c r="E117" s="42">
        <f>E110+$D$101+$D$112</f>
        <v>16130</v>
      </c>
      <c r="F117" s="6" t="s">
        <v>164</v>
      </c>
    </row>
    <row r="118" spans="2:14" x14ac:dyDescent="0.2">
      <c r="B118" s="16"/>
    </row>
    <row r="119" spans="2:14" x14ac:dyDescent="0.2">
      <c r="B119" s="16"/>
    </row>
    <row r="121" spans="2:14" ht="13.5" thickBot="1" x14ac:dyDescent="0.25">
      <c r="B121" s="9" t="s">
        <v>322</v>
      </c>
      <c r="C121" s="9"/>
      <c r="D121" s="9"/>
      <c r="E121" s="9"/>
      <c r="F121" s="9"/>
      <c r="G121" s="9"/>
      <c r="H121" s="9"/>
      <c r="I121" s="9"/>
      <c r="J121" s="9"/>
      <c r="K121" s="9"/>
      <c r="L121" s="9"/>
      <c r="M121" s="9"/>
      <c r="N121" s="9"/>
    </row>
    <row r="122" spans="2:14" x14ac:dyDescent="0.2">
      <c r="B122" s="16"/>
    </row>
    <row r="123" spans="2:14" x14ac:dyDescent="0.2">
      <c r="B123" s="16"/>
    </row>
    <row r="124" spans="2:14" x14ac:dyDescent="0.2">
      <c r="B124" s="16"/>
    </row>
    <row r="125" spans="2:14" x14ac:dyDescent="0.2">
      <c r="B125" s="16"/>
    </row>
    <row r="126" spans="2:14" x14ac:dyDescent="0.2">
      <c r="B126" s="16"/>
    </row>
    <row r="127" spans="2:14" x14ac:dyDescent="0.2">
      <c r="B127" s="16"/>
    </row>
    <row r="128" spans="2:14" x14ac:dyDescent="0.2">
      <c r="B128" s="16"/>
    </row>
    <row r="129" spans="2:2" x14ac:dyDescent="0.2">
      <c r="B129" s="16"/>
    </row>
    <row r="130" spans="2:2" x14ac:dyDescent="0.2">
      <c r="B130" s="16"/>
    </row>
    <row r="131" spans="2:2" x14ac:dyDescent="0.2">
      <c r="B131" s="16"/>
    </row>
    <row r="132" spans="2:2" x14ac:dyDescent="0.2">
      <c r="B132" s="16"/>
    </row>
    <row r="133" spans="2:2" x14ac:dyDescent="0.2">
      <c r="B133" s="16"/>
    </row>
    <row r="134" spans="2:2" x14ac:dyDescent="0.2">
      <c r="B134" s="16"/>
    </row>
    <row r="135" spans="2:2" x14ac:dyDescent="0.2">
      <c r="B135" s="16"/>
    </row>
    <row r="136" spans="2:2" x14ac:dyDescent="0.2">
      <c r="B136" s="16"/>
    </row>
    <row r="137" spans="2:2" x14ac:dyDescent="0.2">
      <c r="B137" s="16"/>
    </row>
    <row r="138" spans="2:2" x14ac:dyDescent="0.2">
      <c r="B138" s="16"/>
    </row>
    <row r="139" spans="2:2" x14ac:dyDescent="0.2">
      <c r="B139" s="16"/>
    </row>
    <row r="140" spans="2:2" x14ac:dyDescent="0.2">
      <c r="B140" s="16"/>
    </row>
    <row r="141" spans="2:2" x14ac:dyDescent="0.2">
      <c r="B141" s="16"/>
    </row>
    <row r="142" spans="2:2" x14ac:dyDescent="0.2">
      <c r="B142" s="16"/>
    </row>
    <row r="143" spans="2:2" x14ac:dyDescent="0.2">
      <c r="B143" s="16"/>
    </row>
    <row r="144" spans="2:2" x14ac:dyDescent="0.2">
      <c r="B144" s="16"/>
    </row>
    <row r="145" spans="2:2" x14ac:dyDescent="0.2">
      <c r="B145" s="16"/>
    </row>
    <row r="146" spans="2:2" x14ac:dyDescent="0.2">
      <c r="B146" s="16"/>
    </row>
    <row r="147" spans="2:2" x14ac:dyDescent="0.2">
      <c r="B147" s="16"/>
    </row>
    <row r="148" spans="2:2" x14ac:dyDescent="0.2">
      <c r="B148" s="16"/>
    </row>
    <row r="149" spans="2:2" x14ac:dyDescent="0.2">
      <c r="B149" s="16"/>
    </row>
    <row r="150" spans="2:2" x14ac:dyDescent="0.2">
      <c r="B150" s="16"/>
    </row>
    <row r="151" spans="2:2" x14ac:dyDescent="0.2">
      <c r="B151" s="16"/>
    </row>
    <row r="152" spans="2:2" x14ac:dyDescent="0.2">
      <c r="B152" s="16"/>
    </row>
    <row r="153" spans="2:2" x14ac:dyDescent="0.2">
      <c r="B153" s="16"/>
    </row>
    <row r="154" spans="2:2" x14ac:dyDescent="0.2">
      <c r="B154" s="16"/>
    </row>
    <row r="155" spans="2:2" x14ac:dyDescent="0.2">
      <c r="B155" s="16"/>
    </row>
    <row r="156" spans="2:2" x14ac:dyDescent="0.2">
      <c r="B156" s="16"/>
    </row>
    <row r="157" spans="2:2" x14ac:dyDescent="0.2">
      <c r="B157" s="16"/>
    </row>
    <row r="158" spans="2:2" x14ac:dyDescent="0.2">
      <c r="B158" s="16"/>
    </row>
    <row r="159" spans="2:2" x14ac:dyDescent="0.2">
      <c r="B159" s="16"/>
    </row>
    <row r="160" spans="2:2" x14ac:dyDescent="0.2">
      <c r="B160" s="16"/>
    </row>
    <row r="161" spans="2:2" x14ac:dyDescent="0.2">
      <c r="B161" s="16"/>
    </row>
    <row r="162" spans="2:2" x14ac:dyDescent="0.2">
      <c r="B162" s="16"/>
    </row>
    <row r="163" spans="2:2" x14ac:dyDescent="0.2">
      <c r="B163" s="16"/>
    </row>
    <row r="164" spans="2:2" x14ac:dyDescent="0.2">
      <c r="B164" s="16"/>
    </row>
    <row r="165" spans="2:2" x14ac:dyDescent="0.2">
      <c r="B165" s="16"/>
    </row>
  </sheetData>
  <mergeCells count="20">
    <mergeCell ref="D59:G59"/>
    <mergeCell ref="D60:G60"/>
    <mergeCell ref="D61:G61"/>
    <mergeCell ref="D52:E52"/>
    <mergeCell ref="F52:G52"/>
    <mergeCell ref="D53:E53"/>
    <mergeCell ref="F53:G53"/>
    <mergeCell ref="D58:G58"/>
    <mergeCell ref="D50:E50"/>
    <mergeCell ref="F50:G50"/>
    <mergeCell ref="H50:I50"/>
    <mergeCell ref="J50:K50"/>
    <mergeCell ref="H53:I53"/>
    <mergeCell ref="J53:K53"/>
    <mergeCell ref="D51:E51"/>
    <mergeCell ref="F51:G51"/>
    <mergeCell ref="H51:I51"/>
    <mergeCell ref="J51:K51"/>
    <mergeCell ref="H52:I52"/>
    <mergeCell ref="J52:K52"/>
  </mergeCells>
  <dataValidations count="2">
    <dataValidation type="list" allowBlank="1" showInputMessage="1" showErrorMessage="1" sqref="D5">
      <formula1>"1. Not Started,2. Analyzing,3. Ready"</formula1>
    </dataValidation>
    <dataValidation type="list" allowBlank="1" showInputMessage="1" showErrorMessage="1" sqref="D9">
      <formula1>DEFINED_MEASURES</formula1>
    </dataValidation>
  </dataValidations>
  <hyperlinks>
    <hyperlink ref="H59" r:id="rId1"/>
  </hyperlinks>
  <pageMargins left="0.7" right="0.7" top="0.75" bottom="0.75" header="0.3" footer="0.3"/>
  <pageSetup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3"/>
  </sheetPr>
  <dimension ref="A1:AD143"/>
  <sheetViews>
    <sheetView workbookViewId="0"/>
  </sheetViews>
  <sheetFormatPr defaultColWidth="9.33203125" defaultRowHeight="11.25" x14ac:dyDescent="0.2"/>
  <cols>
    <col min="1" max="2" width="3.33203125" style="6" customWidth="1"/>
    <col min="3" max="3" width="22.6640625" style="6" bestFit="1" customWidth="1"/>
    <col min="4" max="4" width="14.33203125" style="6" customWidth="1"/>
    <col min="5" max="5" width="16.33203125" style="6" customWidth="1"/>
    <col min="6" max="6" width="15" style="6" customWidth="1"/>
    <col min="7" max="7" width="13.5" style="6" customWidth="1"/>
    <col min="8" max="8" width="15" style="6" customWidth="1"/>
    <col min="9" max="9" width="22.33203125" style="6" bestFit="1" customWidth="1"/>
    <col min="10" max="10" width="20.5" style="6" bestFit="1" customWidth="1"/>
    <col min="11"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93" t="s">
        <v>104</v>
      </c>
      <c r="E9" s="7" t="s">
        <v>290</v>
      </c>
    </row>
    <row r="10" spans="1:30" ht="12.75" x14ac:dyDescent="0.2">
      <c r="B10" s="16"/>
      <c r="C10" s="30" t="s">
        <v>289</v>
      </c>
      <c r="D10" s="83" t="str">
        <f>INDEX(Tbl_MeasureList[Baseline ID],MATCH($D$9,Tbl_MeasureList[Measure ID],0))</f>
        <v>BASE15</v>
      </c>
      <c r="E10" s="7"/>
    </row>
    <row r="11" spans="1:30" x14ac:dyDescent="0.2">
      <c r="B11" s="16"/>
      <c r="C11" s="7"/>
      <c r="D11" s="7"/>
      <c r="E11" s="7"/>
    </row>
    <row r="12" spans="1:30" ht="12" thickBot="1" x14ac:dyDescent="0.25">
      <c r="B12" s="16"/>
      <c r="C12" s="7"/>
      <c r="D12" s="89" t="s">
        <v>5</v>
      </c>
      <c r="E12" s="89" t="s">
        <v>284</v>
      </c>
    </row>
    <row r="13" spans="1:30" x14ac:dyDescent="0.2">
      <c r="B13" s="16"/>
      <c r="C13" s="32" t="s">
        <v>2</v>
      </c>
      <c r="D13" s="84" t="str">
        <f>INDEX(Tbl_MeasureList[Baseline Equipment ID],MATCH($D$9,Tbl_MeasureList[Measure ID],0))</f>
        <v>EQUI026</v>
      </c>
      <c r="E13" s="84" t="str">
        <f>INDEX(Tbl_MeasureList[Replacement ID],MATCH($D$9,Tbl_MeasureList[Measure ID],0))</f>
        <v>EQUI028</v>
      </c>
      <c r="F13" s="7"/>
    </row>
    <row r="14" spans="1:30" x14ac:dyDescent="0.2">
      <c r="B14" s="16"/>
      <c r="C14" s="32" t="s">
        <v>4</v>
      </c>
      <c r="D14" s="85" t="str">
        <f>INDEX(Tbl_EquipmentDefinitions[[Equipment Name]:[Equipment Name]],MATCH(D$13,Tbl_EquipmentDefinitions[[Equipment ID]:[Equipment ID]],0))</f>
        <v>Oil Storage WH</v>
      </c>
      <c r="E14" s="85" t="str">
        <f>INDEX(Tbl_EquipmentDefinitions[[Equipment Name]:[Equipment Name]],MATCH(E$13,Tbl_EquipmentDefinitions[[Equipment ID]:[Equipment ID]],0))</f>
        <v>Gas Storage WH</v>
      </c>
      <c r="F14" s="7"/>
    </row>
    <row r="15" spans="1:30" x14ac:dyDescent="0.2">
      <c r="B15" s="16"/>
      <c r="C15" s="32" t="s">
        <v>24</v>
      </c>
      <c r="D15" s="84" t="str">
        <f>INDEX(Tbl_EquipmentDefinitions[[Function]:[Function]],MATCH(D$13,Tbl_EquipmentDefinitions[[Equipment ID]:[Equipment ID]],0))</f>
        <v>HW</v>
      </c>
      <c r="E15" s="84" t="str">
        <f>INDEX(Tbl_EquipmentDefinitions[[Function]:[Function]],MATCH(E$13,Tbl_EquipmentDefinitions[[Equipment ID]:[Equipment ID]],0))</f>
        <v>HW</v>
      </c>
      <c r="F15" s="7"/>
    </row>
    <row r="16" spans="1:30" x14ac:dyDescent="0.2">
      <c r="B16" s="16"/>
      <c r="C16" s="32" t="s">
        <v>7</v>
      </c>
      <c r="D16" s="85" t="str">
        <f>INDEX(Tbl_EquipmentDefinitions[[Fuel Type]:[Fuel Type]],MATCH(D$13,Tbl_EquipmentDefinitions[[Equipment ID]:[Equipment ID]],0))</f>
        <v>Oil</v>
      </c>
      <c r="E16" s="85" t="str">
        <f>INDEX(Tbl_EquipmentDefinitions[[Fuel Type]:[Fuel Type]],MATCH(E$13,Tbl_EquipmentDefinitions[[Equipment ID]:[Equipment ID]],0))</f>
        <v>Natural Gas</v>
      </c>
      <c r="F16" s="7"/>
    </row>
    <row r="17" spans="2:14" x14ac:dyDescent="0.2">
      <c r="B17" s="16"/>
      <c r="C17" s="32" t="s">
        <v>126</v>
      </c>
      <c r="D17" s="84">
        <f>IF(ISERR(SEARCH("+",D16,1)),1,2)</f>
        <v>1</v>
      </c>
      <c r="E17" s="84">
        <f>IF(ISERR(SEARCH("+",E16,1)),1,2)</f>
        <v>1</v>
      </c>
      <c r="F17" s="7"/>
    </row>
    <row r="18" spans="2:14" x14ac:dyDescent="0.2">
      <c r="B18" s="16"/>
      <c r="C18" s="32" t="s">
        <v>155</v>
      </c>
      <c r="D18" s="86">
        <f>INDEX(Tbl_BaselineSummary[Space Heating Load (MMBtu/yr)],MATCH($D$10,Tbl_BaselineSummary[Baseline ID],0))</f>
        <v>76.7</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13.9</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89" t="s">
        <v>127</v>
      </c>
      <c r="D25" s="281" t="s">
        <v>345</v>
      </c>
      <c r="E25" s="385" t="s">
        <v>956</v>
      </c>
      <c r="F25" s="281" t="s">
        <v>326</v>
      </c>
      <c r="G25" s="421" t="s">
        <v>1532</v>
      </c>
      <c r="H25" s="385" t="s">
        <v>958</v>
      </c>
      <c r="I25" s="569" t="s">
        <v>1447</v>
      </c>
      <c r="J25" s="569" t="s">
        <v>1448</v>
      </c>
      <c r="L25" s="89" t="s">
        <v>1533</v>
      </c>
      <c r="M25" s="421" t="s">
        <v>1531</v>
      </c>
    </row>
    <row r="26" spans="2:14" ht="11.25" customHeight="1" x14ac:dyDescent="0.2">
      <c r="B26" s="16"/>
      <c r="C26" s="32" t="s">
        <v>6</v>
      </c>
      <c r="D26" s="122">
        <f>E81</f>
        <v>0</v>
      </c>
      <c r="E26" s="126">
        <f>E92</f>
        <v>0</v>
      </c>
      <c r="F26" s="111">
        <f>D26*PRICE_PER_KWH_2018_ELECTRICITY</f>
        <v>0</v>
      </c>
      <c r="G26" s="139">
        <v>0</v>
      </c>
      <c r="H26" s="404">
        <f>E95</f>
        <v>0</v>
      </c>
      <c r="I26" s="39" t="s">
        <v>1449</v>
      </c>
      <c r="J26" s="39" t="s">
        <v>1449</v>
      </c>
      <c r="L26" s="84">
        <f t="shared" ref="L26:M28" si="0">F26+E32+E38+E44</f>
        <v>407.64909090909089</v>
      </c>
      <c r="M26" s="86">
        <f t="shared" si="0"/>
        <v>7191</v>
      </c>
    </row>
    <row r="27" spans="2:14" x14ac:dyDescent="0.2">
      <c r="B27" s="16"/>
      <c r="C27" s="32" t="s">
        <v>19</v>
      </c>
      <c r="D27" s="122">
        <f>E82</f>
        <v>68.5</v>
      </c>
      <c r="E27" s="126">
        <f>E93</f>
        <v>2.7043031977891829E-2</v>
      </c>
      <c r="F27" s="111">
        <f>D27*PRICE_PER_KWH_2018_ELECTRICITY</f>
        <v>13.549300000000001</v>
      </c>
      <c r="G27" s="139">
        <v>0</v>
      </c>
      <c r="H27" s="404">
        <f t="shared" ref="H27:H28" si="1">E96</f>
        <v>1.2710225029609159E-2</v>
      </c>
      <c r="I27" s="39" t="s">
        <v>1449</v>
      </c>
      <c r="J27" s="39" t="s">
        <v>1449</v>
      </c>
      <c r="L27" s="84">
        <f t="shared" si="0"/>
        <v>387.22763333333342</v>
      </c>
      <c r="M27" s="86">
        <f t="shared" si="0"/>
        <v>7613</v>
      </c>
    </row>
    <row r="28" spans="2:14" x14ac:dyDescent="0.2">
      <c r="B28" s="16"/>
      <c r="C28" s="32" t="s">
        <v>20</v>
      </c>
      <c r="D28" s="122">
        <f>E83</f>
        <v>60.6</v>
      </c>
      <c r="E28" s="126">
        <f>E94</f>
        <v>2.3924200552704302E-2</v>
      </c>
      <c r="F28" s="111">
        <f>D28*PRICE_PER_KWH_2018_ELECTRICITY</f>
        <v>11.98668</v>
      </c>
      <c r="G28" s="139">
        <v>0</v>
      </c>
      <c r="H28" s="404">
        <f t="shared" si="1"/>
        <v>1.1244374259771022E-2</v>
      </c>
      <c r="I28" s="39" t="s">
        <v>1449</v>
      </c>
      <c r="J28" s="39" t="s">
        <v>1449</v>
      </c>
      <c r="L28" s="84">
        <f t="shared" si="0"/>
        <v>351.69425575757577</v>
      </c>
      <c r="M28" s="86">
        <f t="shared" si="0"/>
        <v>9981</v>
      </c>
    </row>
    <row r="29" spans="2:14" x14ac:dyDescent="0.2">
      <c r="B29" s="16"/>
    </row>
    <row r="30" spans="2:14" ht="12.75" thickBot="1" x14ac:dyDescent="0.25">
      <c r="B30" s="16"/>
      <c r="C30" s="34" t="s">
        <v>55</v>
      </c>
      <c r="D30" s="34"/>
      <c r="E30" s="33"/>
      <c r="F30" s="33"/>
    </row>
    <row r="31" spans="2:14" ht="34.5" thickBot="1" x14ac:dyDescent="0.25">
      <c r="B31" s="16"/>
      <c r="C31" s="89" t="s">
        <v>127</v>
      </c>
      <c r="D31" s="281" t="s">
        <v>325</v>
      </c>
      <c r="E31" s="281" t="s">
        <v>326</v>
      </c>
      <c r="F31" s="421" t="s">
        <v>1532</v>
      </c>
    </row>
    <row r="32" spans="2:14" x14ac:dyDescent="0.2">
      <c r="B32" s="16"/>
      <c r="C32" s="32" t="s">
        <v>6</v>
      </c>
      <c r="D32" s="122">
        <f>E77</f>
        <v>252.72727272727269</v>
      </c>
      <c r="E32" s="111">
        <f>D32*PRICE_PER_THERM_2018_NATURALGAS</f>
        <v>407.64909090909089</v>
      </c>
      <c r="F32" s="111">
        <f>E108</f>
        <v>7191</v>
      </c>
      <c r="G32" s="7" t="s">
        <v>128</v>
      </c>
    </row>
    <row r="33" spans="2:14" x14ac:dyDescent="0.2">
      <c r="B33" s="16"/>
      <c r="C33" s="32" t="s">
        <v>19</v>
      </c>
      <c r="D33" s="122">
        <f>E78</f>
        <v>231.66666666666669</v>
      </c>
      <c r="E33" s="111">
        <f>D33*PRICE_PER_THERM_2018_NATURALGAS</f>
        <v>373.6783333333334</v>
      </c>
      <c r="F33" s="111">
        <f t="shared" ref="F33:F34" si="2">E109</f>
        <v>7613</v>
      </c>
    </row>
    <row r="34" spans="2:14" x14ac:dyDescent="0.2">
      <c r="B34" s="16"/>
      <c r="C34" s="32" t="s">
        <v>20</v>
      </c>
      <c r="D34" s="122">
        <f>E79</f>
        <v>210.60606060606059</v>
      </c>
      <c r="E34" s="111">
        <f>D34*PRICE_PER_THERM_2018_NATURALGAS</f>
        <v>339.7075757575758</v>
      </c>
      <c r="F34" s="111">
        <f t="shared" si="2"/>
        <v>9981</v>
      </c>
    </row>
    <row r="35" spans="2:14" x14ac:dyDescent="0.2">
      <c r="B35" s="16"/>
    </row>
    <row r="36" spans="2:14" ht="12.75" thickBot="1" x14ac:dyDescent="0.25">
      <c r="B36" s="16"/>
      <c r="C36" s="34" t="s">
        <v>28</v>
      </c>
      <c r="D36" s="34"/>
      <c r="E36" s="33"/>
      <c r="F36" s="33"/>
    </row>
    <row r="37" spans="2:14" ht="34.5" thickBot="1" x14ac:dyDescent="0.25">
      <c r="B37" s="16"/>
      <c r="C37" s="89" t="s">
        <v>127</v>
      </c>
      <c r="D37" s="281" t="s">
        <v>756</v>
      </c>
      <c r="E37" s="281" t="s">
        <v>326</v>
      </c>
      <c r="F37" s="421"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34.5" thickBot="1" x14ac:dyDescent="0.25">
      <c r="B43" s="16"/>
      <c r="C43" s="89" t="s">
        <v>127</v>
      </c>
      <c r="D43" s="281" t="s">
        <v>756</v>
      </c>
      <c r="E43" s="281" t="s">
        <v>326</v>
      </c>
      <c r="F43" s="421" t="s">
        <v>1532</v>
      </c>
    </row>
    <row r="44" spans="2:14" x14ac:dyDescent="0.2">
      <c r="B44" s="16"/>
      <c r="C44" s="32" t="s">
        <v>6</v>
      </c>
      <c r="D44" s="40">
        <v>0</v>
      </c>
      <c r="E44" s="39">
        <v>0</v>
      </c>
      <c r="F44" s="39">
        <v>0</v>
      </c>
      <c r="G44" s="7" t="s">
        <v>128</v>
      </c>
    </row>
    <row r="45" spans="2:14" x14ac:dyDescent="0.2">
      <c r="B45" s="16"/>
      <c r="C45" s="32" t="s">
        <v>19</v>
      </c>
      <c r="D45" s="40">
        <v>0</v>
      </c>
      <c r="E45" s="39">
        <v>0</v>
      </c>
      <c r="F45" s="39">
        <v>0</v>
      </c>
    </row>
    <row r="46" spans="2:14" x14ac:dyDescent="0.2">
      <c r="B46" s="16"/>
      <c r="C46" s="32" t="s">
        <v>20</v>
      </c>
      <c r="D46" s="40">
        <v>0</v>
      </c>
      <c r="E46" s="39">
        <v>0</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v>
      </c>
      <c r="E51" s="690"/>
      <c r="F51" s="693" t="str">
        <f>INDEX(Tbl_EquipmentDefinitions[Natural Gas Code Efficiency],MATCH($E$13,Tbl_EquipmentDefinitions[Equipment ID],0))</f>
        <v>0.55 UEF</v>
      </c>
      <c r="G51" s="690"/>
      <c r="H51" s="693" t="str">
        <f>INDEX(Tbl_EquipmentDefinitions[Propane Code Efficiency],MATCH($E$13,Tbl_EquipmentDefinitions[Equipment ID],0))</f>
        <v>-</v>
      </c>
      <c r="I51" s="690"/>
      <c r="J51" s="693" t="str">
        <f>INDEX(Tbl_EquipmentDefinitions[Oil Code Efficiency],MATCH($E$13,Tbl_EquipmentDefinitions[Equipment ID],0))</f>
        <v>-</v>
      </c>
      <c r="K51" s="690"/>
    </row>
    <row r="52" spans="2:14" ht="12.75" x14ac:dyDescent="0.2">
      <c r="B52" s="16"/>
      <c r="C52" s="30" t="s">
        <v>153</v>
      </c>
      <c r="D52" s="689" t="str">
        <f>INDEX(Tbl_EquipmentDefinitions[Electricity Low Measure Efficiency],MATCH($E$13,Tbl_EquipmentDefinitions[Equipment ID],0))</f>
        <v>-</v>
      </c>
      <c r="E52" s="690"/>
      <c r="F52" s="689" t="str">
        <f>INDEX(Tbl_EquipmentDefinitions[Natural Gas Low Measure Efficiency],MATCH($E$13,Tbl_EquipmentDefinitions[Equipment ID],0))</f>
        <v>0.60 UEF</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v>
      </c>
      <c r="E53" s="690"/>
      <c r="F53" s="689" t="str">
        <f>INDEX(Tbl_EquipmentDefinitions[Natural Gas High Measure Efficiency],MATCH($E$13,Tbl_EquipmentDefinitions[Equipment ID],0))</f>
        <v>0.66 UEF</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89" t="s">
        <v>131</v>
      </c>
      <c r="D58" s="691" t="s">
        <v>132</v>
      </c>
      <c r="E58" s="692"/>
      <c r="F58" s="692"/>
      <c r="G58" s="692"/>
    </row>
    <row r="59" spans="2:14" x14ac:dyDescent="0.2">
      <c r="B59" s="16"/>
      <c r="C59" s="32" t="s">
        <v>342</v>
      </c>
      <c r="D59" s="696" t="s">
        <v>315</v>
      </c>
      <c r="E59" s="697"/>
      <c r="F59" s="697"/>
      <c r="G59" s="697"/>
    </row>
    <row r="60" spans="2:14" x14ac:dyDescent="0.2">
      <c r="B60" s="16"/>
      <c r="C60" s="32" t="s">
        <v>343</v>
      </c>
      <c r="D60" s="120" t="s">
        <v>344</v>
      </c>
      <c r="E60" s="121"/>
      <c r="F60" s="121"/>
      <c r="G60" s="121"/>
    </row>
    <row r="61" spans="2:14" x14ac:dyDescent="0.2">
      <c r="B61" s="16"/>
      <c r="C61" s="32" t="s">
        <v>386</v>
      </c>
      <c r="D61" s="698" t="s">
        <v>316</v>
      </c>
      <c r="E61" s="699"/>
      <c r="F61" s="699"/>
      <c r="G61" s="699"/>
      <c r="H61" s="94" t="s">
        <v>317</v>
      </c>
    </row>
    <row r="62" spans="2:14" x14ac:dyDescent="0.2">
      <c r="B62" s="16"/>
      <c r="C62" s="32" t="s">
        <v>346</v>
      </c>
      <c r="D62" s="698" t="s">
        <v>336</v>
      </c>
      <c r="E62" s="699"/>
      <c r="F62" s="699"/>
      <c r="G62" s="699"/>
      <c r="H62" s="94" t="s">
        <v>337</v>
      </c>
    </row>
    <row r="64" spans="2:14" ht="13.5" thickBot="1" x14ac:dyDescent="0.25">
      <c r="B64" s="9" t="s">
        <v>129</v>
      </c>
      <c r="C64" s="9"/>
      <c r="D64" s="9"/>
      <c r="E64" s="9"/>
      <c r="F64" s="9"/>
      <c r="G64" s="9"/>
      <c r="H64" s="9"/>
      <c r="I64" s="9"/>
      <c r="J64" s="9"/>
      <c r="K64" s="9"/>
      <c r="L64" s="9"/>
      <c r="M64" s="9"/>
      <c r="N64" s="9"/>
    </row>
    <row r="65" spans="2:7" x14ac:dyDescent="0.2">
      <c r="B65" s="15"/>
    </row>
    <row r="66" spans="2:7" x14ac:dyDescent="0.2">
      <c r="B66" s="16"/>
      <c r="C66" s="6" t="s">
        <v>327</v>
      </c>
    </row>
    <row r="67" spans="2:7" x14ac:dyDescent="0.2">
      <c r="B67" s="16"/>
      <c r="C67" s="6" t="s">
        <v>400</v>
      </c>
    </row>
    <row r="68" spans="2:7" x14ac:dyDescent="0.2">
      <c r="B68" s="16"/>
      <c r="C68" s="6" t="s">
        <v>352</v>
      </c>
    </row>
    <row r="69" spans="2:7" x14ac:dyDescent="0.2">
      <c r="B69" s="16"/>
      <c r="C69" s="6" t="s">
        <v>338</v>
      </c>
    </row>
    <row r="70" spans="2:7" x14ac:dyDescent="0.2">
      <c r="B70" s="16"/>
    </row>
    <row r="71" spans="2:7" ht="12.75" x14ac:dyDescent="0.2">
      <c r="B71" s="16"/>
      <c r="D71" s="95" t="s">
        <v>244</v>
      </c>
      <c r="E71" s="140">
        <f>D20</f>
        <v>13.9</v>
      </c>
      <c r="F71" s="6" t="s">
        <v>381</v>
      </c>
      <c r="G71" s="6" t="s">
        <v>382</v>
      </c>
    </row>
    <row r="72" spans="2:7" ht="12.75" x14ac:dyDescent="0.2">
      <c r="B72" s="16"/>
      <c r="D72" s="96"/>
      <c r="E72" s="97"/>
      <c r="F72" s="97"/>
    </row>
    <row r="73" spans="2:7" ht="12.75" x14ac:dyDescent="0.2">
      <c r="B73" s="16"/>
      <c r="D73" s="95" t="s">
        <v>318</v>
      </c>
      <c r="E73" s="107">
        <v>0.55000000000000004</v>
      </c>
      <c r="F73" s="6" t="s">
        <v>319</v>
      </c>
      <c r="G73" s="6" t="s">
        <v>1140</v>
      </c>
    </row>
    <row r="74" spans="2:7" ht="12.75" x14ac:dyDescent="0.2">
      <c r="B74" s="16"/>
      <c r="D74" s="95" t="s">
        <v>388</v>
      </c>
      <c r="E74" s="44">
        <v>0.6</v>
      </c>
      <c r="F74" s="6" t="s">
        <v>319</v>
      </c>
      <c r="G74" s="6" t="s">
        <v>1140</v>
      </c>
    </row>
    <row r="75" spans="2:7" ht="12.75" x14ac:dyDescent="0.2">
      <c r="B75" s="16"/>
      <c r="D75" s="95" t="s">
        <v>389</v>
      </c>
      <c r="E75" s="107">
        <v>0.66</v>
      </c>
      <c r="F75" s="6" t="s">
        <v>319</v>
      </c>
      <c r="G75" s="6" t="s">
        <v>1140</v>
      </c>
    </row>
    <row r="76" spans="2:7" ht="12.75" x14ac:dyDescent="0.2">
      <c r="B76" s="16"/>
      <c r="D76" s="96"/>
    </row>
    <row r="77" spans="2:7" ht="12.75" x14ac:dyDescent="0.2">
      <c r="B77" s="16"/>
      <c r="D77" s="95" t="s">
        <v>329</v>
      </c>
      <c r="E77" s="37">
        <f>(E71/E73)*Therm_per_MMBtu</f>
        <v>252.72727272727269</v>
      </c>
      <c r="F77" s="6" t="s">
        <v>321</v>
      </c>
    </row>
    <row r="78" spans="2:7" ht="12.75" x14ac:dyDescent="0.2">
      <c r="B78" s="16"/>
      <c r="D78" s="95" t="s">
        <v>330</v>
      </c>
      <c r="E78" s="37">
        <f>(E71/E74)*Therm_per_MMBtu</f>
        <v>231.66666666666669</v>
      </c>
      <c r="F78" s="6" t="s">
        <v>321</v>
      </c>
    </row>
    <row r="79" spans="2:7" ht="12.75" x14ac:dyDescent="0.2">
      <c r="B79" s="16"/>
      <c r="D79" s="95" t="s">
        <v>390</v>
      </c>
      <c r="E79" s="37">
        <f>(E71/E75)*Therm_per_MMBtu</f>
        <v>210.60606060606059</v>
      </c>
      <c r="F79" s="6" t="s">
        <v>321</v>
      </c>
    </row>
    <row r="80" spans="2:7" x14ac:dyDescent="0.2">
      <c r="B80" s="16"/>
    </row>
    <row r="81" spans="2:7" ht="12.75" x14ac:dyDescent="0.2">
      <c r="B81" s="16"/>
      <c r="D81" s="95" t="s">
        <v>252</v>
      </c>
      <c r="E81" s="44">
        <v>0</v>
      </c>
      <c r="F81" s="6" t="s">
        <v>365</v>
      </c>
      <c r="G81" s="6" t="s">
        <v>392</v>
      </c>
    </row>
    <row r="82" spans="2:7" ht="12.75" x14ac:dyDescent="0.2">
      <c r="B82" s="16"/>
      <c r="D82" s="95" t="s">
        <v>341</v>
      </c>
      <c r="E82" s="44">
        <v>68.5</v>
      </c>
      <c r="F82" s="6" t="s">
        <v>365</v>
      </c>
      <c r="G82" s="6" t="s">
        <v>392</v>
      </c>
    </row>
    <row r="83" spans="2:7" ht="12.75" x14ac:dyDescent="0.2">
      <c r="B83" s="16"/>
      <c r="D83" s="95" t="s">
        <v>391</v>
      </c>
      <c r="E83" s="44">
        <v>60.6</v>
      </c>
      <c r="F83" s="6" t="s">
        <v>365</v>
      </c>
      <c r="G83" s="6" t="s">
        <v>392</v>
      </c>
    </row>
    <row r="84" spans="2:7" x14ac:dyDescent="0.2">
      <c r="B84" s="16"/>
    </row>
    <row r="85" spans="2:7" ht="12.75" x14ac:dyDescent="0.2">
      <c r="B85" s="16"/>
      <c r="D85" s="95" t="s">
        <v>347</v>
      </c>
      <c r="E85" s="124">
        <v>2533</v>
      </c>
      <c r="F85" s="6" t="s">
        <v>397</v>
      </c>
      <c r="G85" s="6" t="s">
        <v>348</v>
      </c>
    </row>
    <row r="86" spans="2:7" x14ac:dyDescent="0.2">
      <c r="B86" s="16"/>
      <c r="D86" s="123"/>
      <c r="E86" s="97"/>
      <c r="F86" s="97"/>
    </row>
    <row r="87" spans="2:7" x14ac:dyDescent="0.2">
      <c r="B87" s="16"/>
      <c r="D87" s="6" t="s">
        <v>1123</v>
      </c>
      <c r="F87" s="97"/>
    </row>
    <row r="88" spans="2:7" x14ac:dyDescent="0.2">
      <c r="B88" s="16"/>
      <c r="D88" s="155" t="s">
        <v>950</v>
      </c>
      <c r="E88" s="295">
        <v>1</v>
      </c>
      <c r="F88" s="97"/>
    </row>
    <row r="89" spans="2:7" x14ac:dyDescent="0.2">
      <c r="B89" s="16"/>
      <c r="D89" s="155" t="s">
        <v>982</v>
      </c>
      <c r="E89" s="295">
        <v>0.47</v>
      </c>
      <c r="F89" s="97"/>
    </row>
    <row r="90" spans="2:7" x14ac:dyDescent="0.2">
      <c r="B90" s="16"/>
      <c r="D90" s="123"/>
      <c r="E90" s="97"/>
      <c r="F90" s="97"/>
    </row>
    <row r="91" spans="2:7" x14ac:dyDescent="0.2">
      <c r="B91" s="16"/>
      <c r="D91" s="97" t="s">
        <v>1114</v>
      </c>
      <c r="E91" s="97"/>
      <c r="F91" s="97"/>
    </row>
    <row r="92" spans="2:7" ht="12.75" x14ac:dyDescent="0.2">
      <c r="B92" s="16"/>
      <c r="D92" s="95" t="s">
        <v>1112</v>
      </c>
      <c r="E92" s="125">
        <f>$E$88*E81/$E$85</f>
        <v>0</v>
      </c>
      <c r="F92" s="6" t="s">
        <v>176</v>
      </c>
    </row>
    <row r="93" spans="2:7" ht="12.75" x14ac:dyDescent="0.2">
      <c r="B93" s="16"/>
      <c r="D93" s="95" t="s">
        <v>1113</v>
      </c>
      <c r="E93" s="125">
        <f>$E$88*E82/$E$85</f>
        <v>2.7043031977891829E-2</v>
      </c>
      <c r="F93" s="6" t="s">
        <v>176</v>
      </c>
    </row>
    <row r="94" spans="2:7" ht="12.75" x14ac:dyDescent="0.2">
      <c r="B94" s="16"/>
      <c r="D94" s="95" t="s">
        <v>1121</v>
      </c>
      <c r="E94" s="125">
        <f>$E$88*E83/$E$85</f>
        <v>2.3924200552704302E-2</v>
      </c>
      <c r="F94" s="6" t="s">
        <v>176</v>
      </c>
    </row>
    <row r="95" spans="2:7" ht="12.75" x14ac:dyDescent="0.2">
      <c r="B95" s="16"/>
      <c r="D95" s="95" t="s">
        <v>1115</v>
      </c>
      <c r="E95" s="125">
        <f>$E$89*E81/$E$85</f>
        <v>0</v>
      </c>
      <c r="F95" s="6" t="s">
        <v>176</v>
      </c>
    </row>
    <row r="96" spans="2:7" ht="12.75" x14ac:dyDescent="0.2">
      <c r="B96" s="16"/>
      <c r="D96" s="95" t="s">
        <v>1116</v>
      </c>
      <c r="E96" s="125">
        <f>$E$89*E82/$E$85</f>
        <v>1.2710225029609159E-2</v>
      </c>
      <c r="F96" s="6" t="s">
        <v>176</v>
      </c>
    </row>
    <row r="97" spans="2:7" ht="12.75" x14ac:dyDescent="0.2">
      <c r="B97" s="16"/>
      <c r="D97" s="95" t="s">
        <v>1122</v>
      </c>
      <c r="E97" s="125">
        <f>$E$89*E83/$E$85</f>
        <v>1.1244374259771022E-2</v>
      </c>
      <c r="F97" s="6" t="s">
        <v>176</v>
      </c>
    </row>
    <row r="98" spans="2:7" x14ac:dyDescent="0.2">
      <c r="B98" s="16"/>
    </row>
    <row r="99" spans="2:7" ht="12.75" x14ac:dyDescent="0.2">
      <c r="B99" s="16"/>
      <c r="C99" s="36" t="s">
        <v>1181</v>
      </c>
      <c r="D99" s="41" t="str">
        <f>INPUT_INCLUDEGASLINE</f>
        <v>Yes</v>
      </c>
    </row>
    <row r="100" spans="2:7" ht="12.75" x14ac:dyDescent="0.2">
      <c r="B100" s="16"/>
      <c r="C100" s="36" t="s">
        <v>1182</v>
      </c>
      <c r="D100" s="233">
        <f>IF(D99="No",0,INPUT_GASLINECOST)</f>
        <v>5600</v>
      </c>
      <c r="E100" s="188" t="s">
        <v>1180</v>
      </c>
    </row>
    <row r="101" spans="2:7" x14ac:dyDescent="0.2">
      <c r="B101" s="16"/>
    </row>
    <row r="102" spans="2:7" x14ac:dyDescent="0.2">
      <c r="B102" s="16"/>
      <c r="C102" s="109" t="s">
        <v>1187</v>
      </c>
    </row>
    <row r="103" spans="2:7" ht="12.75" x14ac:dyDescent="0.2">
      <c r="B103" s="16"/>
      <c r="D103" s="95" t="s">
        <v>1183</v>
      </c>
      <c r="E103" s="108">
        <v>1591</v>
      </c>
      <c r="F103" s="6" t="s">
        <v>164</v>
      </c>
      <c r="G103" s="6" t="s">
        <v>394</v>
      </c>
    </row>
    <row r="104" spans="2:7" ht="12.75" x14ac:dyDescent="0.2">
      <c r="B104" s="16"/>
      <c r="D104" s="95" t="s">
        <v>1184</v>
      </c>
      <c r="E104" s="108">
        <v>2013</v>
      </c>
      <c r="F104" s="6" t="s">
        <v>164</v>
      </c>
      <c r="G104" s="6" t="s">
        <v>395</v>
      </c>
    </row>
    <row r="105" spans="2:7" ht="12.75" x14ac:dyDescent="0.2">
      <c r="B105" s="16"/>
      <c r="D105" s="95" t="s">
        <v>1185</v>
      </c>
      <c r="E105" s="108">
        <v>4381</v>
      </c>
      <c r="F105" s="6" t="s">
        <v>164</v>
      </c>
      <c r="G105" s="6" t="s">
        <v>396</v>
      </c>
    </row>
    <row r="106" spans="2:7" x14ac:dyDescent="0.2">
      <c r="B106" s="16"/>
    </row>
    <row r="107" spans="2:7" x14ac:dyDescent="0.2">
      <c r="B107" s="16"/>
      <c r="C107" s="6" t="s">
        <v>324</v>
      </c>
    </row>
    <row r="108" spans="2:7" ht="12.75" x14ac:dyDescent="0.2">
      <c r="B108" s="16"/>
      <c r="D108" s="95" t="s">
        <v>331</v>
      </c>
      <c r="E108" s="42">
        <f>E103+$D$100</f>
        <v>7191</v>
      </c>
      <c r="F108" s="6" t="s">
        <v>164</v>
      </c>
    </row>
    <row r="109" spans="2:7" ht="12.75" x14ac:dyDescent="0.2">
      <c r="B109" s="16"/>
      <c r="D109" s="95" t="s">
        <v>332</v>
      </c>
      <c r="E109" s="42">
        <f t="shared" ref="E109:E110" si="3">E104+$D$100</f>
        <v>7613</v>
      </c>
      <c r="F109" s="6" t="s">
        <v>164</v>
      </c>
    </row>
    <row r="110" spans="2:7" ht="12.75" x14ac:dyDescent="0.2">
      <c r="B110" s="16"/>
      <c r="D110" s="95" t="s">
        <v>393</v>
      </c>
      <c r="E110" s="42">
        <f t="shared" si="3"/>
        <v>9981</v>
      </c>
      <c r="F110" s="6" t="s">
        <v>164</v>
      </c>
    </row>
    <row r="111" spans="2:7" x14ac:dyDescent="0.2">
      <c r="B111" s="16"/>
    </row>
    <row r="112" spans="2:7" x14ac:dyDescent="0.2">
      <c r="B112" s="16"/>
    </row>
    <row r="113" spans="2:14" ht="13.5" thickBot="1" x14ac:dyDescent="0.25">
      <c r="B113" s="9" t="s">
        <v>322</v>
      </c>
      <c r="C113" s="9"/>
      <c r="D113" s="9"/>
      <c r="E113" s="9"/>
      <c r="F113" s="9"/>
      <c r="G113" s="9"/>
      <c r="H113" s="9"/>
      <c r="I113" s="9"/>
      <c r="J113" s="9"/>
      <c r="K113" s="9"/>
      <c r="L113" s="9"/>
      <c r="M113" s="9"/>
      <c r="N113" s="9"/>
    </row>
    <row r="114" spans="2:14" x14ac:dyDescent="0.2">
      <c r="B114" s="15"/>
    </row>
    <row r="115" spans="2:14" x14ac:dyDescent="0.2">
      <c r="B115" s="16"/>
    </row>
    <row r="116" spans="2:14" x14ac:dyDescent="0.2">
      <c r="B116" s="16"/>
    </row>
    <row r="117" spans="2:14" x14ac:dyDescent="0.2">
      <c r="B117" s="16"/>
    </row>
    <row r="118" spans="2:14" x14ac:dyDescent="0.2">
      <c r="B118" s="16"/>
    </row>
    <row r="119" spans="2:14" x14ac:dyDescent="0.2">
      <c r="B119" s="16"/>
    </row>
    <row r="120" spans="2:14" x14ac:dyDescent="0.2">
      <c r="B120" s="16"/>
    </row>
    <row r="121" spans="2:14" x14ac:dyDescent="0.2">
      <c r="B121" s="16"/>
    </row>
    <row r="122" spans="2:14" x14ac:dyDescent="0.2">
      <c r="B122" s="16"/>
    </row>
    <row r="123" spans="2:14" x14ac:dyDescent="0.2">
      <c r="B123" s="16"/>
    </row>
    <row r="124" spans="2:14" x14ac:dyDescent="0.2">
      <c r="B124" s="16"/>
    </row>
    <row r="125" spans="2:14" x14ac:dyDescent="0.2">
      <c r="B125" s="16"/>
    </row>
    <row r="126" spans="2:14" x14ac:dyDescent="0.2">
      <c r="B126" s="16"/>
    </row>
    <row r="127" spans="2:14" x14ac:dyDescent="0.2">
      <c r="B127" s="16"/>
    </row>
    <row r="128" spans="2:14" x14ac:dyDescent="0.2">
      <c r="B128" s="16"/>
    </row>
    <row r="129" spans="2:2" x14ac:dyDescent="0.2">
      <c r="B129" s="16"/>
    </row>
    <row r="130" spans="2:2" x14ac:dyDescent="0.2">
      <c r="B130" s="16"/>
    </row>
    <row r="131" spans="2:2" x14ac:dyDescent="0.2">
      <c r="B131" s="16"/>
    </row>
    <row r="132" spans="2:2" x14ac:dyDescent="0.2">
      <c r="B132" s="16"/>
    </row>
    <row r="133" spans="2:2" x14ac:dyDescent="0.2">
      <c r="B133" s="16"/>
    </row>
    <row r="134" spans="2:2" x14ac:dyDescent="0.2">
      <c r="B134" s="16"/>
    </row>
    <row r="135" spans="2:2" x14ac:dyDescent="0.2">
      <c r="B135" s="16"/>
    </row>
    <row r="136" spans="2:2" x14ac:dyDescent="0.2">
      <c r="B136" s="16"/>
    </row>
    <row r="137" spans="2:2" x14ac:dyDescent="0.2">
      <c r="B137" s="16"/>
    </row>
    <row r="138" spans="2:2" x14ac:dyDescent="0.2">
      <c r="B138" s="16"/>
    </row>
    <row r="139" spans="2:2" x14ac:dyDescent="0.2">
      <c r="B139" s="16"/>
    </row>
    <row r="140" spans="2:2" x14ac:dyDescent="0.2">
      <c r="B140" s="16"/>
    </row>
    <row r="141" spans="2:2" x14ac:dyDescent="0.2">
      <c r="B141" s="16"/>
    </row>
    <row r="142" spans="2:2" x14ac:dyDescent="0.2">
      <c r="B142" s="16"/>
    </row>
    <row r="143" spans="2:2" x14ac:dyDescent="0.2">
      <c r="B143" s="16"/>
    </row>
  </sheetData>
  <mergeCells count="20">
    <mergeCell ref="D62:G62"/>
    <mergeCell ref="D58:G58"/>
    <mergeCell ref="D59:G59"/>
    <mergeCell ref="D61:G61"/>
    <mergeCell ref="H52:I52"/>
    <mergeCell ref="J52:K52"/>
    <mergeCell ref="D52:E52"/>
    <mergeCell ref="F52:G52"/>
    <mergeCell ref="D53:E53"/>
    <mergeCell ref="F53:G53"/>
    <mergeCell ref="H53:I53"/>
    <mergeCell ref="J53:K53"/>
    <mergeCell ref="D50:E50"/>
    <mergeCell ref="F50:G50"/>
    <mergeCell ref="H50:I50"/>
    <mergeCell ref="J50:K50"/>
    <mergeCell ref="D51:E51"/>
    <mergeCell ref="F51:G51"/>
    <mergeCell ref="H51:I51"/>
    <mergeCell ref="J51:K51"/>
  </mergeCells>
  <dataValidations count="2">
    <dataValidation type="list" allowBlank="1" showInputMessage="1" showErrorMessage="1" sqref="D5">
      <formula1>"1. Not Started,2. Analyzing,3. Ready"</formula1>
    </dataValidation>
    <dataValidation type="list" allowBlank="1" showInputMessage="1" showErrorMessage="1" sqref="D9">
      <formula1>DEFINED_MEASURES</formula1>
    </dataValidation>
  </dataValidations>
  <hyperlinks>
    <hyperlink ref="H61" r:id="rId1"/>
    <hyperlink ref="H62" r:id="rId2"/>
  </hyperlinks>
  <pageMargins left="0.7" right="0.7" top="0.75" bottom="0.75" header="0.3" footer="0.3"/>
  <pageSetup orientation="portrait" r:id="rId3"/>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3"/>
  </sheetPr>
  <dimension ref="A1:AD167"/>
  <sheetViews>
    <sheetView workbookViewId="0"/>
  </sheetViews>
  <sheetFormatPr defaultColWidth="9.33203125" defaultRowHeight="11.25" x14ac:dyDescent="0.2"/>
  <cols>
    <col min="1" max="2" width="3.33203125" style="6" customWidth="1"/>
    <col min="3" max="3" width="22.6640625" style="6" bestFit="1" customWidth="1"/>
    <col min="4" max="4" width="14.33203125" style="6" customWidth="1"/>
    <col min="5" max="5" width="16.33203125" style="6" customWidth="1"/>
    <col min="6" max="6" width="15" style="6" customWidth="1"/>
    <col min="7" max="7" width="13.5" style="6" customWidth="1"/>
    <col min="8" max="8" width="15" style="6" customWidth="1"/>
    <col min="9" max="9" width="22.33203125" style="6" bestFit="1" customWidth="1"/>
    <col min="10" max="10" width="20.5" style="6" bestFit="1" customWidth="1"/>
    <col min="11"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93" t="s">
        <v>105</v>
      </c>
      <c r="E9" s="7" t="s">
        <v>290</v>
      </c>
    </row>
    <row r="10" spans="1:30" ht="12.75" x14ac:dyDescent="0.2">
      <c r="B10" s="16"/>
      <c r="C10" s="30" t="s">
        <v>289</v>
      </c>
      <c r="D10" s="83" t="str">
        <f>INDEX(Tbl_MeasureList[Baseline ID],MATCH($D$9,Tbl_MeasureList[Measure ID],0))</f>
        <v>BASE16</v>
      </c>
      <c r="E10" s="7"/>
    </row>
    <row r="11" spans="1:30" x14ac:dyDescent="0.2">
      <c r="B11" s="16"/>
      <c r="C11" s="7"/>
      <c r="D11" s="7"/>
      <c r="E11" s="7"/>
    </row>
    <row r="12" spans="1:30" ht="12" thickBot="1" x14ac:dyDescent="0.25">
      <c r="B12" s="16"/>
      <c r="C12" s="7"/>
      <c r="D12" s="89" t="s">
        <v>5</v>
      </c>
      <c r="E12" s="89" t="s">
        <v>284</v>
      </c>
    </row>
    <row r="13" spans="1:30" x14ac:dyDescent="0.2">
      <c r="B13" s="16"/>
      <c r="C13" s="32" t="s">
        <v>2</v>
      </c>
      <c r="D13" s="84" t="str">
        <f>INDEX(Tbl_MeasureList[Baseline Equipment ID],MATCH($D$9,Tbl_MeasureList[Measure ID],0))</f>
        <v>EQUI027</v>
      </c>
      <c r="E13" s="84" t="str">
        <f>INDEX(Tbl_MeasureList[Replacement ID],MATCH($D$9,Tbl_MeasureList[Measure ID],0))</f>
        <v>EQUI028</v>
      </c>
      <c r="F13" s="7"/>
    </row>
    <row r="14" spans="1:30" x14ac:dyDescent="0.2">
      <c r="B14" s="16"/>
      <c r="C14" s="32" t="s">
        <v>4</v>
      </c>
      <c r="D14" s="85" t="str">
        <f>INDEX(Tbl_EquipmentDefinitions[[Equipment Name]:[Equipment Name]],MATCH(D$13,Tbl_EquipmentDefinitions[[Equipment ID]:[Equipment ID]],0))</f>
        <v>Propane Storage WH</v>
      </c>
      <c r="E14" s="85" t="str">
        <f>INDEX(Tbl_EquipmentDefinitions[[Equipment Name]:[Equipment Name]],MATCH(E$13,Tbl_EquipmentDefinitions[[Equipment ID]:[Equipment ID]],0))</f>
        <v>Gas Storage WH</v>
      </c>
      <c r="F14" s="7"/>
    </row>
    <row r="15" spans="1:30" x14ac:dyDescent="0.2">
      <c r="B15" s="16"/>
      <c r="C15" s="32" t="s">
        <v>24</v>
      </c>
      <c r="D15" s="84" t="str">
        <f>INDEX(Tbl_EquipmentDefinitions[[Function]:[Function]],MATCH(D$13,Tbl_EquipmentDefinitions[[Equipment ID]:[Equipment ID]],0))</f>
        <v>HW</v>
      </c>
      <c r="E15" s="84" t="str">
        <f>INDEX(Tbl_EquipmentDefinitions[[Function]:[Function]],MATCH(E$13,Tbl_EquipmentDefinitions[[Equipment ID]:[Equipment ID]],0))</f>
        <v>HW</v>
      </c>
      <c r="F15" s="7"/>
    </row>
    <row r="16" spans="1:30" x14ac:dyDescent="0.2">
      <c r="B16" s="16"/>
      <c r="C16" s="32" t="s">
        <v>7</v>
      </c>
      <c r="D16" s="85" t="str">
        <f>INDEX(Tbl_EquipmentDefinitions[[Fuel Type]:[Fuel Type]],MATCH(D$13,Tbl_EquipmentDefinitions[[Equipment ID]:[Equipment ID]],0))</f>
        <v>Propane</v>
      </c>
      <c r="E16" s="85" t="str">
        <f>INDEX(Tbl_EquipmentDefinitions[[Fuel Type]:[Fuel Type]],MATCH(E$13,Tbl_EquipmentDefinitions[[Equipment ID]:[Equipment ID]],0))</f>
        <v>Natural Gas</v>
      </c>
      <c r="F16" s="7"/>
    </row>
    <row r="17" spans="2:14" x14ac:dyDescent="0.2">
      <c r="B17" s="16"/>
      <c r="C17" s="32" t="s">
        <v>126</v>
      </c>
      <c r="D17" s="84">
        <f>IF(ISERR(SEARCH("+",D16,1)),1,2)</f>
        <v>1</v>
      </c>
      <c r="E17" s="84">
        <f>IF(ISERR(SEARCH("+",E16,1)),1,2)</f>
        <v>1</v>
      </c>
      <c r="F17" s="7"/>
    </row>
    <row r="18" spans="2:14" x14ac:dyDescent="0.2">
      <c r="B18" s="16"/>
      <c r="C18" s="32" t="s">
        <v>155</v>
      </c>
      <c r="D18" s="86">
        <f>INDEX(Tbl_BaselineSummary[Space Heating Load (MMBtu/yr)],MATCH($D$10,Tbl_BaselineSummary[Baseline ID],0))</f>
        <v>76.7</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11.3</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89" t="s">
        <v>127</v>
      </c>
      <c r="D25" s="281" t="s">
        <v>345</v>
      </c>
      <c r="E25" s="385" t="s">
        <v>956</v>
      </c>
      <c r="F25" s="281" t="s">
        <v>326</v>
      </c>
      <c r="G25" s="421" t="s">
        <v>1532</v>
      </c>
      <c r="H25" s="385" t="s">
        <v>958</v>
      </c>
      <c r="I25" s="569" t="s">
        <v>1447</v>
      </c>
      <c r="J25" s="569" t="s">
        <v>1448</v>
      </c>
      <c r="L25" s="89" t="s">
        <v>1533</v>
      </c>
      <c r="M25" s="421" t="s">
        <v>1531</v>
      </c>
    </row>
    <row r="26" spans="2:14" ht="11.25" customHeight="1" x14ac:dyDescent="0.2">
      <c r="B26" s="16"/>
      <c r="C26" s="32" t="s">
        <v>6</v>
      </c>
      <c r="D26" s="122">
        <f>E81</f>
        <v>0</v>
      </c>
      <c r="E26" s="126">
        <f>E92</f>
        <v>0</v>
      </c>
      <c r="F26" s="111">
        <f>D26*PRICE_PER_KWH_2018_ELECTRICITY</f>
        <v>0</v>
      </c>
      <c r="G26" s="139">
        <v>0</v>
      </c>
      <c r="H26" s="404">
        <f>E95</f>
        <v>0</v>
      </c>
      <c r="I26" s="39" t="s">
        <v>1449</v>
      </c>
      <c r="J26" s="39" t="s">
        <v>1449</v>
      </c>
      <c r="L26" s="84">
        <f t="shared" ref="L26:M28" si="0">F26+E32+E38+E44</f>
        <v>331.39818181818191</v>
      </c>
      <c r="M26" s="86">
        <f t="shared" si="0"/>
        <v>7191</v>
      </c>
    </row>
    <row r="27" spans="2:14" x14ac:dyDescent="0.2">
      <c r="B27" s="16"/>
      <c r="C27" s="32" t="s">
        <v>19</v>
      </c>
      <c r="D27" s="122">
        <f>E82</f>
        <v>68.5</v>
      </c>
      <c r="E27" s="126">
        <f>E93</f>
        <v>2.7043031977891829E-2</v>
      </c>
      <c r="F27" s="111">
        <f>D27*PRICE_PER_KWH_2018_ELECTRICITY</f>
        <v>13.549300000000001</v>
      </c>
      <c r="G27" s="139">
        <v>0</v>
      </c>
      <c r="H27" s="404">
        <f t="shared" ref="H27:H28" si="1">E96</f>
        <v>1.2710225029609159E-2</v>
      </c>
      <c r="I27" s="39" t="s">
        <v>1449</v>
      </c>
      <c r="J27" s="39" t="s">
        <v>1449</v>
      </c>
      <c r="L27" s="84">
        <f t="shared" si="0"/>
        <v>317.33096666666677</v>
      </c>
      <c r="M27" s="86">
        <f t="shared" si="0"/>
        <v>7613</v>
      </c>
    </row>
    <row r="28" spans="2:14" x14ac:dyDescent="0.2">
      <c r="B28" s="16"/>
      <c r="C28" s="32" t="s">
        <v>20</v>
      </c>
      <c r="D28" s="122">
        <f>E83</f>
        <v>60.6</v>
      </c>
      <c r="E28" s="126">
        <f>E94</f>
        <v>2.3924200552704302E-2</v>
      </c>
      <c r="F28" s="111">
        <f>D28*PRICE_PER_KWH_2018_ELECTRICITY</f>
        <v>11.98668</v>
      </c>
      <c r="G28" s="139">
        <v>0</v>
      </c>
      <c r="H28" s="404">
        <f t="shared" si="1"/>
        <v>1.1244374259771022E-2</v>
      </c>
      <c r="I28" s="39" t="s">
        <v>1449</v>
      </c>
      <c r="J28" s="39" t="s">
        <v>1449</v>
      </c>
      <c r="L28" s="84">
        <f t="shared" si="0"/>
        <v>288.15183151515151</v>
      </c>
      <c r="M28" s="86">
        <f t="shared" si="0"/>
        <v>9981</v>
      </c>
    </row>
    <row r="29" spans="2:14" x14ac:dyDescent="0.2">
      <c r="B29" s="16"/>
    </row>
    <row r="30" spans="2:14" ht="12.75" thickBot="1" x14ac:dyDescent="0.25">
      <c r="B30" s="16"/>
      <c r="C30" s="34" t="s">
        <v>55</v>
      </c>
      <c r="D30" s="34"/>
      <c r="E30" s="33"/>
      <c r="F30" s="33"/>
    </row>
    <row r="31" spans="2:14" ht="34.5" thickBot="1" x14ac:dyDescent="0.25">
      <c r="B31" s="16"/>
      <c r="C31" s="89" t="s">
        <v>127</v>
      </c>
      <c r="D31" s="281" t="s">
        <v>325</v>
      </c>
      <c r="E31" s="281" t="s">
        <v>326</v>
      </c>
      <c r="F31" s="421" t="s">
        <v>1532</v>
      </c>
    </row>
    <row r="32" spans="2:14" x14ac:dyDescent="0.2">
      <c r="B32" s="16"/>
      <c r="C32" s="32" t="s">
        <v>6</v>
      </c>
      <c r="D32" s="122">
        <f>E77</f>
        <v>205.45454545454547</v>
      </c>
      <c r="E32" s="111">
        <f>D32*PRICE_PER_THERM_2018_NATURALGAS</f>
        <v>331.39818181818191</v>
      </c>
      <c r="F32" s="111">
        <f>E108</f>
        <v>7191</v>
      </c>
      <c r="G32" s="7" t="s">
        <v>128</v>
      </c>
    </row>
    <row r="33" spans="2:14" x14ac:dyDescent="0.2">
      <c r="B33" s="16"/>
      <c r="C33" s="32" t="s">
        <v>19</v>
      </c>
      <c r="D33" s="122">
        <f>E78</f>
        <v>188.33333333333337</v>
      </c>
      <c r="E33" s="111">
        <f>D33*PRICE_PER_THERM_2018_NATURALGAS</f>
        <v>303.78166666666675</v>
      </c>
      <c r="F33" s="111">
        <f t="shared" ref="F33:F34" si="2">E109</f>
        <v>7613</v>
      </c>
    </row>
    <row r="34" spans="2:14" x14ac:dyDescent="0.2">
      <c r="B34" s="16"/>
      <c r="C34" s="32" t="s">
        <v>20</v>
      </c>
      <c r="D34" s="122">
        <f>E79</f>
        <v>171.21212121212122</v>
      </c>
      <c r="E34" s="111">
        <f>D34*PRICE_PER_THERM_2018_NATURALGAS</f>
        <v>276.16515151515154</v>
      </c>
      <c r="F34" s="111">
        <f t="shared" si="2"/>
        <v>9981</v>
      </c>
    </row>
    <row r="35" spans="2:14" x14ac:dyDescent="0.2">
      <c r="B35" s="16"/>
    </row>
    <row r="36" spans="2:14" ht="12.75" thickBot="1" x14ac:dyDescent="0.25">
      <c r="B36" s="16"/>
      <c r="C36" s="34" t="s">
        <v>28</v>
      </c>
      <c r="D36" s="34"/>
      <c r="E36" s="33"/>
      <c r="F36" s="33"/>
    </row>
    <row r="37" spans="2:14" ht="34.5" thickBot="1" x14ac:dyDescent="0.25">
      <c r="B37" s="16"/>
      <c r="C37" s="89" t="s">
        <v>127</v>
      </c>
      <c r="D37" s="281" t="s">
        <v>756</v>
      </c>
      <c r="E37" s="281" t="s">
        <v>326</v>
      </c>
      <c r="F37" s="421"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34.5" thickBot="1" x14ac:dyDescent="0.25">
      <c r="B43" s="16"/>
      <c r="C43" s="89" t="s">
        <v>127</v>
      </c>
      <c r="D43" s="281" t="s">
        <v>756</v>
      </c>
      <c r="E43" s="281" t="s">
        <v>326</v>
      </c>
      <c r="F43" s="421" t="s">
        <v>1532</v>
      </c>
    </row>
    <row r="44" spans="2:14" x14ac:dyDescent="0.2">
      <c r="B44" s="16"/>
      <c r="C44" s="32" t="s">
        <v>6</v>
      </c>
      <c r="D44" s="40">
        <v>0</v>
      </c>
      <c r="E44" s="39">
        <v>0</v>
      </c>
      <c r="F44" s="39">
        <v>0</v>
      </c>
      <c r="G44" s="7" t="s">
        <v>128</v>
      </c>
    </row>
    <row r="45" spans="2:14" x14ac:dyDescent="0.2">
      <c r="B45" s="16"/>
      <c r="C45" s="32" t="s">
        <v>19</v>
      </c>
      <c r="D45" s="40">
        <v>0</v>
      </c>
      <c r="E45" s="39">
        <v>0</v>
      </c>
      <c r="F45" s="39">
        <v>0</v>
      </c>
    </row>
    <row r="46" spans="2:14" x14ac:dyDescent="0.2">
      <c r="B46" s="16"/>
      <c r="C46" s="32" t="s">
        <v>20</v>
      </c>
      <c r="D46" s="40">
        <v>0</v>
      </c>
      <c r="E46" s="39">
        <v>0</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v>
      </c>
      <c r="E51" s="690"/>
      <c r="F51" s="693" t="str">
        <f>INDEX(Tbl_EquipmentDefinitions[Natural Gas Code Efficiency],MATCH($E$13,Tbl_EquipmentDefinitions[Equipment ID],0))</f>
        <v>0.55 UEF</v>
      </c>
      <c r="G51" s="690"/>
      <c r="H51" s="693" t="str">
        <f>INDEX(Tbl_EquipmentDefinitions[Propane Code Efficiency],MATCH($E$13,Tbl_EquipmentDefinitions[Equipment ID],0))</f>
        <v>-</v>
      </c>
      <c r="I51" s="690"/>
      <c r="J51" s="693" t="str">
        <f>INDEX(Tbl_EquipmentDefinitions[Oil Code Efficiency],MATCH($E$13,Tbl_EquipmentDefinitions[Equipment ID],0))</f>
        <v>-</v>
      </c>
      <c r="K51" s="690"/>
    </row>
    <row r="52" spans="2:14" ht="12.75" x14ac:dyDescent="0.2">
      <c r="B52" s="16"/>
      <c r="C52" s="30" t="s">
        <v>153</v>
      </c>
      <c r="D52" s="689" t="str">
        <f>INDEX(Tbl_EquipmentDefinitions[Electricity Low Measure Efficiency],MATCH($E$13,Tbl_EquipmentDefinitions[Equipment ID],0))</f>
        <v>-</v>
      </c>
      <c r="E52" s="690"/>
      <c r="F52" s="689" t="str">
        <f>INDEX(Tbl_EquipmentDefinitions[Natural Gas Low Measure Efficiency],MATCH($E$13,Tbl_EquipmentDefinitions[Equipment ID],0))</f>
        <v>0.60 UEF</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v>
      </c>
      <c r="E53" s="690"/>
      <c r="F53" s="689" t="str">
        <f>INDEX(Tbl_EquipmentDefinitions[Natural Gas High Measure Efficiency],MATCH($E$13,Tbl_EquipmentDefinitions[Equipment ID],0))</f>
        <v>0.66 UEF</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89" t="s">
        <v>131</v>
      </c>
      <c r="D58" s="691" t="s">
        <v>132</v>
      </c>
      <c r="E58" s="692"/>
      <c r="F58" s="692"/>
      <c r="G58" s="692"/>
    </row>
    <row r="59" spans="2:14" x14ac:dyDescent="0.2">
      <c r="B59" s="16"/>
      <c r="C59" s="32" t="s">
        <v>342</v>
      </c>
      <c r="D59" s="696" t="s">
        <v>315</v>
      </c>
      <c r="E59" s="697"/>
      <c r="F59" s="697"/>
      <c r="G59" s="697"/>
    </row>
    <row r="60" spans="2:14" x14ac:dyDescent="0.2">
      <c r="B60" s="16"/>
      <c r="C60" s="32" t="s">
        <v>343</v>
      </c>
      <c r="D60" s="120" t="s">
        <v>344</v>
      </c>
      <c r="E60" s="121"/>
      <c r="F60" s="121"/>
      <c r="G60" s="121"/>
    </row>
    <row r="61" spans="2:14" x14ac:dyDescent="0.2">
      <c r="B61" s="16"/>
      <c r="C61" s="32" t="s">
        <v>386</v>
      </c>
      <c r="D61" s="698" t="s">
        <v>316</v>
      </c>
      <c r="E61" s="699"/>
      <c r="F61" s="699"/>
      <c r="G61" s="699"/>
      <c r="H61" s="94" t="s">
        <v>317</v>
      </c>
    </row>
    <row r="62" spans="2:14" x14ac:dyDescent="0.2">
      <c r="B62" s="16"/>
      <c r="C62" s="32" t="s">
        <v>346</v>
      </c>
      <c r="D62" s="698" t="s">
        <v>336</v>
      </c>
      <c r="E62" s="699"/>
      <c r="F62" s="699"/>
      <c r="G62" s="699"/>
      <c r="H62" s="94" t="s">
        <v>337</v>
      </c>
    </row>
    <row r="64" spans="2:14" ht="13.5" thickBot="1" x14ac:dyDescent="0.25">
      <c r="B64" s="9" t="s">
        <v>129</v>
      </c>
      <c r="C64" s="9"/>
      <c r="D64" s="9"/>
      <c r="E64" s="9"/>
      <c r="F64" s="9"/>
      <c r="G64" s="9"/>
      <c r="H64" s="9"/>
      <c r="I64" s="9"/>
      <c r="J64" s="9"/>
      <c r="K64" s="9"/>
      <c r="L64" s="9"/>
      <c r="M64" s="9"/>
      <c r="N64" s="9"/>
    </row>
    <row r="65" spans="2:7" x14ac:dyDescent="0.2">
      <c r="B65" s="15"/>
    </row>
    <row r="66" spans="2:7" x14ac:dyDescent="0.2">
      <c r="B66" s="16"/>
      <c r="C66" s="6" t="s">
        <v>327</v>
      </c>
    </row>
    <row r="67" spans="2:7" x14ac:dyDescent="0.2">
      <c r="B67" s="16"/>
      <c r="C67" s="6" t="s">
        <v>387</v>
      </c>
    </row>
    <row r="68" spans="2:7" x14ac:dyDescent="0.2">
      <c r="B68" s="16"/>
      <c r="C68" s="6" t="s">
        <v>352</v>
      </c>
    </row>
    <row r="69" spans="2:7" x14ac:dyDescent="0.2">
      <c r="B69" s="16"/>
      <c r="C69" s="6" t="s">
        <v>338</v>
      </c>
    </row>
    <row r="70" spans="2:7" x14ac:dyDescent="0.2">
      <c r="B70" s="16"/>
    </row>
    <row r="71" spans="2:7" ht="12.75" x14ac:dyDescent="0.2">
      <c r="B71" s="16"/>
      <c r="D71" s="95" t="s">
        <v>244</v>
      </c>
      <c r="E71" s="140">
        <f>D20</f>
        <v>11.3</v>
      </c>
      <c r="F71" s="6" t="s">
        <v>381</v>
      </c>
      <c r="G71" s="6" t="s">
        <v>382</v>
      </c>
    </row>
    <row r="72" spans="2:7" ht="12.75" x14ac:dyDescent="0.2">
      <c r="B72" s="16"/>
      <c r="D72" s="96"/>
      <c r="E72" s="97"/>
      <c r="F72" s="97"/>
    </row>
    <row r="73" spans="2:7" ht="12.75" x14ac:dyDescent="0.2">
      <c r="B73" s="16"/>
      <c r="D73" s="95" t="s">
        <v>318</v>
      </c>
      <c r="E73" s="107">
        <v>0.55000000000000004</v>
      </c>
      <c r="F73" s="6" t="s">
        <v>319</v>
      </c>
      <c r="G73" s="6" t="s">
        <v>1140</v>
      </c>
    </row>
    <row r="74" spans="2:7" ht="12.75" x14ac:dyDescent="0.2">
      <c r="B74" s="16"/>
      <c r="D74" s="95" t="s">
        <v>388</v>
      </c>
      <c r="E74" s="107">
        <v>0.6</v>
      </c>
      <c r="F74" s="6" t="s">
        <v>319</v>
      </c>
      <c r="G74" s="6" t="s">
        <v>1140</v>
      </c>
    </row>
    <row r="75" spans="2:7" ht="12.75" x14ac:dyDescent="0.2">
      <c r="B75" s="16"/>
      <c r="D75" s="95" t="s">
        <v>389</v>
      </c>
      <c r="E75" s="107">
        <v>0.66</v>
      </c>
      <c r="F75" s="6" t="s">
        <v>319</v>
      </c>
      <c r="G75" s="6" t="s">
        <v>1140</v>
      </c>
    </row>
    <row r="76" spans="2:7" ht="12.75" x14ac:dyDescent="0.2">
      <c r="B76" s="16"/>
      <c r="D76" s="96"/>
    </row>
    <row r="77" spans="2:7" ht="12.75" x14ac:dyDescent="0.2">
      <c r="B77" s="16"/>
      <c r="D77" s="95" t="s">
        <v>329</v>
      </c>
      <c r="E77" s="37">
        <f>(E71/E73)*Therm_per_MMBtu</f>
        <v>205.45454545454547</v>
      </c>
      <c r="F77" s="6" t="s">
        <v>321</v>
      </c>
    </row>
    <row r="78" spans="2:7" ht="12.75" x14ac:dyDescent="0.2">
      <c r="B78" s="16"/>
      <c r="D78" s="95" t="s">
        <v>330</v>
      </c>
      <c r="E78" s="37">
        <f>(E71/E74)*Therm_per_MMBtu</f>
        <v>188.33333333333337</v>
      </c>
      <c r="F78" s="6" t="s">
        <v>321</v>
      </c>
    </row>
    <row r="79" spans="2:7" ht="12.75" x14ac:dyDescent="0.2">
      <c r="B79" s="16"/>
      <c r="D79" s="95" t="s">
        <v>390</v>
      </c>
      <c r="E79" s="37">
        <f>(E71/E75)*Therm_per_MMBtu</f>
        <v>171.21212121212122</v>
      </c>
      <c r="F79" s="6" t="s">
        <v>321</v>
      </c>
    </row>
    <row r="80" spans="2:7" x14ac:dyDescent="0.2">
      <c r="B80" s="16"/>
    </row>
    <row r="81" spans="2:7" ht="12.75" x14ac:dyDescent="0.2">
      <c r="B81" s="16"/>
      <c r="D81" s="95" t="s">
        <v>252</v>
      </c>
      <c r="E81" s="44">
        <v>0</v>
      </c>
      <c r="F81" s="6" t="s">
        <v>365</v>
      </c>
      <c r="G81" s="6" t="s">
        <v>392</v>
      </c>
    </row>
    <row r="82" spans="2:7" ht="12.75" x14ac:dyDescent="0.2">
      <c r="B82" s="16"/>
      <c r="D82" s="95" t="s">
        <v>341</v>
      </c>
      <c r="E82" s="44">
        <v>68.5</v>
      </c>
      <c r="F82" s="6" t="s">
        <v>365</v>
      </c>
      <c r="G82" s="6" t="s">
        <v>392</v>
      </c>
    </row>
    <row r="83" spans="2:7" ht="12.75" x14ac:dyDescent="0.2">
      <c r="B83" s="16"/>
      <c r="D83" s="95" t="s">
        <v>391</v>
      </c>
      <c r="E83" s="44">
        <v>60.6</v>
      </c>
      <c r="F83" s="6" t="s">
        <v>365</v>
      </c>
      <c r="G83" s="6" t="s">
        <v>392</v>
      </c>
    </row>
    <row r="84" spans="2:7" x14ac:dyDescent="0.2">
      <c r="B84" s="16"/>
    </row>
    <row r="85" spans="2:7" ht="12.75" x14ac:dyDescent="0.2">
      <c r="B85" s="16"/>
      <c r="D85" s="95" t="s">
        <v>347</v>
      </c>
      <c r="E85" s="124">
        <v>2533</v>
      </c>
      <c r="F85" s="6" t="s">
        <v>397</v>
      </c>
      <c r="G85" s="6" t="s">
        <v>348</v>
      </c>
    </row>
    <row r="86" spans="2:7" x14ac:dyDescent="0.2">
      <c r="B86" s="16"/>
      <c r="D86" s="123"/>
      <c r="E86" s="97"/>
      <c r="F86" s="97"/>
    </row>
    <row r="87" spans="2:7" x14ac:dyDescent="0.2">
      <c r="B87" s="16"/>
      <c r="D87" s="6" t="s">
        <v>1123</v>
      </c>
      <c r="F87" s="97"/>
    </row>
    <row r="88" spans="2:7" x14ac:dyDescent="0.2">
      <c r="B88" s="16"/>
      <c r="D88" s="155" t="s">
        <v>950</v>
      </c>
      <c r="E88" s="295">
        <v>1</v>
      </c>
      <c r="F88" s="97"/>
    </row>
    <row r="89" spans="2:7" x14ac:dyDescent="0.2">
      <c r="B89" s="16"/>
      <c r="D89" s="155" t="s">
        <v>982</v>
      </c>
      <c r="E89" s="295">
        <v>0.47</v>
      </c>
      <c r="F89" s="97"/>
    </row>
    <row r="90" spans="2:7" x14ac:dyDescent="0.2">
      <c r="B90" s="16"/>
      <c r="D90" s="123"/>
      <c r="E90" s="97"/>
      <c r="F90" s="97"/>
    </row>
    <row r="91" spans="2:7" x14ac:dyDescent="0.2">
      <c r="B91" s="16"/>
      <c r="D91" s="97" t="s">
        <v>1114</v>
      </c>
      <c r="E91" s="97"/>
      <c r="F91" s="97"/>
    </row>
    <row r="92" spans="2:7" ht="12.75" x14ac:dyDescent="0.2">
      <c r="B92" s="16"/>
      <c r="D92" s="95" t="s">
        <v>1112</v>
      </c>
      <c r="E92" s="125">
        <f>$E$88*E81/$E$85</f>
        <v>0</v>
      </c>
      <c r="F92" s="6" t="s">
        <v>176</v>
      </c>
    </row>
    <row r="93" spans="2:7" ht="12.75" x14ac:dyDescent="0.2">
      <c r="B93" s="16"/>
      <c r="D93" s="95" t="s">
        <v>1113</v>
      </c>
      <c r="E93" s="125">
        <f>$E$88*E82/$E$85</f>
        <v>2.7043031977891829E-2</v>
      </c>
      <c r="F93" s="6" t="s">
        <v>176</v>
      </c>
    </row>
    <row r="94" spans="2:7" ht="12.75" x14ac:dyDescent="0.2">
      <c r="B94" s="16"/>
      <c r="D94" s="95" t="s">
        <v>1121</v>
      </c>
      <c r="E94" s="125">
        <f>$E$88*E83/$E$85</f>
        <v>2.3924200552704302E-2</v>
      </c>
      <c r="F94" s="6" t="s">
        <v>176</v>
      </c>
    </row>
    <row r="95" spans="2:7" ht="12.75" x14ac:dyDescent="0.2">
      <c r="B95" s="16"/>
      <c r="D95" s="95" t="s">
        <v>1115</v>
      </c>
      <c r="E95" s="125">
        <f>$E$89*E81/$E$85</f>
        <v>0</v>
      </c>
      <c r="F95" s="6" t="s">
        <v>176</v>
      </c>
    </row>
    <row r="96" spans="2:7" ht="12.75" x14ac:dyDescent="0.2">
      <c r="B96" s="16"/>
      <c r="D96" s="95" t="s">
        <v>1116</v>
      </c>
      <c r="E96" s="125">
        <f>$E$89*E82/$E$85</f>
        <v>1.2710225029609159E-2</v>
      </c>
      <c r="F96" s="6" t="s">
        <v>176</v>
      </c>
    </row>
    <row r="97" spans="2:7" ht="12.75" x14ac:dyDescent="0.2">
      <c r="B97" s="16"/>
      <c r="D97" s="95" t="s">
        <v>1122</v>
      </c>
      <c r="E97" s="125">
        <f>$E$89*E83/$E$85</f>
        <v>1.1244374259771022E-2</v>
      </c>
      <c r="F97" s="6" t="s">
        <v>176</v>
      </c>
    </row>
    <row r="98" spans="2:7" x14ac:dyDescent="0.2">
      <c r="B98" s="16"/>
    </row>
    <row r="99" spans="2:7" ht="12.75" x14ac:dyDescent="0.2">
      <c r="B99" s="16"/>
      <c r="C99" s="36" t="s">
        <v>1181</v>
      </c>
      <c r="D99" s="41" t="str">
        <f>INPUT_INCLUDEGASLINE</f>
        <v>Yes</v>
      </c>
    </row>
    <row r="100" spans="2:7" ht="12.75" x14ac:dyDescent="0.2">
      <c r="B100" s="16"/>
      <c r="C100" s="36" t="s">
        <v>1182</v>
      </c>
      <c r="D100" s="233">
        <f>IF(D99="No",0,INPUT_GASLINECOST)</f>
        <v>5600</v>
      </c>
      <c r="E100" s="188" t="s">
        <v>1180</v>
      </c>
    </row>
    <row r="101" spans="2:7" x14ac:dyDescent="0.2">
      <c r="B101" s="16"/>
    </row>
    <row r="102" spans="2:7" x14ac:dyDescent="0.2">
      <c r="B102" s="16"/>
      <c r="C102" s="109" t="s">
        <v>1187</v>
      </c>
    </row>
    <row r="103" spans="2:7" ht="12.75" x14ac:dyDescent="0.2">
      <c r="B103" s="16"/>
      <c r="D103" s="95" t="s">
        <v>1183</v>
      </c>
      <c r="E103" s="108">
        <v>1591</v>
      </c>
      <c r="F103" s="6" t="s">
        <v>164</v>
      </c>
      <c r="G103" s="6" t="s">
        <v>394</v>
      </c>
    </row>
    <row r="104" spans="2:7" ht="12.75" x14ac:dyDescent="0.2">
      <c r="B104" s="16"/>
      <c r="D104" s="95" t="s">
        <v>1184</v>
      </c>
      <c r="E104" s="108">
        <v>2013</v>
      </c>
      <c r="F104" s="6" t="s">
        <v>164</v>
      </c>
      <c r="G104" s="6" t="s">
        <v>395</v>
      </c>
    </row>
    <row r="105" spans="2:7" ht="12.75" x14ac:dyDescent="0.2">
      <c r="B105" s="16"/>
      <c r="D105" s="95" t="s">
        <v>1185</v>
      </c>
      <c r="E105" s="108">
        <v>4381</v>
      </c>
      <c r="F105" s="6" t="s">
        <v>164</v>
      </c>
      <c r="G105" s="6" t="s">
        <v>396</v>
      </c>
    </row>
    <row r="106" spans="2:7" x14ac:dyDescent="0.2">
      <c r="B106" s="16"/>
    </row>
    <row r="107" spans="2:7" x14ac:dyDescent="0.2">
      <c r="B107" s="16"/>
      <c r="C107" s="6" t="s">
        <v>324</v>
      </c>
    </row>
    <row r="108" spans="2:7" ht="12.75" x14ac:dyDescent="0.2">
      <c r="B108" s="16"/>
      <c r="D108" s="95" t="s">
        <v>331</v>
      </c>
      <c r="E108" s="42">
        <f>E103+$D$100</f>
        <v>7191</v>
      </c>
      <c r="F108" s="6" t="s">
        <v>164</v>
      </c>
    </row>
    <row r="109" spans="2:7" ht="12.75" x14ac:dyDescent="0.2">
      <c r="B109" s="16"/>
      <c r="D109" s="95" t="s">
        <v>332</v>
      </c>
      <c r="E109" s="42">
        <f>E104+$D$100</f>
        <v>7613</v>
      </c>
      <c r="F109" s="6" t="s">
        <v>164</v>
      </c>
    </row>
    <row r="110" spans="2:7" ht="12.75" x14ac:dyDescent="0.2">
      <c r="B110" s="16"/>
      <c r="D110" s="95" t="s">
        <v>393</v>
      </c>
      <c r="E110" s="42">
        <f>E105+$D$100</f>
        <v>9981</v>
      </c>
      <c r="F110" s="6" t="s">
        <v>164</v>
      </c>
    </row>
    <row r="111" spans="2:7" x14ac:dyDescent="0.2">
      <c r="B111" s="16"/>
    </row>
    <row r="112" spans="2:7" x14ac:dyDescent="0.2">
      <c r="B112" s="16"/>
    </row>
    <row r="113" spans="2:14" ht="13.5" thickBot="1" x14ac:dyDescent="0.25">
      <c r="B113" s="9" t="s">
        <v>322</v>
      </c>
      <c r="C113" s="9"/>
      <c r="D113" s="9"/>
      <c r="E113" s="9"/>
      <c r="F113" s="9"/>
      <c r="G113" s="9"/>
      <c r="H113" s="9"/>
      <c r="I113" s="9"/>
      <c r="J113" s="9"/>
      <c r="K113" s="9"/>
      <c r="L113" s="9"/>
      <c r="M113" s="9"/>
      <c r="N113" s="9"/>
    </row>
    <row r="114" spans="2:14" x14ac:dyDescent="0.2">
      <c r="B114" s="15"/>
    </row>
    <row r="115" spans="2:14" x14ac:dyDescent="0.2">
      <c r="B115" s="16"/>
    </row>
    <row r="116" spans="2:14" x14ac:dyDescent="0.2">
      <c r="B116" s="16"/>
    </row>
    <row r="117" spans="2:14" x14ac:dyDescent="0.2">
      <c r="B117" s="16"/>
    </row>
    <row r="118" spans="2:14" x14ac:dyDescent="0.2">
      <c r="B118" s="16"/>
    </row>
    <row r="119" spans="2:14" x14ac:dyDescent="0.2">
      <c r="B119" s="16"/>
    </row>
    <row r="120" spans="2:14" x14ac:dyDescent="0.2">
      <c r="B120" s="16"/>
    </row>
    <row r="121" spans="2:14" x14ac:dyDescent="0.2">
      <c r="B121" s="16"/>
    </row>
    <row r="122" spans="2:14" x14ac:dyDescent="0.2">
      <c r="B122" s="16"/>
    </row>
    <row r="123" spans="2:14" x14ac:dyDescent="0.2">
      <c r="B123" s="16"/>
    </row>
    <row r="124" spans="2:14" x14ac:dyDescent="0.2">
      <c r="B124" s="16"/>
    </row>
    <row r="125" spans="2:14" x14ac:dyDescent="0.2">
      <c r="B125" s="16"/>
    </row>
    <row r="126" spans="2:14" x14ac:dyDescent="0.2">
      <c r="B126" s="16"/>
    </row>
    <row r="127" spans="2:14" x14ac:dyDescent="0.2">
      <c r="B127" s="16"/>
    </row>
    <row r="128" spans="2:14" x14ac:dyDescent="0.2">
      <c r="B128" s="16"/>
    </row>
    <row r="129" spans="2:2" x14ac:dyDescent="0.2">
      <c r="B129" s="16"/>
    </row>
    <row r="130" spans="2:2" x14ac:dyDescent="0.2">
      <c r="B130" s="16"/>
    </row>
    <row r="131" spans="2:2" x14ac:dyDescent="0.2">
      <c r="B131" s="16"/>
    </row>
    <row r="132" spans="2:2" x14ac:dyDescent="0.2">
      <c r="B132" s="16"/>
    </row>
    <row r="133" spans="2:2" x14ac:dyDescent="0.2">
      <c r="B133" s="16"/>
    </row>
    <row r="134" spans="2:2" x14ac:dyDescent="0.2">
      <c r="B134" s="16"/>
    </row>
    <row r="135" spans="2:2" x14ac:dyDescent="0.2">
      <c r="B135" s="16"/>
    </row>
    <row r="136" spans="2:2" x14ac:dyDescent="0.2">
      <c r="B136" s="16"/>
    </row>
    <row r="137" spans="2:2" x14ac:dyDescent="0.2">
      <c r="B137" s="16"/>
    </row>
    <row r="138" spans="2:2" x14ac:dyDescent="0.2">
      <c r="B138" s="16"/>
    </row>
    <row r="139" spans="2:2" x14ac:dyDescent="0.2">
      <c r="B139" s="16"/>
    </row>
    <row r="140" spans="2:2" x14ac:dyDescent="0.2">
      <c r="B140" s="16"/>
    </row>
    <row r="141" spans="2:2" x14ac:dyDescent="0.2">
      <c r="B141" s="16"/>
    </row>
    <row r="142" spans="2:2" x14ac:dyDescent="0.2">
      <c r="B142" s="16"/>
    </row>
    <row r="143" spans="2:2" x14ac:dyDescent="0.2">
      <c r="B143" s="16"/>
    </row>
    <row r="144" spans="2:2" x14ac:dyDescent="0.2">
      <c r="B144" s="16"/>
    </row>
    <row r="145" spans="2:2" x14ac:dyDescent="0.2">
      <c r="B145" s="16"/>
    </row>
    <row r="146" spans="2:2" x14ac:dyDescent="0.2">
      <c r="B146" s="16"/>
    </row>
    <row r="147" spans="2:2" x14ac:dyDescent="0.2">
      <c r="B147" s="16"/>
    </row>
    <row r="148" spans="2:2" x14ac:dyDescent="0.2">
      <c r="B148" s="16"/>
    </row>
    <row r="149" spans="2:2" x14ac:dyDescent="0.2">
      <c r="B149" s="16"/>
    </row>
    <row r="150" spans="2:2" x14ac:dyDescent="0.2">
      <c r="B150" s="16"/>
    </row>
    <row r="151" spans="2:2" x14ac:dyDescent="0.2">
      <c r="B151" s="16"/>
    </row>
    <row r="152" spans="2:2" x14ac:dyDescent="0.2">
      <c r="B152" s="16"/>
    </row>
    <row r="153" spans="2:2" x14ac:dyDescent="0.2">
      <c r="B153" s="16"/>
    </row>
    <row r="154" spans="2:2" x14ac:dyDescent="0.2">
      <c r="B154" s="16"/>
    </row>
    <row r="155" spans="2:2" x14ac:dyDescent="0.2">
      <c r="B155" s="16"/>
    </row>
    <row r="156" spans="2:2" x14ac:dyDescent="0.2">
      <c r="B156" s="16"/>
    </row>
    <row r="157" spans="2:2" x14ac:dyDescent="0.2">
      <c r="B157" s="16"/>
    </row>
    <row r="158" spans="2:2" x14ac:dyDescent="0.2">
      <c r="B158" s="16"/>
    </row>
    <row r="159" spans="2:2" x14ac:dyDescent="0.2">
      <c r="B159" s="16"/>
    </row>
    <row r="160" spans="2:2" x14ac:dyDescent="0.2">
      <c r="B160" s="16"/>
    </row>
    <row r="161" spans="2:2" x14ac:dyDescent="0.2">
      <c r="B161" s="16"/>
    </row>
    <row r="162" spans="2:2" x14ac:dyDescent="0.2">
      <c r="B162" s="16"/>
    </row>
    <row r="163" spans="2:2" x14ac:dyDescent="0.2">
      <c r="B163" s="16"/>
    </row>
    <row r="164" spans="2:2" x14ac:dyDescent="0.2">
      <c r="B164" s="16"/>
    </row>
    <row r="165" spans="2:2" x14ac:dyDescent="0.2">
      <c r="B165" s="16"/>
    </row>
    <row r="166" spans="2:2" x14ac:dyDescent="0.2">
      <c r="B166" s="16"/>
    </row>
    <row r="167" spans="2:2" x14ac:dyDescent="0.2">
      <c r="B167" s="16"/>
    </row>
  </sheetData>
  <mergeCells count="20">
    <mergeCell ref="D62:G62"/>
    <mergeCell ref="D58:G58"/>
    <mergeCell ref="D59:G59"/>
    <mergeCell ref="D61:G61"/>
    <mergeCell ref="H52:I52"/>
    <mergeCell ref="J52:K52"/>
    <mergeCell ref="D52:E52"/>
    <mergeCell ref="F52:G52"/>
    <mergeCell ref="D53:E53"/>
    <mergeCell ref="F53:G53"/>
    <mergeCell ref="H53:I53"/>
    <mergeCell ref="J53:K53"/>
    <mergeCell ref="D50:E50"/>
    <mergeCell ref="F50:G50"/>
    <mergeCell ref="H50:I50"/>
    <mergeCell ref="J50:K50"/>
    <mergeCell ref="D51:E51"/>
    <mergeCell ref="F51:G51"/>
    <mergeCell ref="H51:I51"/>
    <mergeCell ref="J51:K51"/>
  </mergeCells>
  <dataValidations disablePrompts="1" count="2">
    <dataValidation type="list" allowBlank="1" showInputMessage="1" showErrorMessage="1" sqref="D9">
      <formula1>DEFINED_MEASURES</formula1>
    </dataValidation>
    <dataValidation type="list" allowBlank="1" showInputMessage="1" showErrorMessage="1" sqref="D5">
      <formula1>"1. Not Started,2. Analyzing,3. Ready"</formula1>
    </dataValidation>
  </dataValidations>
  <hyperlinks>
    <hyperlink ref="H61" r:id="rId1"/>
    <hyperlink ref="H62" r:id="rId2"/>
  </hyperlinks>
  <pageMargins left="0.7" right="0.7" top="0.75" bottom="0.75" header="0.3" footer="0.3"/>
  <pageSetup orientation="portrait"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3"/>
  </sheetPr>
  <dimension ref="A1:AD141"/>
  <sheetViews>
    <sheetView workbookViewId="0"/>
  </sheetViews>
  <sheetFormatPr defaultColWidth="9.33203125" defaultRowHeight="11.25" x14ac:dyDescent="0.2"/>
  <cols>
    <col min="1" max="2" width="3.33203125" style="6" customWidth="1"/>
    <col min="3" max="3" width="22.6640625" style="6" bestFit="1" customWidth="1"/>
    <col min="4" max="4" width="14.33203125" style="6" customWidth="1"/>
    <col min="5" max="5" width="20.33203125" style="6" customWidth="1"/>
    <col min="6" max="6" width="15" style="6" customWidth="1"/>
    <col min="7" max="7" width="13.5" style="6" customWidth="1"/>
    <col min="8" max="8" width="14.6640625" style="6" customWidth="1"/>
    <col min="9" max="9" width="22.33203125" style="6" bestFit="1" customWidth="1"/>
    <col min="10" max="10" width="20.5" style="6" bestFit="1" customWidth="1"/>
    <col min="11"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93" t="s">
        <v>106</v>
      </c>
      <c r="E9" s="7" t="s">
        <v>290</v>
      </c>
    </row>
    <row r="10" spans="1:30" ht="12.75" x14ac:dyDescent="0.2">
      <c r="B10" s="16"/>
      <c r="C10" s="30" t="s">
        <v>289</v>
      </c>
      <c r="D10" s="83" t="str">
        <f>INDEX(Tbl_MeasureList[Baseline ID],MATCH($D$9,Tbl_MeasureList[Measure ID],0))</f>
        <v>BASE15</v>
      </c>
      <c r="E10" s="7"/>
    </row>
    <row r="11" spans="1:30" x14ac:dyDescent="0.2">
      <c r="B11" s="16"/>
      <c r="C11" s="7"/>
      <c r="D11" s="7"/>
      <c r="E11" s="7"/>
    </row>
    <row r="12" spans="1:30" ht="12" thickBot="1" x14ac:dyDescent="0.25">
      <c r="B12" s="16"/>
      <c r="C12" s="7"/>
      <c r="D12" s="89" t="s">
        <v>5</v>
      </c>
      <c r="E12" s="89" t="s">
        <v>284</v>
      </c>
    </row>
    <row r="13" spans="1:30" x14ac:dyDescent="0.2">
      <c r="B13" s="16"/>
      <c r="C13" s="32" t="s">
        <v>2</v>
      </c>
      <c r="D13" s="84" t="str">
        <f>INDEX(Tbl_MeasureList[Baseline Equipment ID],MATCH($D$9,Tbl_MeasureList[Measure ID],0))</f>
        <v>EQUI026</v>
      </c>
      <c r="E13" s="84" t="str">
        <f>INDEX(Tbl_MeasureList[Replacement ID],MATCH($D$9,Tbl_MeasureList[Measure ID],0))</f>
        <v>EQUI030</v>
      </c>
      <c r="F13" s="7"/>
    </row>
    <row r="14" spans="1:30" x14ac:dyDescent="0.2">
      <c r="B14" s="16"/>
      <c r="C14" s="32" t="s">
        <v>4</v>
      </c>
      <c r="D14" s="85" t="str">
        <f>INDEX(Tbl_EquipmentDefinitions[[Equipment Name]:[Equipment Name]],MATCH(D$13,Tbl_EquipmentDefinitions[[Equipment ID]:[Equipment ID]],0))</f>
        <v>Oil Storage WH</v>
      </c>
      <c r="E14" s="85" t="str">
        <f>INDEX(Tbl_EquipmentDefinitions[[Equipment Name]:[Equipment Name]],MATCH(E$13,Tbl_EquipmentDefinitions[[Equipment ID]:[Equipment ID]],0))</f>
        <v>Gas On-Demand WH</v>
      </c>
      <c r="F14" s="7"/>
    </row>
    <row r="15" spans="1:30" x14ac:dyDescent="0.2">
      <c r="B15" s="16"/>
      <c r="C15" s="32" t="s">
        <v>24</v>
      </c>
      <c r="D15" s="84" t="str">
        <f>INDEX(Tbl_EquipmentDefinitions[[Function]:[Function]],MATCH(D$13,Tbl_EquipmentDefinitions[[Equipment ID]:[Equipment ID]],0))</f>
        <v>HW</v>
      </c>
      <c r="E15" s="84" t="str">
        <f>INDEX(Tbl_EquipmentDefinitions[[Function]:[Function]],MATCH(E$13,Tbl_EquipmentDefinitions[[Equipment ID]:[Equipment ID]],0))</f>
        <v>HW</v>
      </c>
      <c r="F15" s="7"/>
    </row>
    <row r="16" spans="1:30" x14ac:dyDescent="0.2">
      <c r="B16" s="16"/>
      <c r="C16" s="32" t="s">
        <v>7</v>
      </c>
      <c r="D16" s="85" t="str">
        <f>INDEX(Tbl_EquipmentDefinitions[[Fuel Type]:[Fuel Type]],MATCH(D$13,Tbl_EquipmentDefinitions[[Equipment ID]:[Equipment ID]],0))</f>
        <v>Oil</v>
      </c>
      <c r="E16" s="85" t="str">
        <f>INDEX(Tbl_EquipmentDefinitions[[Fuel Type]:[Fuel Type]],MATCH(E$13,Tbl_EquipmentDefinitions[[Equipment ID]:[Equipment ID]],0))</f>
        <v>Natural Gas</v>
      </c>
      <c r="F16" s="7"/>
    </row>
    <row r="17" spans="2:14" x14ac:dyDescent="0.2">
      <c r="B17" s="16"/>
      <c r="C17" s="32" t="s">
        <v>126</v>
      </c>
      <c r="D17" s="84">
        <f>IF(ISERR(SEARCH("+",D16,1)),1,2)</f>
        <v>1</v>
      </c>
      <c r="E17" s="84">
        <f>IF(ISERR(SEARCH("+",E16,1)),1,2)</f>
        <v>1</v>
      </c>
      <c r="F17" s="7"/>
    </row>
    <row r="18" spans="2:14" x14ac:dyDescent="0.2">
      <c r="B18" s="16"/>
      <c r="C18" s="32" t="s">
        <v>155</v>
      </c>
      <c r="D18" s="86">
        <f>INDEX(Tbl_BaselineSummary[Space Heating Load (MMBtu/yr)],MATCH($D$10,Tbl_BaselineSummary[Baseline ID],0))</f>
        <v>76.7</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13.9</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89" t="s">
        <v>127</v>
      </c>
      <c r="D25" s="281" t="s">
        <v>345</v>
      </c>
      <c r="E25" s="385" t="s">
        <v>956</v>
      </c>
      <c r="F25" s="281" t="s">
        <v>326</v>
      </c>
      <c r="G25" s="421" t="s">
        <v>1532</v>
      </c>
      <c r="H25" s="385" t="s">
        <v>958</v>
      </c>
      <c r="I25" s="569" t="s">
        <v>1447</v>
      </c>
      <c r="J25" s="569" t="s">
        <v>1448</v>
      </c>
      <c r="L25" s="89" t="s">
        <v>1533</v>
      </c>
      <c r="M25" s="421" t="s">
        <v>1531</v>
      </c>
    </row>
    <row r="26" spans="2:14" ht="11.25" customHeight="1" x14ac:dyDescent="0.2">
      <c r="B26" s="16"/>
      <c r="C26" s="32" t="s">
        <v>6</v>
      </c>
      <c r="D26" s="122">
        <f>E83</f>
        <v>29.2</v>
      </c>
      <c r="E26" s="126">
        <f>E93</f>
        <v>1.1527832609553888E-2</v>
      </c>
      <c r="F26" s="111">
        <f>D26*PRICE_PER_KWH_2018_ELECTRICITY</f>
        <v>5.77576</v>
      </c>
      <c r="G26" s="139">
        <v>0</v>
      </c>
      <c r="H26" s="404">
        <f>E95</f>
        <v>5.4180813264903269E-3</v>
      </c>
      <c r="I26" s="39" t="s">
        <v>1449</v>
      </c>
      <c r="J26" s="39" t="s">
        <v>1449</v>
      </c>
      <c r="L26" s="84">
        <f t="shared" ref="L26:M28" si="0">F26+E32+E38+E44</f>
        <v>286.03451000000001</v>
      </c>
      <c r="M26" s="86">
        <f t="shared" si="0"/>
        <v>8453</v>
      </c>
    </row>
    <row r="27" spans="2:14" x14ac:dyDescent="0.2">
      <c r="B27" s="16"/>
      <c r="C27" s="32" t="s">
        <v>19</v>
      </c>
      <c r="D27" s="122">
        <f>E84</f>
        <v>28.6</v>
      </c>
      <c r="E27" s="126">
        <f>E94</f>
        <v>1.1290959336754837E-2</v>
      </c>
      <c r="F27" s="111">
        <f>D27*PRICE_PER_KWH_2018_ELECTRICITY</f>
        <v>5.6570800000000006</v>
      </c>
      <c r="G27" s="139">
        <v>0</v>
      </c>
      <c r="H27" s="404">
        <f>E96</f>
        <v>5.306750888274773E-3</v>
      </c>
      <c r="I27" s="39" t="s">
        <v>1449</v>
      </c>
      <c r="J27" s="39" t="s">
        <v>1449</v>
      </c>
      <c r="L27" s="84">
        <f t="shared" si="0"/>
        <v>263.36627540229892</v>
      </c>
      <c r="M27" s="86">
        <f t="shared" si="0"/>
        <v>9196</v>
      </c>
    </row>
    <row r="28" spans="2:14" x14ac:dyDescent="0.2">
      <c r="B28" s="16"/>
      <c r="C28" s="32" t="s">
        <v>20</v>
      </c>
      <c r="D28" s="40">
        <v>0</v>
      </c>
      <c r="E28" s="38">
        <v>0</v>
      </c>
      <c r="F28" s="139">
        <v>0</v>
      </c>
      <c r="G28" s="139">
        <v>0</v>
      </c>
      <c r="H28" s="139">
        <v>0</v>
      </c>
      <c r="I28" s="139">
        <v>0</v>
      </c>
      <c r="J28" s="139">
        <v>0</v>
      </c>
      <c r="L28" s="84">
        <f t="shared" si="0"/>
        <v>0</v>
      </c>
      <c r="M28" s="86">
        <f t="shared" si="0"/>
        <v>0</v>
      </c>
    </row>
    <row r="29" spans="2:14" x14ac:dyDescent="0.2">
      <c r="B29" s="16"/>
    </row>
    <row r="30" spans="2:14" ht="12.75" thickBot="1" x14ac:dyDescent="0.25">
      <c r="B30" s="16"/>
      <c r="C30" s="34" t="s">
        <v>55</v>
      </c>
      <c r="D30" s="34"/>
      <c r="E30" s="33"/>
      <c r="F30" s="33"/>
    </row>
    <row r="31" spans="2:14" ht="34.5" thickBot="1" x14ac:dyDescent="0.25">
      <c r="B31" s="16"/>
      <c r="C31" s="89" t="s">
        <v>127</v>
      </c>
      <c r="D31" s="281" t="s">
        <v>325</v>
      </c>
      <c r="E31" s="281" t="s">
        <v>326</v>
      </c>
      <c r="F31" s="421" t="s">
        <v>1532</v>
      </c>
    </row>
    <row r="32" spans="2:14" x14ac:dyDescent="0.2">
      <c r="B32" s="16"/>
      <c r="C32" s="32" t="s">
        <v>6</v>
      </c>
      <c r="D32" s="110">
        <f>E77</f>
        <v>173.75</v>
      </c>
      <c r="E32" s="111">
        <f>E80</f>
        <v>280.25875000000002</v>
      </c>
      <c r="F32" s="111">
        <f>E106</f>
        <v>8453</v>
      </c>
      <c r="G32" s="7" t="s">
        <v>128</v>
      </c>
    </row>
    <row r="33" spans="2:14" x14ac:dyDescent="0.2">
      <c r="B33" s="16"/>
      <c r="C33" s="32" t="s">
        <v>19</v>
      </c>
      <c r="D33" s="84">
        <f>E78</f>
        <v>159.77011494252875</v>
      </c>
      <c r="E33" s="111">
        <f>E81</f>
        <v>257.70919540229892</v>
      </c>
      <c r="F33" s="111">
        <f>E107</f>
        <v>9196</v>
      </c>
    </row>
    <row r="34" spans="2:14" x14ac:dyDescent="0.2">
      <c r="B34" s="16"/>
      <c r="C34" s="32" t="s">
        <v>20</v>
      </c>
      <c r="D34" s="40">
        <v>0</v>
      </c>
      <c r="E34" s="39">
        <v>0</v>
      </c>
      <c r="F34" s="39">
        <v>0</v>
      </c>
    </row>
    <row r="35" spans="2:14" x14ac:dyDescent="0.2">
      <c r="B35" s="16"/>
    </row>
    <row r="36" spans="2:14" ht="12.75" thickBot="1" x14ac:dyDescent="0.25">
      <c r="B36" s="16"/>
      <c r="C36" s="34" t="s">
        <v>28</v>
      </c>
      <c r="D36" s="34"/>
      <c r="E36" s="33"/>
      <c r="F36" s="33"/>
    </row>
    <row r="37" spans="2:14" ht="34.5" thickBot="1" x14ac:dyDescent="0.25">
      <c r="B37" s="16"/>
      <c r="C37" s="89" t="s">
        <v>127</v>
      </c>
      <c r="D37" s="281" t="s">
        <v>756</v>
      </c>
      <c r="E37" s="281" t="s">
        <v>326</v>
      </c>
      <c r="F37" s="421"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34.5" thickBot="1" x14ac:dyDescent="0.25">
      <c r="B43" s="16"/>
      <c r="C43" s="89" t="s">
        <v>127</v>
      </c>
      <c r="D43" s="281" t="s">
        <v>756</v>
      </c>
      <c r="E43" s="281" t="s">
        <v>326</v>
      </c>
      <c r="F43" s="421" t="s">
        <v>1532</v>
      </c>
    </row>
    <row r="44" spans="2:14" x14ac:dyDescent="0.2">
      <c r="B44" s="16"/>
      <c r="C44" s="32" t="s">
        <v>6</v>
      </c>
      <c r="D44" s="40">
        <v>0</v>
      </c>
      <c r="E44" s="39">
        <v>0</v>
      </c>
      <c r="F44" s="39">
        <v>0</v>
      </c>
      <c r="G44" s="7" t="s">
        <v>128</v>
      </c>
    </row>
    <row r="45" spans="2:14" x14ac:dyDescent="0.2">
      <c r="B45" s="16"/>
      <c r="C45" s="32" t="s">
        <v>19</v>
      </c>
      <c r="D45" s="40">
        <v>0</v>
      </c>
      <c r="E45" s="39">
        <v>0</v>
      </c>
      <c r="F45" s="39">
        <v>0</v>
      </c>
    </row>
    <row r="46" spans="2:14" x14ac:dyDescent="0.2">
      <c r="B46" s="16"/>
      <c r="C46" s="32" t="s">
        <v>20</v>
      </c>
      <c r="D46" s="40">
        <v>0</v>
      </c>
      <c r="E46" s="39">
        <v>0</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v>
      </c>
      <c r="E51" s="690"/>
      <c r="F51" s="693" t="str">
        <f>INDEX(Tbl_EquipmentDefinitions[Natural Gas Code Efficiency],MATCH($E$13,Tbl_EquipmentDefinitions[Equipment ID],0))</f>
        <v>0.80 UEF</v>
      </c>
      <c r="G51" s="690"/>
      <c r="H51" s="693" t="str">
        <f>INDEX(Tbl_EquipmentDefinitions[Propane Code Efficiency],MATCH($E$13,Tbl_EquipmentDefinitions[Equipment ID],0))</f>
        <v>-</v>
      </c>
      <c r="I51" s="690"/>
      <c r="J51" s="693" t="str">
        <f>INDEX(Tbl_EquipmentDefinitions[Oil Code Efficiency],MATCH($E$13,Tbl_EquipmentDefinitions[Equipment ID],0))</f>
        <v>-</v>
      </c>
      <c r="K51" s="690"/>
    </row>
    <row r="52" spans="2:14" ht="12.75" x14ac:dyDescent="0.2">
      <c r="B52" s="16"/>
      <c r="C52" s="30" t="s">
        <v>153</v>
      </c>
      <c r="D52" s="689" t="str">
        <f>INDEX(Tbl_EquipmentDefinitions[Electricity Low Measure Efficiency],MATCH($E$13,Tbl_EquipmentDefinitions[Equipment ID],0))</f>
        <v>-</v>
      </c>
      <c r="E52" s="690"/>
      <c r="F52" s="689" t="str">
        <f>INDEX(Tbl_EquipmentDefinitions[Natural Gas Low Measure Efficiency],MATCH($E$13,Tbl_EquipmentDefinitions[Equipment ID],0))</f>
        <v>0.87 UEF</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v>
      </c>
      <c r="E53" s="690"/>
      <c r="F53" s="689" t="str">
        <f>INDEX(Tbl_EquipmentDefinitions[Natural Gas High Measure Efficiency],MATCH($E$13,Tbl_EquipmentDefinitions[Equipment ID],0))</f>
        <v>-</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89" t="s">
        <v>131</v>
      </c>
      <c r="D58" s="691" t="s">
        <v>132</v>
      </c>
      <c r="E58" s="692"/>
      <c r="F58" s="692"/>
      <c r="G58" s="692"/>
    </row>
    <row r="59" spans="2:14" x14ac:dyDescent="0.2">
      <c r="B59" s="16"/>
      <c r="C59" s="32" t="s">
        <v>342</v>
      </c>
      <c r="D59" s="696" t="s">
        <v>315</v>
      </c>
      <c r="E59" s="697"/>
      <c r="F59" s="697"/>
      <c r="G59" s="697"/>
    </row>
    <row r="60" spans="2:14" x14ac:dyDescent="0.2">
      <c r="B60" s="16"/>
      <c r="C60" s="32" t="s">
        <v>343</v>
      </c>
      <c r="D60" s="120" t="s">
        <v>344</v>
      </c>
      <c r="E60" s="121"/>
      <c r="F60" s="121"/>
      <c r="G60" s="121"/>
    </row>
    <row r="61" spans="2:14" x14ac:dyDescent="0.2">
      <c r="B61" s="16"/>
      <c r="C61" s="32" t="s">
        <v>386</v>
      </c>
      <c r="D61" s="698" t="s">
        <v>316</v>
      </c>
      <c r="E61" s="699"/>
      <c r="F61" s="699"/>
      <c r="G61" s="699"/>
      <c r="H61" s="94" t="s">
        <v>317</v>
      </c>
    </row>
    <row r="62" spans="2:14" x14ac:dyDescent="0.2">
      <c r="B62" s="16"/>
      <c r="C62" s="32" t="s">
        <v>346</v>
      </c>
      <c r="D62" s="698" t="s">
        <v>336</v>
      </c>
      <c r="E62" s="699"/>
      <c r="F62" s="699"/>
      <c r="G62" s="699"/>
      <c r="H62" s="94" t="s">
        <v>337</v>
      </c>
    </row>
    <row r="63" spans="2:14" x14ac:dyDescent="0.2">
      <c r="B63" s="16"/>
    </row>
    <row r="65" spans="2:14" ht="13.5" thickBot="1" x14ac:dyDescent="0.25">
      <c r="B65" s="9" t="s">
        <v>129</v>
      </c>
      <c r="C65" s="9"/>
      <c r="D65" s="9"/>
      <c r="E65" s="9"/>
      <c r="F65" s="9"/>
      <c r="G65" s="9"/>
      <c r="H65" s="9"/>
      <c r="I65" s="9"/>
      <c r="J65" s="9"/>
      <c r="K65" s="9"/>
      <c r="L65" s="9"/>
      <c r="M65" s="9"/>
      <c r="N65" s="9"/>
    </row>
    <row r="66" spans="2:14" x14ac:dyDescent="0.2">
      <c r="B66" s="15"/>
    </row>
    <row r="67" spans="2:14" x14ac:dyDescent="0.2">
      <c r="B67" s="16"/>
      <c r="C67" s="6" t="s">
        <v>327</v>
      </c>
    </row>
    <row r="68" spans="2:14" x14ac:dyDescent="0.2">
      <c r="B68" s="16"/>
      <c r="C68" s="6" t="s">
        <v>380</v>
      </c>
    </row>
    <row r="69" spans="2:14" x14ac:dyDescent="0.2">
      <c r="B69" s="16"/>
      <c r="C69" s="6" t="s">
        <v>352</v>
      </c>
    </row>
    <row r="70" spans="2:14" x14ac:dyDescent="0.2">
      <c r="B70" s="16"/>
      <c r="C70" s="6" t="s">
        <v>338</v>
      </c>
    </row>
    <row r="71" spans="2:14" x14ac:dyDescent="0.2">
      <c r="B71" s="16"/>
    </row>
    <row r="72" spans="2:14" ht="12.75" x14ac:dyDescent="0.2">
      <c r="B72" s="16"/>
      <c r="D72" s="95" t="s">
        <v>244</v>
      </c>
      <c r="E72" s="140">
        <f>D20</f>
        <v>13.9</v>
      </c>
      <c r="F72" s="6" t="s">
        <v>381</v>
      </c>
      <c r="G72" s="6" t="s">
        <v>382</v>
      </c>
    </row>
    <row r="73" spans="2:14" ht="12.75" x14ac:dyDescent="0.2">
      <c r="B73" s="16"/>
      <c r="D73" s="96"/>
      <c r="E73" s="97"/>
      <c r="F73" s="97"/>
    </row>
    <row r="74" spans="2:14" ht="12.75" x14ac:dyDescent="0.2">
      <c r="B74" s="16"/>
      <c r="D74" s="95" t="s">
        <v>318</v>
      </c>
      <c r="E74" s="107">
        <v>0.8</v>
      </c>
      <c r="F74" s="6" t="s">
        <v>319</v>
      </c>
      <c r="G74" s="6" t="s">
        <v>323</v>
      </c>
    </row>
    <row r="75" spans="2:14" ht="12.75" x14ac:dyDescent="0.2">
      <c r="B75" s="16"/>
      <c r="D75" s="95" t="s">
        <v>388</v>
      </c>
      <c r="E75" s="44">
        <v>0.87</v>
      </c>
      <c r="F75" s="6" t="s">
        <v>319</v>
      </c>
    </row>
    <row r="76" spans="2:14" ht="12.75" x14ac:dyDescent="0.2">
      <c r="B76" s="16"/>
      <c r="D76" s="96"/>
    </row>
    <row r="77" spans="2:14" ht="12.75" x14ac:dyDescent="0.2">
      <c r="B77" s="16"/>
      <c r="D77" s="95" t="s">
        <v>329</v>
      </c>
      <c r="E77" s="37">
        <f>(E72/E74)*Therm_per_MMBtu</f>
        <v>173.75</v>
      </c>
      <c r="F77" s="6" t="s">
        <v>321</v>
      </c>
    </row>
    <row r="78" spans="2:14" ht="12.75" x14ac:dyDescent="0.2">
      <c r="B78" s="16"/>
      <c r="D78" s="95" t="s">
        <v>330</v>
      </c>
      <c r="E78" s="37">
        <f>(E72/E75)*Therm_per_MMBtu</f>
        <v>159.77011494252875</v>
      </c>
      <c r="F78" s="6" t="s">
        <v>321</v>
      </c>
    </row>
    <row r="79" spans="2:14" ht="12.75" x14ac:dyDescent="0.2">
      <c r="B79" s="16"/>
      <c r="D79" s="96"/>
    </row>
    <row r="80" spans="2:14" ht="12.75" x14ac:dyDescent="0.2">
      <c r="B80" s="16"/>
      <c r="D80" s="95" t="s">
        <v>339</v>
      </c>
      <c r="E80" s="42">
        <f>E77*PRICE_PER_THERM_2018_NATURALGAS</f>
        <v>280.25875000000002</v>
      </c>
      <c r="F80" s="6" t="s">
        <v>164</v>
      </c>
    </row>
    <row r="81" spans="2:7" ht="12.75" x14ac:dyDescent="0.2">
      <c r="B81" s="16"/>
      <c r="D81" s="95" t="s">
        <v>340</v>
      </c>
      <c r="E81" s="42">
        <f>E78*PRICE_PER_THERM_2018_NATURALGAS</f>
        <v>257.70919540229892</v>
      </c>
      <c r="F81" s="6" t="s">
        <v>164</v>
      </c>
    </row>
    <row r="82" spans="2:7" x14ac:dyDescent="0.2">
      <c r="B82" s="16"/>
    </row>
    <row r="83" spans="2:7" ht="12.75" x14ac:dyDescent="0.2">
      <c r="B83" s="16"/>
      <c r="D83" s="95" t="s">
        <v>252</v>
      </c>
      <c r="E83" s="44">
        <v>29.2</v>
      </c>
      <c r="F83" s="6" t="s">
        <v>365</v>
      </c>
      <c r="G83" s="6" t="s">
        <v>335</v>
      </c>
    </row>
    <row r="84" spans="2:7" ht="12.75" x14ac:dyDescent="0.2">
      <c r="B84" s="16"/>
      <c r="D84" s="95" t="s">
        <v>341</v>
      </c>
      <c r="E84" s="44">
        <v>28.6</v>
      </c>
      <c r="F84" s="6" t="s">
        <v>365</v>
      </c>
      <c r="G84" s="6" t="s">
        <v>335</v>
      </c>
    </row>
    <row r="85" spans="2:7" x14ac:dyDescent="0.2">
      <c r="B85" s="16"/>
    </row>
    <row r="86" spans="2:7" ht="12.75" x14ac:dyDescent="0.2">
      <c r="B86" s="16"/>
      <c r="D86" s="95" t="s">
        <v>347</v>
      </c>
      <c r="E86" s="124">
        <v>2533</v>
      </c>
      <c r="F86" s="6" t="s">
        <v>397</v>
      </c>
      <c r="G86" s="6" t="s">
        <v>348</v>
      </c>
    </row>
    <row r="87" spans="2:7" x14ac:dyDescent="0.2">
      <c r="B87" s="16"/>
      <c r="D87" s="123"/>
      <c r="E87" s="97"/>
      <c r="F87" s="97"/>
    </row>
    <row r="88" spans="2:7" x14ac:dyDescent="0.2">
      <c r="B88" s="16"/>
      <c r="D88" s="6" t="s">
        <v>1123</v>
      </c>
      <c r="F88" s="97"/>
    </row>
    <row r="89" spans="2:7" x14ac:dyDescent="0.2">
      <c r="B89" s="16"/>
      <c r="D89" s="155" t="s">
        <v>950</v>
      </c>
      <c r="E89" s="295">
        <v>1</v>
      </c>
      <c r="F89" s="97"/>
    </row>
    <row r="90" spans="2:7" x14ac:dyDescent="0.2">
      <c r="B90" s="16"/>
      <c r="D90" s="155" t="s">
        <v>982</v>
      </c>
      <c r="E90" s="295">
        <v>0.47</v>
      </c>
      <c r="F90" s="97"/>
    </row>
    <row r="91" spans="2:7" x14ac:dyDescent="0.2">
      <c r="B91" s="16"/>
      <c r="D91" s="123"/>
      <c r="E91" s="97"/>
      <c r="F91" s="97"/>
    </row>
    <row r="92" spans="2:7" x14ac:dyDescent="0.2">
      <c r="B92" s="16"/>
      <c r="D92" s="97" t="s">
        <v>1124</v>
      </c>
      <c r="E92" s="97"/>
      <c r="F92" s="97"/>
    </row>
    <row r="93" spans="2:7" ht="12.75" x14ac:dyDescent="0.2">
      <c r="B93" s="16"/>
      <c r="D93" s="95" t="s">
        <v>1112</v>
      </c>
      <c r="E93" s="125">
        <f>$E$89*E83/$E$86</f>
        <v>1.1527832609553888E-2</v>
      </c>
      <c r="F93" s="6" t="s">
        <v>176</v>
      </c>
    </row>
    <row r="94" spans="2:7" ht="12.75" x14ac:dyDescent="0.2">
      <c r="B94" s="16"/>
      <c r="D94" s="95" t="s">
        <v>1113</v>
      </c>
      <c r="E94" s="125">
        <f>$E$89*E84/$E$86</f>
        <v>1.1290959336754837E-2</v>
      </c>
      <c r="F94" s="6" t="s">
        <v>176</v>
      </c>
    </row>
    <row r="95" spans="2:7" ht="12.75" x14ac:dyDescent="0.2">
      <c r="B95" s="16"/>
      <c r="D95" s="95" t="s">
        <v>1115</v>
      </c>
      <c r="E95" s="125">
        <f>$E$90*E83/$E$86</f>
        <v>5.4180813264903269E-3</v>
      </c>
      <c r="F95" s="6" t="s">
        <v>176</v>
      </c>
    </row>
    <row r="96" spans="2:7" ht="12.75" x14ac:dyDescent="0.2">
      <c r="B96" s="16"/>
      <c r="D96" s="95" t="s">
        <v>1116</v>
      </c>
      <c r="E96" s="125">
        <f>$E$90*E84/$E$86</f>
        <v>5.306750888274773E-3</v>
      </c>
      <c r="F96" s="6" t="s">
        <v>176</v>
      </c>
    </row>
    <row r="97" spans="2:14" x14ac:dyDescent="0.2">
      <c r="B97" s="16"/>
    </row>
    <row r="98" spans="2:14" ht="12.75" x14ac:dyDescent="0.2">
      <c r="B98" s="16"/>
      <c r="C98" s="36" t="s">
        <v>1181</v>
      </c>
      <c r="D98" s="41" t="str">
        <f>INPUT_INCLUDEGASLINE</f>
        <v>Yes</v>
      </c>
    </row>
    <row r="99" spans="2:14" ht="12.75" x14ac:dyDescent="0.2">
      <c r="B99" s="16"/>
      <c r="C99" s="36" t="s">
        <v>1182</v>
      </c>
      <c r="D99" s="233">
        <f>IF(D98="No",0,INPUT_GASLINECOST)</f>
        <v>5600</v>
      </c>
      <c r="E99" s="188" t="s">
        <v>1180</v>
      </c>
    </row>
    <row r="100" spans="2:14" x14ac:dyDescent="0.2">
      <c r="B100" s="16"/>
    </row>
    <row r="101" spans="2:14" x14ac:dyDescent="0.2">
      <c r="B101" s="16"/>
      <c r="C101" s="109" t="s">
        <v>1187</v>
      </c>
    </row>
    <row r="102" spans="2:14" ht="12.75" x14ac:dyDescent="0.2">
      <c r="B102" s="16"/>
      <c r="D102" s="95" t="s">
        <v>1183</v>
      </c>
      <c r="E102" s="108">
        <v>2853</v>
      </c>
      <c r="F102" s="6" t="s">
        <v>164</v>
      </c>
      <c r="G102" s="6" t="s">
        <v>785</v>
      </c>
    </row>
    <row r="103" spans="2:14" ht="12.75" x14ac:dyDescent="0.2">
      <c r="B103" s="16"/>
      <c r="D103" s="95" t="s">
        <v>1184</v>
      </c>
      <c r="E103" s="108">
        <v>3596</v>
      </c>
      <c r="F103" s="6" t="s">
        <v>164</v>
      </c>
      <c r="G103" s="6" t="s">
        <v>786</v>
      </c>
    </row>
    <row r="104" spans="2:14" x14ac:dyDescent="0.2">
      <c r="B104" s="16"/>
    </row>
    <row r="105" spans="2:14" x14ac:dyDescent="0.2">
      <c r="B105" s="16"/>
      <c r="C105" s="6" t="s">
        <v>324</v>
      </c>
    </row>
    <row r="106" spans="2:14" ht="12.75" x14ac:dyDescent="0.2">
      <c r="B106" s="16"/>
      <c r="D106" s="95" t="s">
        <v>331</v>
      </c>
      <c r="E106" s="42">
        <f>E102+$D$99</f>
        <v>8453</v>
      </c>
      <c r="F106" s="6" t="s">
        <v>164</v>
      </c>
    </row>
    <row r="107" spans="2:14" ht="12.75" x14ac:dyDescent="0.2">
      <c r="B107" s="16"/>
      <c r="D107" s="95" t="s">
        <v>332</v>
      </c>
      <c r="E107" s="42">
        <f>E103+$D$99</f>
        <v>9196</v>
      </c>
      <c r="F107" s="6" t="s">
        <v>164</v>
      </c>
    </row>
    <row r="108" spans="2:14" x14ac:dyDescent="0.2">
      <c r="B108" s="16"/>
    </row>
    <row r="109" spans="2:14" x14ac:dyDescent="0.2">
      <c r="B109" s="16"/>
    </row>
    <row r="111" spans="2:14" ht="13.5" thickBot="1" x14ac:dyDescent="0.25">
      <c r="B111" s="9" t="s">
        <v>322</v>
      </c>
      <c r="C111" s="9"/>
      <c r="D111" s="9"/>
      <c r="E111" s="9"/>
      <c r="F111" s="9"/>
      <c r="G111" s="9"/>
      <c r="H111" s="9"/>
      <c r="I111" s="9"/>
      <c r="J111" s="9"/>
      <c r="K111" s="9"/>
      <c r="L111" s="9"/>
      <c r="M111" s="9"/>
      <c r="N111" s="9"/>
    </row>
    <row r="112" spans="2:14" x14ac:dyDescent="0.2">
      <c r="B112" s="15"/>
    </row>
    <row r="113" spans="2:2" x14ac:dyDescent="0.2">
      <c r="B113" s="16"/>
    </row>
    <row r="114" spans="2:2" x14ac:dyDescent="0.2">
      <c r="B114" s="16"/>
    </row>
    <row r="115" spans="2:2" x14ac:dyDescent="0.2">
      <c r="B115" s="16"/>
    </row>
    <row r="116" spans="2:2" x14ac:dyDescent="0.2">
      <c r="B116" s="16"/>
    </row>
    <row r="117" spans="2:2" x14ac:dyDescent="0.2">
      <c r="B117" s="16"/>
    </row>
    <row r="118" spans="2:2" x14ac:dyDescent="0.2">
      <c r="B118" s="16"/>
    </row>
    <row r="119" spans="2:2" x14ac:dyDescent="0.2">
      <c r="B119" s="16"/>
    </row>
    <row r="120" spans="2:2" x14ac:dyDescent="0.2">
      <c r="B120" s="16"/>
    </row>
    <row r="121" spans="2:2" x14ac:dyDescent="0.2">
      <c r="B121" s="16"/>
    </row>
    <row r="122" spans="2:2" x14ac:dyDescent="0.2">
      <c r="B122" s="16"/>
    </row>
    <row r="123" spans="2:2" x14ac:dyDescent="0.2">
      <c r="B123" s="16"/>
    </row>
    <row r="124" spans="2:2" x14ac:dyDescent="0.2">
      <c r="B124" s="16"/>
    </row>
    <row r="125" spans="2:2" x14ac:dyDescent="0.2">
      <c r="B125" s="16"/>
    </row>
    <row r="126" spans="2:2" x14ac:dyDescent="0.2">
      <c r="B126" s="16"/>
    </row>
    <row r="127" spans="2:2" x14ac:dyDescent="0.2">
      <c r="B127" s="16"/>
    </row>
    <row r="128" spans="2:2" x14ac:dyDescent="0.2">
      <c r="B128" s="16"/>
    </row>
    <row r="129" spans="2:2" x14ac:dyDescent="0.2">
      <c r="B129" s="16"/>
    </row>
    <row r="130" spans="2:2" x14ac:dyDescent="0.2">
      <c r="B130" s="16"/>
    </row>
    <row r="131" spans="2:2" x14ac:dyDescent="0.2">
      <c r="B131" s="16"/>
    </row>
    <row r="132" spans="2:2" x14ac:dyDescent="0.2">
      <c r="B132" s="16"/>
    </row>
    <row r="133" spans="2:2" x14ac:dyDescent="0.2">
      <c r="B133" s="16"/>
    </row>
    <row r="134" spans="2:2" x14ac:dyDescent="0.2">
      <c r="B134" s="16"/>
    </row>
    <row r="135" spans="2:2" x14ac:dyDescent="0.2">
      <c r="B135" s="16"/>
    </row>
    <row r="136" spans="2:2" x14ac:dyDescent="0.2">
      <c r="B136" s="16"/>
    </row>
    <row r="137" spans="2:2" x14ac:dyDescent="0.2">
      <c r="B137" s="16"/>
    </row>
    <row r="138" spans="2:2" x14ac:dyDescent="0.2">
      <c r="B138" s="16"/>
    </row>
    <row r="139" spans="2:2" x14ac:dyDescent="0.2">
      <c r="B139" s="16"/>
    </row>
    <row r="140" spans="2:2" x14ac:dyDescent="0.2">
      <c r="B140" s="16"/>
    </row>
    <row r="141" spans="2:2" x14ac:dyDescent="0.2">
      <c r="B141" s="16"/>
    </row>
  </sheetData>
  <mergeCells count="20">
    <mergeCell ref="D62:G62"/>
    <mergeCell ref="D59:G59"/>
    <mergeCell ref="D61:G61"/>
    <mergeCell ref="D58:G58"/>
    <mergeCell ref="H52:I52"/>
    <mergeCell ref="J52:K52"/>
    <mergeCell ref="D52:E52"/>
    <mergeCell ref="F52:G52"/>
    <mergeCell ref="D53:E53"/>
    <mergeCell ref="F53:G53"/>
    <mergeCell ref="H53:I53"/>
    <mergeCell ref="J53:K53"/>
    <mergeCell ref="D50:E50"/>
    <mergeCell ref="F50:G50"/>
    <mergeCell ref="H50:I50"/>
    <mergeCell ref="J50:K50"/>
    <mergeCell ref="D51:E51"/>
    <mergeCell ref="F51:G51"/>
    <mergeCell ref="H51:I51"/>
    <mergeCell ref="J51:K51"/>
  </mergeCells>
  <dataValidations count="2">
    <dataValidation type="list" allowBlank="1" showInputMessage="1" showErrorMessage="1" sqref="D5">
      <formula1>"1. Not Started,2. Analyzing,3. Ready"</formula1>
    </dataValidation>
    <dataValidation type="list" allowBlank="1" showInputMessage="1" showErrorMessage="1" sqref="D9">
      <formula1>DEFINED_MEASURES</formula1>
    </dataValidation>
  </dataValidations>
  <hyperlinks>
    <hyperlink ref="H61" r:id="rId1"/>
    <hyperlink ref="H62" r:id="rId2"/>
  </hyperlinks>
  <pageMargins left="0.7" right="0.7" top="0.75" bottom="0.75" header="0.3" footer="0.3"/>
  <pageSetup orientation="portrait" r:id="rId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3"/>
  </sheetPr>
  <dimension ref="A1:AD139"/>
  <sheetViews>
    <sheetView workbookViewId="0"/>
  </sheetViews>
  <sheetFormatPr defaultColWidth="9.33203125" defaultRowHeight="11.25" x14ac:dyDescent="0.2"/>
  <cols>
    <col min="1" max="2" width="3.33203125" style="6" customWidth="1"/>
    <col min="3" max="3" width="22.6640625" style="6" bestFit="1" customWidth="1"/>
    <col min="4" max="4" width="14.33203125" style="6" customWidth="1"/>
    <col min="5" max="5" width="16.33203125" style="6" customWidth="1"/>
    <col min="6" max="6" width="15" style="6" customWidth="1"/>
    <col min="7" max="7" width="13.5" style="6" customWidth="1"/>
    <col min="8" max="8" width="15" style="6" customWidth="1"/>
    <col min="9" max="9" width="22.33203125" style="6" bestFit="1" customWidth="1"/>
    <col min="10" max="10" width="20.5" style="6" bestFit="1" customWidth="1"/>
    <col min="11"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93" t="s">
        <v>107</v>
      </c>
      <c r="E9" s="7" t="s">
        <v>290</v>
      </c>
    </row>
    <row r="10" spans="1:30" ht="12.75" x14ac:dyDescent="0.2">
      <c r="B10" s="16"/>
      <c r="C10" s="30" t="s">
        <v>289</v>
      </c>
      <c r="D10" s="83" t="str">
        <f>INDEX(Tbl_MeasureList[Baseline ID],MATCH($D$9,Tbl_MeasureList[Measure ID],0))</f>
        <v>BASE16</v>
      </c>
      <c r="E10" s="7"/>
    </row>
    <row r="11" spans="1:30" x14ac:dyDescent="0.2">
      <c r="B11" s="16"/>
      <c r="C11" s="7"/>
      <c r="D11" s="7"/>
      <c r="E11" s="7"/>
    </row>
    <row r="12" spans="1:30" ht="12" thickBot="1" x14ac:dyDescent="0.25">
      <c r="B12" s="16"/>
      <c r="C12" s="7"/>
      <c r="D12" s="89" t="s">
        <v>5</v>
      </c>
      <c r="E12" s="89" t="s">
        <v>284</v>
      </c>
    </row>
    <row r="13" spans="1:30" x14ac:dyDescent="0.2">
      <c r="B13" s="16"/>
      <c r="C13" s="32" t="s">
        <v>2</v>
      </c>
      <c r="D13" s="84" t="str">
        <f>INDEX(Tbl_MeasureList[Baseline Equipment ID],MATCH($D$9,Tbl_MeasureList[Measure ID],0))</f>
        <v>EQUI027</v>
      </c>
      <c r="E13" s="84" t="str">
        <f>INDEX(Tbl_MeasureList[Replacement ID],MATCH($D$9,Tbl_MeasureList[Measure ID],0))</f>
        <v>EQUI030</v>
      </c>
      <c r="F13" s="7"/>
    </row>
    <row r="14" spans="1:30" x14ac:dyDescent="0.2">
      <c r="B14" s="16"/>
      <c r="C14" s="32" t="s">
        <v>4</v>
      </c>
      <c r="D14" s="85" t="str">
        <f>INDEX(Tbl_EquipmentDefinitions[[Equipment Name]:[Equipment Name]],MATCH(D$13,Tbl_EquipmentDefinitions[[Equipment ID]:[Equipment ID]],0))</f>
        <v>Propane Storage WH</v>
      </c>
      <c r="E14" s="85" t="str">
        <f>INDEX(Tbl_EquipmentDefinitions[[Equipment Name]:[Equipment Name]],MATCH(E$13,Tbl_EquipmentDefinitions[[Equipment ID]:[Equipment ID]],0))</f>
        <v>Gas On-Demand WH</v>
      </c>
      <c r="F14" s="7"/>
    </row>
    <row r="15" spans="1:30" x14ac:dyDescent="0.2">
      <c r="B15" s="16"/>
      <c r="C15" s="32" t="s">
        <v>24</v>
      </c>
      <c r="D15" s="84" t="str">
        <f>INDEX(Tbl_EquipmentDefinitions[[Function]:[Function]],MATCH(D$13,Tbl_EquipmentDefinitions[[Equipment ID]:[Equipment ID]],0))</f>
        <v>HW</v>
      </c>
      <c r="E15" s="84" t="str">
        <f>INDEX(Tbl_EquipmentDefinitions[[Function]:[Function]],MATCH(E$13,Tbl_EquipmentDefinitions[[Equipment ID]:[Equipment ID]],0))</f>
        <v>HW</v>
      </c>
      <c r="F15" s="7"/>
    </row>
    <row r="16" spans="1:30" x14ac:dyDescent="0.2">
      <c r="B16" s="16"/>
      <c r="C16" s="32" t="s">
        <v>7</v>
      </c>
      <c r="D16" s="85" t="str">
        <f>INDEX(Tbl_EquipmentDefinitions[[Fuel Type]:[Fuel Type]],MATCH(D$13,Tbl_EquipmentDefinitions[[Equipment ID]:[Equipment ID]],0))</f>
        <v>Propane</v>
      </c>
      <c r="E16" s="85" t="str">
        <f>INDEX(Tbl_EquipmentDefinitions[[Fuel Type]:[Fuel Type]],MATCH(E$13,Tbl_EquipmentDefinitions[[Equipment ID]:[Equipment ID]],0))</f>
        <v>Natural Gas</v>
      </c>
      <c r="F16" s="7"/>
    </row>
    <row r="17" spans="2:14" x14ac:dyDescent="0.2">
      <c r="B17" s="16"/>
      <c r="C17" s="32" t="s">
        <v>126</v>
      </c>
      <c r="D17" s="84">
        <f>IF(ISERR(SEARCH("+",D16,1)),1,2)</f>
        <v>1</v>
      </c>
      <c r="E17" s="84">
        <f>IF(ISERR(SEARCH("+",E16,1)),1,2)</f>
        <v>1</v>
      </c>
      <c r="F17" s="7"/>
    </row>
    <row r="18" spans="2:14" x14ac:dyDescent="0.2">
      <c r="B18" s="16"/>
      <c r="C18" s="32" t="s">
        <v>155</v>
      </c>
      <c r="D18" s="86">
        <f>INDEX(Tbl_BaselineSummary[Space Heating Load (MMBtu/yr)],MATCH($D$10,Tbl_BaselineSummary[Baseline ID],0))</f>
        <v>76.7</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11.3</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89" t="s">
        <v>127</v>
      </c>
      <c r="D25" s="281" t="s">
        <v>345</v>
      </c>
      <c r="E25" s="385" t="s">
        <v>956</v>
      </c>
      <c r="F25" s="281" t="s">
        <v>326</v>
      </c>
      <c r="G25" s="421" t="s">
        <v>1532</v>
      </c>
      <c r="H25" s="385" t="s">
        <v>958</v>
      </c>
      <c r="I25" s="569" t="s">
        <v>1447</v>
      </c>
      <c r="J25" s="569" t="s">
        <v>1448</v>
      </c>
      <c r="L25" s="89" t="s">
        <v>1533</v>
      </c>
      <c r="M25" s="421" t="s">
        <v>1531</v>
      </c>
    </row>
    <row r="26" spans="2:14" ht="11.25" customHeight="1" x14ac:dyDescent="0.2">
      <c r="B26" s="16"/>
      <c r="C26" s="32" t="s">
        <v>6</v>
      </c>
      <c r="D26" s="122">
        <f>E83</f>
        <v>29.2</v>
      </c>
      <c r="E26" s="126">
        <f>E93</f>
        <v>1.1527832609553888E-2</v>
      </c>
      <c r="F26" s="111">
        <f>D26*PRICE_PER_KWH_2018_ELECTRICITY</f>
        <v>5.77576</v>
      </c>
      <c r="G26" s="139">
        <v>0</v>
      </c>
      <c r="H26" s="404">
        <f>E95</f>
        <v>5.4180813264903269E-3</v>
      </c>
      <c r="I26" s="39" t="s">
        <v>1449</v>
      </c>
      <c r="J26" s="39" t="s">
        <v>1449</v>
      </c>
      <c r="L26" s="84">
        <f t="shared" ref="L26:M28" si="0">F26+E32+E38+E44</f>
        <v>233.61201000000003</v>
      </c>
      <c r="M26" s="86">
        <f t="shared" si="0"/>
        <v>8453</v>
      </c>
    </row>
    <row r="27" spans="2:14" x14ac:dyDescent="0.2">
      <c r="B27" s="16"/>
      <c r="C27" s="32" t="s">
        <v>19</v>
      </c>
      <c r="D27" s="122">
        <f>E84</f>
        <v>28.6</v>
      </c>
      <c r="E27" s="126">
        <f>E94</f>
        <v>1.1290959336754837E-2</v>
      </c>
      <c r="F27" s="111">
        <f>D27*PRICE_PER_KWH_2018_ELECTRICITY</f>
        <v>5.6570800000000006</v>
      </c>
      <c r="G27" s="139">
        <v>0</v>
      </c>
      <c r="H27" s="404">
        <f t="shared" ref="H27" si="1">E96</f>
        <v>5.306750888274773E-3</v>
      </c>
      <c r="I27" s="39" t="s">
        <v>1449</v>
      </c>
      <c r="J27" s="39" t="s">
        <v>1449</v>
      </c>
      <c r="L27" s="84">
        <f t="shared" si="0"/>
        <v>215.16167770114944</v>
      </c>
      <c r="M27" s="86">
        <f t="shared" si="0"/>
        <v>9196</v>
      </c>
    </row>
    <row r="28" spans="2:14" x14ac:dyDescent="0.2">
      <c r="B28" s="16"/>
      <c r="C28" s="32" t="s">
        <v>20</v>
      </c>
      <c r="D28" s="40">
        <v>0</v>
      </c>
      <c r="E28" s="38">
        <v>0</v>
      </c>
      <c r="F28" s="139">
        <v>0</v>
      </c>
      <c r="G28" s="139">
        <v>0</v>
      </c>
      <c r="H28" s="139">
        <v>0</v>
      </c>
      <c r="I28" s="39">
        <v>0</v>
      </c>
      <c r="J28" s="39">
        <v>0</v>
      </c>
      <c r="L28" s="84">
        <f t="shared" si="0"/>
        <v>0</v>
      </c>
      <c r="M28" s="86">
        <f t="shared" si="0"/>
        <v>0</v>
      </c>
    </row>
    <row r="29" spans="2:14" x14ac:dyDescent="0.2">
      <c r="B29" s="16"/>
    </row>
    <row r="30" spans="2:14" ht="12.75" thickBot="1" x14ac:dyDescent="0.25">
      <c r="B30" s="16"/>
      <c r="C30" s="34" t="s">
        <v>55</v>
      </c>
      <c r="D30" s="34"/>
      <c r="E30" s="33"/>
      <c r="F30" s="33"/>
    </row>
    <row r="31" spans="2:14" ht="34.5" thickBot="1" x14ac:dyDescent="0.25">
      <c r="B31" s="16"/>
      <c r="C31" s="89" t="s">
        <v>127</v>
      </c>
      <c r="D31" s="281" t="s">
        <v>325</v>
      </c>
      <c r="E31" s="281" t="s">
        <v>326</v>
      </c>
      <c r="F31" s="421" t="s">
        <v>1532</v>
      </c>
    </row>
    <row r="32" spans="2:14" x14ac:dyDescent="0.2">
      <c r="B32" s="16"/>
      <c r="C32" s="32" t="s">
        <v>6</v>
      </c>
      <c r="D32" s="110">
        <f>E77</f>
        <v>141.25</v>
      </c>
      <c r="E32" s="111">
        <f>E80</f>
        <v>227.83625000000004</v>
      </c>
      <c r="F32" s="111">
        <f>E106</f>
        <v>8453</v>
      </c>
      <c r="G32" s="7" t="s">
        <v>128</v>
      </c>
    </row>
    <row r="33" spans="2:14" x14ac:dyDescent="0.2">
      <c r="B33" s="16"/>
      <c r="C33" s="32" t="s">
        <v>19</v>
      </c>
      <c r="D33" s="84">
        <f>E78</f>
        <v>129.88505747126436</v>
      </c>
      <c r="E33" s="111">
        <f>E81</f>
        <v>209.50459770114944</v>
      </c>
      <c r="F33" s="111">
        <f>E107</f>
        <v>9196</v>
      </c>
    </row>
    <row r="34" spans="2:14" x14ac:dyDescent="0.2">
      <c r="B34" s="16"/>
      <c r="C34" s="32" t="s">
        <v>20</v>
      </c>
      <c r="D34" s="40">
        <v>0</v>
      </c>
      <c r="E34" s="39">
        <v>0</v>
      </c>
      <c r="F34" s="39">
        <v>0</v>
      </c>
    </row>
    <row r="35" spans="2:14" x14ac:dyDescent="0.2">
      <c r="B35" s="16"/>
    </row>
    <row r="36" spans="2:14" ht="12.75" thickBot="1" x14ac:dyDescent="0.25">
      <c r="B36" s="16"/>
      <c r="C36" s="34" t="s">
        <v>28</v>
      </c>
      <c r="D36" s="34"/>
      <c r="E36" s="33"/>
      <c r="F36" s="33"/>
    </row>
    <row r="37" spans="2:14" ht="34.5" thickBot="1" x14ac:dyDescent="0.25">
      <c r="B37" s="16"/>
      <c r="C37" s="89" t="s">
        <v>127</v>
      </c>
      <c r="D37" s="281" t="s">
        <v>756</v>
      </c>
      <c r="E37" s="281" t="s">
        <v>326</v>
      </c>
      <c r="F37" s="421"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34.5" thickBot="1" x14ac:dyDescent="0.25">
      <c r="B43" s="16"/>
      <c r="C43" s="89" t="s">
        <v>127</v>
      </c>
      <c r="D43" s="281" t="s">
        <v>756</v>
      </c>
      <c r="E43" s="281" t="s">
        <v>326</v>
      </c>
      <c r="F43" s="421" t="s">
        <v>1532</v>
      </c>
    </row>
    <row r="44" spans="2:14" x14ac:dyDescent="0.2">
      <c r="B44" s="16"/>
      <c r="C44" s="32" t="s">
        <v>6</v>
      </c>
      <c r="D44" s="40">
        <v>0</v>
      </c>
      <c r="E44" s="39">
        <v>0</v>
      </c>
      <c r="F44" s="39">
        <v>0</v>
      </c>
      <c r="G44" s="7" t="s">
        <v>128</v>
      </c>
    </row>
    <row r="45" spans="2:14" x14ac:dyDescent="0.2">
      <c r="B45" s="16"/>
      <c r="C45" s="32" t="s">
        <v>19</v>
      </c>
      <c r="D45" s="40">
        <v>0</v>
      </c>
      <c r="E45" s="39">
        <v>0</v>
      </c>
      <c r="F45" s="39">
        <v>0</v>
      </c>
    </row>
    <row r="46" spans="2:14" x14ac:dyDescent="0.2">
      <c r="B46" s="16"/>
      <c r="C46" s="32" t="s">
        <v>20</v>
      </c>
      <c r="D46" s="40">
        <v>0</v>
      </c>
      <c r="E46" s="39">
        <v>0</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v>
      </c>
      <c r="E51" s="690"/>
      <c r="F51" s="693" t="str">
        <f>INDEX(Tbl_EquipmentDefinitions[Natural Gas Code Efficiency],MATCH($E$13,Tbl_EquipmentDefinitions[Equipment ID],0))</f>
        <v>0.80 UEF</v>
      </c>
      <c r="G51" s="690"/>
      <c r="H51" s="693" t="str">
        <f>INDEX(Tbl_EquipmentDefinitions[Propane Code Efficiency],MATCH($E$13,Tbl_EquipmentDefinitions[Equipment ID],0))</f>
        <v>-</v>
      </c>
      <c r="I51" s="690"/>
      <c r="J51" s="693" t="str">
        <f>INDEX(Tbl_EquipmentDefinitions[Oil Code Efficiency],MATCH($E$13,Tbl_EquipmentDefinitions[Equipment ID],0))</f>
        <v>-</v>
      </c>
      <c r="K51" s="690"/>
    </row>
    <row r="52" spans="2:14" ht="12.75" x14ac:dyDescent="0.2">
      <c r="B52" s="16"/>
      <c r="C52" s="30" t="s">
        <v>153</v>
      </c>
      <c r="D52" s="689" t="str">
        <f>INDEX(Tbl_EquipmentDefinitions[Electricity Low Measure Efficiency],MATCH($E$13,Tbl_EquipmentDefinitions[Equipment ID],0))</f>
        <v>-</v>
      </c>
      <c r="E52" s="690"/>
      <c r="F52" s="689" t="str">
        <f>INDEX(Tbl_EquipmentDefinitions[Natural Gas Low Measure Efficiency],MATCH($E$13,Tbl_EquipmentDefinitions[Equipment ID],0))</f>
        <v>0.87 UEF</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v>
      </c>
      <c r="E53" s="690"/>
      <c r="F53" s="689" t="str">
        <f>INDEX(Tbl_EquipmentDefinitions[Natural Gas High Measure Efficiency],MATCH($E$13,Tbl_EquipmentDefinitions[Equipment ID],0))</f>
        <v>-</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89" t="s">
        <v>131</v>
      </c>
      <c r="D58" s="691" t="s">
        <v>132</v>
      </c>
      <c r="E58" s="692"/>
      <c r="F58" s="692"/>
      <c r="G58" s="692"/>
    </row>
    <row r="59" spans="2:14" x14ac:dyDescent="0.2">
      <c r="B59" s="16"/>
      <c r="C59" s="32" t="s">
        <v>342</v>
      </c>
      <c r="D59" s="696" t="s">
        <v>315</v>
      </c>
      <c r="E59" s="697"/>
      <c r="F59" s="697"/>
      <c r="G59" s="697"/>
    </row>
    <row r="60" spans="2:14" x14ac:dyDescent="0.2">
      <c r="B60" s="16"/>
      <c r="C60" s="32" t="s">
        <v>343</v>
      </c>
      <c r="D60" s="120" t="s">
        <v>344</v>
      </c>
      <c r="E60" s="121"/>
      <c r="F60" s="121"/>
      <c r="G60" s="121"/>
    </row>
    <row r="61" spans="2:14" x14ac:dyDescent="0.2">
      <c r="B61" s="16"/>
      <c r="C61" s="32" t="s">
        <v>386</v>
      </c>
      <c r="D61" s="698" t="s">
        <v>316</v>
      </c>
      <c r="E61" s="699"/>
      <c r="F61" s="699"/>
      <c r="G61" s="699"/>
      <c r="H61" s="94" t="s">
        <v>317</v>
      </c>
    </row>
    <row r="62" spans="2:14" x14ac:dyDescent="0.2">
      <c r="B62" s="16"/>
      <c r="C62" s="32" t="s">
        <v>346</v>
      </c>
      <c r="D62" s="698" t="s">
        <v>336</v>
      </c>
      <c r="E62" s="699"/>
      <c r="F62" s="699"/>
      <c r="G62" s="699"/>
      <c r="H62" s="94" t="s">
        <v>337</v>
      </c>
    </row>
    <row r="63" spans="2:14" x14ac:dyDescent="0.2">
      <c r="B63" s="16"/>
    </row>
    <row r="65" spans="2:14" ht="13.5" thickBot="1" x14ac:dyDescent="0.25">
      <c r="B65" s="9" t="s">
        <v>129</v>
      </c>
      <c r="C65" s="9"/>
      <c r="D65" s="9"/>
      <c r="E65" s="9"/>
      <c r="F65" s="9"/>
      <c r="G65" s="9"/>
      <c r="H65" s="9"/>
      <c r="I65" s="9"/>
      <c r="J65" s="9"/>
      <c r="K65" s="9"/>
      <c r="L65" s="9"/>
      <c r="M65" s="9"/>
      <c r="N65" s="9"/>
    </row>
    <row r="66" spans="2:14" x14ac:dyDescent="0.2">
      <c r="B66" s="15"/>
    </row>
    <row r="67" spans="2:14" x14ac:dyDescent="0.2">
      <c r="B67" s="16"/>
      <c r="C67" s="6" t="s">
        <v>327</v>
      </c>
    </row>
    <row r="68" spans="2:14" x14ac:dyDescent="0.2">
      <c r="B68" s="16"/>
      <c r="C68" s="6" t="s">
        <v>379</v>
      </c>
    </row>
    <row r="69" spans="2:14" x14ac:dyDescent="0.2">
      <c r="B69" s="16"/>
      <c r="C69" s="6" t="s">
        <v>352</v>
      </c>
    </row>
    <row r="70" spans="2:14" x14ac:dyDescent="0.2">
      <c r="B70" s="16"/>
      <c r="C70" s="6" t="s">
        <v>338</v>
      </c>
    </row>
    <row r="71" spans="2:14" x14ac:dyDescent="0.2">
      <c r="B71" s="16"/>
    </row>
    <row r="72" spans="2:14" ht="12.75" x14ac:dyDescent="0.2">
      <c r="B72" s="16"/>
      <c r="D72" s="95" t="s">
        <v>244</v>
      </c>
      <c r="E72" s="140">
        <f>D20</f>
        <v>11.3</v>
      </c>
      <c r="F72" s="6" t="s">
        <v>381</v>
      </c>
      <c r="G72" s="6" t="s">
        <v>382</v>
      </c>
    </row>
    <row r="73" spans="2:14" ht="12.75" x14ac:dyDescent="0.2">
      <c r="B73" s="16"/>
      <c r="D73" s="96"/>
      <c r="E73" s="97"/>
      <c r="F73" s="97"/>
    </row>
    <row r="74" spans="2:14" ht="12.75" x14ac:dyDescent="0.2">
      <c r="B74" s="16"/>
      <c r="D74" s="95" t="s">
        <v>318</v>
      </c>
      <c r="E74" s="107">
        <v>0.8</v>
      </c>
      <c r="F74" s="6" t="s">
        <v>319</v>
      </c>
      <c r="G74" s="6" t="s">
        <v>323</v>
      </c>
    </row>
    <row r="75" spans="2:14" ht="12.75" x14ac:dyDescent="0.2">
      <c r="B75" s="16"/>
      <c r="D75" s="95" t="s">
        <v>320</v>
      </c>
      <c r="E75" s="44">
        <v>0.87</v>
      </c>
      <c r="F75" s="6" t="s">
        <v>319</v>
      </c>
    </row>
    <row r="76" spans="2:14" ht="12.75" x14ac:dyDescent="0.2">
      <c r="B76" s="16"/>
      <c r="D76" s="96"/>
    </row>
    <row r="77" spans="2:14" ht="12.75" x14ac:dyDescent="0.2">
      <c r="B77" s="16"/>
      <c r="D77" s="95" t="s">
        <v>329</v>
      </c>
      <c r="E77" s="37">
        <f>(E72/E74)*Therm_per_MMBtu</f>
        <v>141.25</v>
      </c>
      <c r="F77" s="6" t="s">
        <v>321</v>
      </c>
    </row>
    <row r="78" spans="2:14" ht="12.75" x14ac:dyDescent="0.2">
      <c r="B78" s="16"/>
      <c r="D78" s="95" t="s">
        <v>330</v>
      </c>
      <c r="E78" s="37">
        <f>(E72/E75)*Therm_per_MMBtu</f>
        <v>129.88505747126436</v>
      </c>
      <c r="F78" s="6" t="s">
        <v>321</v>
      </c>
    </row>
    <row r="79" spans="2:14" ht="12.75" x14ac:dyDescent="0.2">
      <c r="B79" s="16"/>
      <c r="D79" s="96"/>
    </row>
    <row r="80" spans="2:14" ht="12.75" x14ac:dyDescent="0.2">
      <c r="B80" s="16"/>
      <c r="D80" s="95" t="s">
        <v>339</v>
      </c>
      <c r="E80" s="42">
        <f>E77*PRICE_PER_THERM_2018_NATURALGAS</f>
        <v>227.83625000000004</v>
      </c>
      <c r="F80" s="6" t="s">
        <v>164</v>
      </c>
    </row>
    <row r="81" spans="2:7" ht="12.75" x14ac:dyDescent="0.2">
      <c r="B81" s="16"/>
      <c r="D81" s="95" t="s">
        <v>340</v>
      </c>
      <c r="E81" s="42">
        <f>E78*PRICE_PER_THERM_2018_NATURALGAS</f>
        <v>209.50459770114944</v>
      </c>
      <c r="F81" s="6" t="s">
        <v>164</v>
      </c>
    </row>
    <row r="82" spans="2:7" x14ac:dyDescent="0.2">
      <c r="B82" s="16"/>
    </row>
    <row r="83" spans="2:7" ht="12.75" x14ac:dyDescent="0.2">
      <c r="B83" s="16"/>
      <c r="D83" s="95" t="s">
        <v>252</v>
      </c>
      <c r="E83" s="44">
        <v>29.2</v>
      </c>
      <c r="F83" s="6" t="s">
        <v>365</v>
      </c>
      <c r="G83" s="6" t="s">
        <v>335</v>
      </c>
    </row>
    <row r="84" spans="2:7" ht="12.75" x14ac:dyDescent="0.2">
      <c r="B84" s="16"/>
      <c r="D84" s="95" t="s">
        <v>341</v>
      </c>
      <c r="E84" s="44">
        <v>28.6</v>
      </c>
      <c r="F84" s="6" t="s">
        <v>365</v>
      </c>
      <c r="G84" s="6" t="s">
        <v>335</v>
      </c>
    </row>
    <row r="85" spans="2:7" x14ac:dyDescent="0.2">
      <c r="B85" s="16"/>
    </row>
    <row r="86" spans="2:7" ht="12.75" x14ac:dyDescent="0.2">
      <c r="B86" s="16"/>
      <c r="D86" s="95" t="s">
        <v>347</v>
      </c>
      <c r="E86" s="124">
        <v>2533</v>
      </c>
      <c r="F86" s="6" t="s">
        <v>397</v>
      </c>
      <c r="G86" s="6" t="s">
        <v>348</v>
      </c>
    </row>
    <row r="87" spans="2:7" x14ac:dyDescent="0.2">
      <c r="B87" s="16"/>
      <c r="D87" s="123"/>
      <c r="E87" s="97"/>
      <c r="F87" s="97"/>
    </row>
    <row r="88" spans="2:7" x14ac:dyDescent="0.2">
      <c r="B88" s="16"/>
      <c r="D88" s="6" t="s">
        <v>1123</v>
      </c>
      <c r="F88" s="97"/>
    </row>
    <row r="89" spans="2:7" x14ac:dyDescent="0.2">
      <c r="B89" s="16"/>
      <c r="D89" s="155" t="s">
        <v>950</v>
      </c>
      <c r="E89" s="295">
        <v>1</v>
      </c>
      <c r="F89" s="97"/>
    </row>
    <row r="90" spans="2:7" x14ac:dyDescent="0.2">
      <c r="B90" s="16"/>
      <c r="D90" s="155" t="s">
        <v>982</v>
      </c>
      <c r="E90" s="295">
        <v>0.47</v>
      </c>
      <c r="F90" s="97"/>
    </row>
    <row r="91" spans="2:7" x14ac:dyDescent="0.2">
      <c r="B91" s="16"/>
      <c r="D91" s="123"/>
      <c r="E91" s="97"/>
      <c r="F91" s="97"/>
    </row>
    <row r="92" spans="2:7" x14ac:dyDescent="0.2">
      <c r="B92" s="16"/>
      <c r="D92" s="97" t="s">
        <v>1114</v>
      </c>
      <c r="E92" s="97"/>
      <c r="F92" s="97"/>
    </row>
    <row r="93" spans="2:7" ht="12.75" x14ac:dyDescent="0.2">
      <c r="B93" s="16"/>
      <c r="D93" s="95" t="s">
        <v>1112</v>
      </c>
      <c r="E93" s="125">
        <f>$E$89*E83/$E$86</f>
        <v>1.1527832609553888E-2</v>
      </c>
      <c r="F93" s="6" t="s">
        <v>176</v>
      </c>
    </row>
    <row r="94" spans="2:7" ht="12.75" x14ac:dyDescent="0.2">
      <c r="B94" s="16"/>
      <c r="D94" s="95" t="s">
        <v>1113</v>
      </c>
      <c r="E94" s="125">
        <f>$E$89*E84/$E$86</f>
        <v>1.1290959336754837E-2</v>
      </c>
      <c r="F94" s="6" t="s">
        <v>176</v>
      </c>
    </row>
    <row r="95" spans="2:7" ht="12.75" x14ac:dyDescent="0.2">
      <c r="B95" s="16"/>
      <c r="D95" s="95" t="s">
        <v>1115</v>
      </c>
      <c r="E95" s="125">
        <f>$E$90*E83/$E$86</f>
        <v>5.4180813264903269E-3</v>
      </c>
      <c r="F95" s="6" t="s">
        <v>176</v>
      </c>
    </row>
    <row r="96" spans="2:7" ht="12.75" x14ac:dyDescent="0.2">
      <c r="B96" s="16"/>
      <c r="D96" s="95" t="s">
        <v>1116</v>
      </c>
      <c r="E96" s="125">
        <f>$E$90*E84/$E$86</f>
        <v>5.306750888274773E-3</v>
      </c>
      <c r="F96" s="6" t="s">
        <v>176</v>
      </c>
    </row>
    <row r="97" spans="2:14" x14ac:dyDescent="0.2">
      <c r="B97" s="16"/>
    </row>
    <row r="98" spans="2:14" ht="12.75" x14ac:dyDescent="0.2">
      <c r="B98" s="16"/>
      <c r="C98" s="36" t="s">
        <v>1181</v>
      </c>
      <c r="D98" s="41" t="str">
        <f>INPUT_INCLUDEGASLINE</f>
        <v>Yes</v>
      </c>
    </row>
    <row r="99" spans="2:14" ht="12.75" x14ac:dyDescent="0.2">
      <c r="B99" s="16"/>
      <c r="C99" s="36" t="s">
        <v>1182</v>
      </c>
      <c r="D99" s="233">
        <f>IF(D98="No",0,INPUT_GASLINECOST)</f>
        <v>5600</v>
      </c>
      <c r="E99" s="188" t="s">
        <v>1180</v>
      </c>
    </row>
    <row r="100" spans="2:14" x14ac:dyDescent="0.2">
      <c r="B100" s="16"/>
    </row>
    <row r="101" spans="2:14" x14ac:dyDescent="0.2">
      <c r="B101" s="16"/>
      <c r="C101" s="109" t="s">
        <v>1187</v>
      </c>
    </row>
    <row r="102" spans="2:14" ht="12.75" x14ac:dyDescent="0.2">
      <c r="B102" s="16"/>
      <c r="D102" s="95" t="s">
        <v>1183</v>
      </c>
      <c r="E102" s="108">
        <v>2853</v>
      </c>
      <c r="F102" s="6" t="s">
        <v>164</v>
      </c>
      <c r="G102" s="6" t="s">
        <v>785</v>
      </c>
    </row>
    <row r="103" spans="2:14" ht="12.75" x14ac:dyDescent="0.2">
      <c r="B103" s="16"/>
      <c r="D103" s="95" t="s">
        <v>1184</v>
      </c>
      <c r="E103" s="108">
        <v>3596</v>
      </c>
      <c r="F103" s="6" t="s">
        <v>164</v>
      </c>
      <c r="G103" s="6" t="s">
        <v>786</v>
      </c>
    </row>
    <row r="104" spans="2:14" x14ac:dyDescent="0.2">
      <c r="B104" s="16"/>
    </row>
    <row r="105" spans="2:14" x14ac:dyDescent="0.2">
      <c r="B105" s="16"/>
      <c r="C105" s="6" t="s">
        <v>324</v>
      </c>
    </row>
    <row r="106" spans="2:14" ht="12.75" x14ac:dyDescent="0.2">
      <c r="B106" s="16"/>
      <c r="D106" s="95" t="s">
        <v>331</v>
      </c>
      <c r="E106" s="42">
        <f>E102+$D$99</f>
        <v>8453</v>
      </c>
      <c r="F106" s="6" t="s">
        <v>164</v>
      </c>
    </row>
    <row r="107" spans="2:14" ht="12.75" x14ac:dyDescent="0.2">
      <c r="B107" s="16"/>
      <c r="D107" s="95" t="s">
        <v>332</v>
      </c>
      <c r="E107" s="42">
        <f>E103+$D$99</f>
        <v>9196</v>
      </c>
      <c r="F107" s="6" t="s">
        <v>164</v>
      </c>
    </row>
    <row r="109" spans="2:14" ht="13.5" thickBot="1" x14ac:dyDescent="0.25">
      <c r="B109" s="9" t="s">
        <v>322</v>
      </c>
      <c r="C109" s="9"/>
      <c r="D109" s="9"/>
      <c r="E109" s="9"/>
      <c r="F109" s="9"/>
      <c r="G109" s="9"/>
      <c r="H109" s="9"/>
      <c r="I109" s="9"/>
      <c r="J109" s="9"/>
      <c r="K109" s="9"/>
      <c r="L109" s="9"/>
      <c r="M109" s="9"/>
      <c r="N109" s="9"/>
    </row>
    <row r="110" spans="2:14" x14ac:dyDescent="0.2">
      <c r="B110" s="15"/>
    </row>
    <row r="111" spans="2:14" x14ac:dyDescent="0.2">
      <c r="B111" s="16"/>
    </row>
    <row r="112" spans="2:14" x14ac:dyDescent="0.2">
      <c r="B112" s="16"/>
    </row>
    <row r="113" spans="2:2" x14ac:dyDescent="0.2">
      <c r="B113" s="16"/>
    </row>
    <row r="114" spans="2:2" x14ac:dyDescent="0.2">
      <c r="B114" s="16"/>
    </row>
    <row r="115" spans="2:2" x14ac:dyDescent="0.2">
      <c r="B115" s="16"/>
    </row>
    <row r="116" spans="2:2" x14ac:dyDescent="0.2">
      <c r="B116" s="16"/>
    </row>
    <row r="117" spans="2:2" x14ac:dyDescent="0.2">
      <c r="B117" s="16"/>
    </row>
    <row r="118" spans="2:2" x14ac:dyDescent="0.2">
      <c r="B118" s="16"/>
    </row>
    <row r="119" spans="2:2" x14ac:dyDescent="0.2">
      <c r="B119" s="16"/>
    </row>
    <row r="120" spans="2:2" x14ac:dyDescent="0.2">
      <c r="B120" s="16"/>
    </row>
    <row r="121" spans="2:2" x14ac:dyDescent="0.2">
      <c r="B121" s="16"/>
    </row>
    <row r="122" spans="2:2" x14ac:dyDescent="0.2">
      <c r="B122" s="16"/>
    </row>
    <row r="123" spans="2:2" x14ac:dyDescent="0.2">
      <c r="B123" s="16"/>
    </row>
    <row r="124" spans="2:2" x14ac:dyDescent="0.2">
      <c r="B124" s="16"/>
    </row>
    <row r="125" spans="2:2" x14ac:dyDescent="0.2">
      <c r="B125" s="16"/>
    </row>
    <row r="126" spans="2:2" x14ac:dyDescent="0.2">
      <c r="B126" s="16"/>
    </row>
    <row r="127" spans="2:2" x14ac:dyDescent="0.2">
      <c r="B127" s="16"/>
    </row>
    <row r="128" spans="2:2" x14ac:dyDescent="0.2">
      <c r="B128" s="16"/>
    </row>
    <row r="129" spans="2:2" x14ac:dyDescent="0.2">
      <c r="B129" s="16"/>
    </row>
    <row r="130" spans="2:2" x14ac:dyDescent="0.2">
      <c r="B130" s="16"/>
    </row>
    <row r="131" spans="2:2" x14ac:dyDescent="0.2">
      <c r="B131" s="16"/>
    </row>
    <row r="132" spans="2:2" x14ac:dyDescent="0.2">
      <c r="B132" s="16"/>
    </row>
    <row r="133" spans="2:2" x14ac:dyDescent="0.2">
      <c r="B133" s="16"/>
    </row>
    <row r="134" spans="2:2" x14ac:dyDescent="0.2">
      <c r="B134" s="16"/>
    </row>
    <row r="135" spans="2:2" x14ac:dyDescent="0.2">
      <c r="B135" s="16"/>
    </row>
    <row r="136" spans="2:2" x14ac:dyDescent="0.2">
      <c r="B136" s="16"/>
    </row>
    <row r="137" spans="2:2" x14ac:dyDescent="0.2">
      <c r="B137" s="16"/>
    </row>
    <row r="138" spans="2:2" x14ac:dyDescent="0.2">
      <c r="B138" s="16"/>
    </row>
    <row r="139" spans="2:2" x14ac:dyDescent="0.2">
      <c r="B139" s="16"/>
    </row>
  </sheetData>
  <mergeCells count="20">
    <mergeCell ref="D62:G62"/>
    <mergeCell ref="D59:G59"/>
    <mergeCell ref="D61:G61"/>
    <mergeCell ref="D58:G58"/>
    <mergeCell ref="H52:I52"/>
    <mergeCell ref="J52:K52"/>
    <mergeCell ref="D52:E52"/>
    <mergeCell ref="F52:G52"/>
    <mergeCell ref="D53:E53"/>
    <mergeCell ref="F53:G53"/>
    <mergeCell ref="H53:I53"/>
    <mergeCell ref="J53:K53"/>
    <mergeCell ref="D50:E50"/>
    <mergeCell ref="F50:G50"/>
    <mergeCell ref="H50:I50"/>
    <mergeCell ref="J50:K50"/>
    <mergeCell ref="D51:E51"/>
    <mergeCell ref="F51:G51"/>
    <mergeCell ref="H51:I51"/>
    <mergeCell ref="J51:K51"/>
  </mergeCells>
  <dataValidations disablePrompts="1" count="2">
    <dataValidation type="list" allowBlank="1" showInputMessage="1" showErrorMessage="1" sqref="D9">
      <formula1>DEFINED_MEASURES</formula1>
    </dataValidation>
    <dataValidation type="list" allowBlank="1" showInputMessage="1" showErrorMessage="1" sqref="D5">
      <formula1>"1. Not Started,2. Analyzing,3. Ready"</formula1>
    </dataValidation>
  </dataValidations>
  <hyperlinks>
    <hyperlink ref="H61" r:id="rId1"/>
    <hyperlink ref="H62" r:id="rId2"/>
  </hyperlinks>
  <pageMargins left="0.7" right="0.7" top="0.75" bottom="0.75" header="0.3" footer="0.3"/>
  <pageSetup orientation="portrait" r:id="rId3"/>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3"/>
  </sheetPr>
  <dimension ref="A1:AD139"/>
  <sheetViews>
    <sheetView workbookViewId="0"/>
  </sheetViews>
  <sheetFormatPr defaultColWidth="9.33203125" defaultRowHeight="11.25" x14ac:dyDescent="0.2"/>
  <cols>
    <col min="1" max="2" width="3.33203125" style="6" customWidth="1"/>
    <col min="3" max="3" width="22.6640625" style="6" bestFit="1" customWidth="1"/>
    <col min="4" max="4" width="14.33203125" style="6" customWidth="1"/>
    <col min="5" max="5" width="16.33203125" style="6" customWidth="1"/>
    <col min="6" max="6" width="15" style="6" customWidth="1"/>
    <col min="7" max="7" width="13.5" style="6" customWidth="1"/>
    <col min="8" max="8" width="15" style="6" customWidth="1"/>
    <col min="9" max="9" width="22.33203125" style="6" bestFit="1" customWidth="1"/>
    <col min="10" max="10" width="20.5" style="6" bestFit="1" customWidth="1"/>
    <col min="11"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93" t="s">
        <v>108</v>
      </c>
      <c r="E9" s="7" t="s">
        <v>290</v>
      </c>
    </row>
    <row r="10" spans="1:30" ht="12.75" x14ac:dyDescent="0.2">
      <c r="B10" s="16"/>
      <c r="C10" s="30" t="s">
        <v>289</v>
      </c>
      <c r="D10" s="83" t="str">
        <f>INDEX(Tbl_MeasureList[Baseline ID],MATCH($D$9,Tbl_MeasureList[Measure ID],0))</f>
        <v>BASE08</v>
      </c>
      <c r="E10" s="7"/>
    </row>
    <row r="11" spans="1:30" x14ac:dyDescent="0.2">
      <c r="B11" s="16"/>
      <c r="C11" s="7"/>
      <c r="D11" s="7"/>
      <c r="E11" s="7"/>
    </row>
    <row r="12" spans="1:30" ht="12" thickBot="1" x14ac:dyDescent="0.25">
      <c r="B12" s="16"/>
      <c r="C12" s="7"/>
      <c r="D12" s="89" t="s">
        <v>5</v>
      </c>
      <c r="E12" s="89" t="s">
        <v>284</v>
      </c>
    </row>
    <row r="13" spans="1:30" x14ac:dyDescent="0.2">
      <c r="B13" s="16"/>
      <c r="C13" s="32" t="s">
        <v>2</v>
      </c>
      <c r="D13" s="84" t="str">
        <f>INDEX(Tbl_MeasureList[Baseline Equipment ID],MATCH($D$9,Tbl_MeasureList[Measure ID],0))</f>
        <v>EQUI014</v>
      </c>
      <c r="E13" s="84" t="str">
        <f>INDEX(Tbl_MeasureList[Replacement ID],MATCH($D$9,Tbl_MeasureList[Measure ID],0))</f>
        <v>EQUI030</v>
      </c>
      <c r="F13" s="7"/>
    </row>
    <row r="14" spans="1:30" x14ac:dyDescent="0.2">
      <c r="B14" s="16"/>
      <c r="C14" s="32" t="s">
        <v>4</v>
      </c>
      <c r="D14" s="85" t="str">
        <f>INDEX(Tbl_EquipmentDefinitions[[Equipment Name]:[Equipment Name]],MATCH(D$13,Tbl_EquipmentDefinitions[[Equipment ID]:[Equipment ID]],0))</f>
        <v>Tankless Coil WH</v>
      </c>
      <c r="E14" s="85" t="str">
        <f>INDEX(Tbl_EquipmentDefinitions[[Equipment Name]:[Equipment Name]],MATCH(E$13,Tbl_EquipmentDefinitions[[Equipment ID]:[Equipment ID]],0))</f>
        <v>Gas On-Demand WH</v>
      </c>
      <c r="F14" s="7"/>
    </row>
    <row r="15" spans="1:30" x14ac:dyDescent="0.2">
      <c r="B15" s="16"/>
      <c r="C15" s="32" t="s">
        <v>24</v>
      </c>
      <c r="D15" s="84" t="str">
        <f>INDEX(Tbl_EquipmentDefinitions[[Function]:[Function]],MATCH(D$13,Tbl_EquipmentDefinitions[[Equipment ID]:[Equipment ID]],0))</f>
        <v>HW</v>
      </c>
      <c r="E15" s="84" t="str">
        <f>INDEX(Tbl_EquipmentDefinitions[[Function]:[Function]],MATCH(E$13,Tbl_EquipmentDefinitions[[Equipment ID]:[Equipment ID]],0))</f>
        <v>HW</v>
      </c>
      <c r="F15" s="7"/>
    </row>
    <row r="16" spans="1:30" x14ac:dyDescent="0.2">
      <c r="B16" s="16"/>
      <c r="C16" s="32" t="s">
        <v>7</v>
      </c>
      <c r="D16" s="85" t="str">
        <f>INDEX(Tbl_EquipmentDefinitions[[Fuel Type]:[Fuel Type]],MATCH(D$13,Tbl_EquipmentDefinitions[[Equipment ID]:[Equipment ID]],0))</f>
        <v>Oil</v>
      </c>
      <c r="E16" s="85" t="str">
        <f>INDEX(Tbl_EquipmentDefinitions[[Fuel Type]:[Fuel Type]],MATCH(E$13,Tbl_EquipmentDefinitions[[Equipment ID]:[Equipment ID]],0))</f>
        <v>Natural Gas</v>
      </c>
      <c r="F16" s="7"/>
    </row>
    <row r="17" spans="2:14" x14ac:dyDescent="0.2">
      <c r="B17" s="16"/>
      <c r="C17" s="32" t="s">
        <v>126</v>
      </c>
      <c r="D17" s="84">
        <f>IF(ISERR(SEARCH("+",D16,1)),1,2)</f>
        <v>1</v>
      </c>
      <c r="E17" s="84">
        <f>IF(ISERR(SEARCH("+",E16,1)),1,2)</f>
        <v>1</v>
      </c>
      <c r="F17" s="7"/>
    </row>
    <row r="18" spans="2:14" x14ac:dyDescent="0.2">
      <c r="B18" s="16"/>
      <c r="C18" s="32" t="s">
        <v>155</v>
      </c>
      <c r="D18" s="86">
        <f>INDEX(Tbl_BaselineSummary[Space Heating Load (MMBtu/yr)],MATCH($D$10,Tbl_BaselineSummary[Baseline ID],0))</f>
        <v>76.7</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13.9</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89" t="s">
        <v>127</v>
      </c>
      <c r="D25" s="281" t="s">
        <v>345</v>
      </c>
      <c r="E25" s="385" t="s">
        <v>956</v>
      </c>
      <c r="F25" s="281" t="s">
        <v>326</v>
      </c>
      <c r="G25" s="421" t="s">
        <v>1532</v>
      </c>
      <c r="H25" s="385" t="s">
        <v>958</v>
      </c>
      <c r="I25" s="569" t="s">
        <v>1447</v>
      </c>
      <c r="J25" s="569" t="s">
        <v>1448</v>
      </c>
      <c r="L25" s="89" t="s">
        <v>1533</v>
      </c>
      <c r="M25" s="421" t="s">
        <v>1531</v>
      </c>
    </row>
    <row r="26" spans="2:14" ht="11.25" customHeight="1" x14ac:dyDescent="0.2">
      <c r="B26" s="16"/>
      <c r="C26" s="32" t="s">
        <v>6</v>
      </c>
      <c r="D26" s="122">
        <f>E83</f>
        <v>29.2</v>
      </c>
      <c r="E26" s="126">
        <f>E93</f>
        <v>1.1527832609553888E-2</v>
      </c>
      <c r="F26" s="111">
        <f>D26*PRICE_PER_KWH_2018_ELECTRICITY</f>
        <v>5.77576</v>
      </c>
      <c r="G26" s="139">
        <v>0</v>
      </c>
      <c r="H26" s="404">
        <f>E95</f>
        <v>5.4180813264903269E-3</v>
      </c>
      <c r="I26" s="39" t="s">
        <v>1449</v>
      </c>
      <c r="J26" s="39" t="s">
        <v>1449</v>
      </c>
      <c r="L26" s="84">
        <f t="shared" ref="L26:M28" si="0">F26+E32+E38+E44</f>
        <v>286.03451000000001</v>
      </c>
      <c r="M26" s="86">
        <f t="shared" si="0"/>
        <v>8453</v>
      </c>
    </row>
    <row r="27" spans="2:14" x14ac:dyDescent="0.2">
      <c r="B27" s="16"/>
      <c r="C27" s="32" t="s">
        <v>19</v>
      </c>
      <c r="D27" s="122">
        <f>E84</f>
        <v>28.6</v>
      </c>
      <c r="E27" s="126">
        <f>E94</f>
        <v>1.1290959336754837E-2</v>
      </c>
      <c r="F27" s="111">
        <f>D27*PRICE_PER_KWH_2018_ELECTRICITY</f>
        <v>5.6570800000000006</v>
      </c>
      <c r="G27" s="139">
        <v>0</v>
      </c>
      <c r="H27" s="404">
        <f>E96</f>
        <v>5.306750888274773E-3</v>
      </c>
      <c r="I27" s="39" t="s">
        <v>1449</v>
      </c>
      <c r="J27" s="39" t="s">
        <v>1449</v>
      </c>
      <c r="L27" s="84">
        <f t="shared" si="0"/>
        <v>263.36627540229892</v>
      </c>
      <c r="M27" s="86">
        <f t="shared" si="0"/>
        <v>9196</v>
      </c>
    </row>
    <row r="28" spans="2:14" x14ac:dyDescent="0.2">
      <c r="B28" s="16"/>
      <c r="C28" s="32" t="s">
        <v>20</v>
      </c>
      <c r="D28" s="40">
        <v>0</v>
      </c>
      <c r="E28" s="38">
        <v>0</v>
      </c>
      <c r="F28" s="139">
        <v>0</v>
      </c>
      <c r="G28" s="139">
        <v>0</v>
      </c>
      <c r="H28" s="139">
        <v>0</v>
      </c>
      <c r="I28" s="39">
        <v>0</v>
      </c>
      <c r="J28" s="39">
        <v>0</v>
      </c>
      <c r="L28" s="84">
        <f t="shared" si="0"/>
        <v>0</v>
      </c>
      <c r="M28" s="86">
        <f t="shared" si="0"/>
        <v>0</v>
      </c>
    </row>
    <row r="29" spans="2:14" x14ac:dyDescent="0.2">
      <c r="B29" s="16"/>
    </row>
    <row r="30" spans="2:14" ht="12.75" thickBot="1" x14ac:dyDescent="0.25">
      <c r="B30" s="16"/>
      <c r="C30" s="34" t="s">
        <v>55</v>
      </c>
      <c r="D30" s="34"/>
      <c r="E30" s="33"/>
      <c r="F30" s="33"/>
    </row>
    <row r="31" spans="2:14" ht="34.5" thickBot="1" x14ac:dyDescent="0.25">
      <c r="B31" s="16"/>
      <c r="C31" s="89" t="s">
        <v>127</v>
      </c>
      <c r="D31" s="89" t="s">
        <v>325</v>
      </c>
      <c r="E31" s="89" t="s">
        <v>326</v>
      </c>
      <c r="F31" s="421" t="s">
        <v>1532</v>
      </c>
    </row>
    <row r="32" spans="2:14" x14ac:dyDescent="0.2">
      <c r="B32" s="16"/>
      <c r="C32" s="32" t="s">
        <v>6</v>
      </c>
      <c r="D32" s="110">
        <f>E77</f>
        <v>173.75</v>
      </c>
      <c r="E32" s="111">
        <f>E80</f>
        <v>280.25875000000002</v>
      </c>
      <c r="F32" s="111">
        <f>E106</f>
        <v>8453</v>
      </c>
      <c r="G32" s="7" t="s">
        <v>128</v>
      </c>
    </row>
    <row r="33" spans="2:14" x14ac:dyDescent="0.2">
      <c r="B33" s="16"/>
      <c r="C33" s="32" t="s">
        <v>19</v>
      </c>
      <c r="D33" s="84">
        <f>E78</f>
        <v>159.77011494252875</v>
      </c>
      <c r="E33" s="111">
        <f>E81</f>
        <v>257.70919540229892</v>
      </c>
      <c r="F33" s="111">
        <f>E107</f>
        <v>9196</v>
      </c>
    </row>
    <row r="34" spans="2:14" x14ac:dyDescent="0.2">
      <c r="B34" s="16"/>
      <c r="C34" s="32" t="s">
        <v>20</v>
      </c>
      <c r="D34" s="40">
        <v>0</v>
      </c>
      <c r="E34" s="39">
        <v>0</v>
      </c>
      <c r="F34" s="39">
        <v>0</v>
      </c>
    </row>
    <row r="35" spans="2:14" x14ac:dyDescent="0.2">
      <c r="B35" s="16"/>
    </row>
    <row r="36" spans="2:14" ht="12.75" thickBot="1" x14ac:dyDescent="0.25">
      <c r="B36" s="16"/>
      <c r="C36" s="34" t="s">
        <v>28</v>
      </c>
      <c r="D36" s="34"/>
      <c r="E36" s="33"/>
      <c r="F36" s="33"/>
    </row>
    <row r="37" spans="2:14" ht="34.5" thickBot="1" x14ac:dyDescent="0.25">
      <c r="B37" s="16"/>
      <c r="C37" s="89" t="s">
        <v>127</v>
      </c>
      <c r="D37" s="281" t="s">
        <v>756</v>
      </c>
      <c r="E37" s="281" t="s">
        <v>326</v>
      </c>
      <c r="F37" s="421"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34.5" thickBot="1" x14ac:dyDescent="0.25">
      <c r="B43" s="16"/>
      <c r="C43" s="89" t="s">
        <v>127</v>
      </c>
      <c r="D43" s="281" t="s">
        <v>756</v>
      </c>
      <c r="E43" s="281" t="s">
        <v>326</v>
      </c>
      <c r="F43" s="421" t="s">
        <v>1532</v>
      </c>
    </row>
    <row r="44" spans="2:14" x14ac:dyDescent="0.2">
      <c r="B44" s="16"/>
      <c r="C44" s="32" t="s">
        <v>6</v>
      </c>
      <c r="D44" s="40">
        <v>0</v>
      </c>
      <c r="E44" s="39">
        <v>0</v>
      </c>
      <c r="F44" s="39">
        <v>0</v>
      </c>
      <c r="G44" s="7" t="s">
        <v>128</v>
      </c>
    </row>
    <row r="45" spans="2:14" x14ac:dyDescent="0.2">
      <c r="B45" s="16"/>
      <c r="C45" s="32" t="s">
        <v>19</v>
      </c>
      <c r="D45" s="40">
        <v>0</v>
      </c>
      <c r="E45" s="39">
        <v>0</v>
      </c>
      <c r="F45" s="39">
        <v>0</v>
      </c>
    </row>
    <row r="46" spans="2:14" x14ac:dyDescent="0.2">
      <c r="B46" s="16"/>
      <c r="C46" s="32" t="s">
        <v>20</v>
      </c>
      <c r="D46" s="40">
        <v>0</v>
      </c>
      <c r="E46" s="39">
        <v>0</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v>
      </c>
      <c r="E51" s="690"/>
      <c r="F51" s="693" t="str">
        <f>INDEX(Tbl_EquipmentDefinitions[Natural Gas Code Efficiency],MATCH($E$13,Tbl_EquipmentDefinitions[Equipment ID],0))</f>
        <v>0.80 UEF</v>
      </c>
      <c r="G51" s="690"/>
      <c r="H51" s="693" t="str">
        <f>INDEX(Tbl_EquipmentDefinitions[Propane Code Efficiency],MATCH($E$13,Tbl_EquipmentDefinitions[Equipment ID],0))</f>
        <v>-</v>
      </c>
      <c r="I51" s="690"/>
      <c r="J51" s="693" t="str">
        <f>INDEX(Tbl_EquipmentDefinitions[Oil Code Efficiency],MATCH($E$13,Tbl_EquipmentDefinitions[Equipment ID],0))</f>
        <v>-</v>
      </c>
      <c r="K51" s="690"/>
    </row>
    <row r="52" spans="2:14" ht="12.75" x14ac:dyDescent="0.2">
      <c r="B52" s="16"/>
      <c r="C52" s="30" t="s">
        <v>153</v>
      </c>
      <c r="D52" s="689" t="str">
        <f>INDEX(Tbl_EquipmentDefinitions[Electricity Low Measure Efficiency],MATCH($E$13,Tbl_EquipmentDefinitions[Equipment ID],0))</f>
        <v>-</v>
      </c>
      <c r="E52" s="690"/>
      <c r="F52" s="689" t="str">
        <f>INDEX(Tbl_EquipmentDefinitions[Natural Gas Low Measure Efficiency],MATCH($E$13,Tbl_EquipmentDefinitions[Equipment ID],0))</f>
        <v>0.87 UEF</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v>
      </c>
      <c r="E53" s="690"/>
      <c r="F53" s="689" t="str">
        <f>INDEX(Tbl_EquipmentDefinitions[Natural Gas High Measure Efficiency],MATCH($E$13,Tbl_EquipmentDefinitions[Equipment ID],0))</f>
        <v>-</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89" t="s">
        <v>131</v>
      </c>
      <c r="D58" s="691" t="s">
        <v>132</v>
      </c>
      <c r="E58" s="692"/>
      <c r="F58" s="692"/>
      <c r="G58" s="692"/>
    </row>
    <row r="59" spans="2:14" x14ac:dyDescent="0.2">
      <c r="B59" s="16"/>
      <c r="C59" s="32" t="s">
        <v>342</v>
      </c>
      <c r="D59" s="696" t="s">
        <v>315</v>
      </c>
      <c r="E59" s="697"/>
      <c r="F59" s="697"/>
      <c r="G59" s="697"/>
    </row>
    <row r="60" spans="2:14" x14ac:dyDescent="0.2">
      <c r="B60" s="16"/>
      <c r="C60" s="32" t="s">
        <v>343</v>
      </c>
      <c r="D60" s="120" t="s">
        <v>344</v>
      </c>
      <c r="E60" s="121"/>
      <c r="F60" s="121"/>
      <c r="G60" s="121"/>
    </row>
    <row r="61" spans="2:14" x14ac:dyDescent="0.2">
      <c r="B61" s="16"/>
      <c r="C61" s="32" t="s">
        <v>386</v>
      </c>
      <c r="D61" s="698" t="s">
        <v>316</v>
      </c>
      <c r="E61" s="699"/>
      <c r="F61" s="699"/>
      <c r="G61" s="699"/>
      <c r="H61" s="94" t="s">
        <v>317</v>
      </c>
    </row>
    <row r="62" spans="2:14" x14ac:dyDescent="0.2">
      <c r="B62" s="16"/>
      <c r="C62" s="32" t="s">
        <v>346</v>
      </c>
      <c r="D62" s="698" t="s">
        <v>336</v>
      </c>
      <c r="E62" s="699"/>
      <c r="F62" s="699"/>
      <c r="G62" s="699"/>
      <c r="H62" s="94" t="s">
        <v>337</v>
      </c>
    </row>
    <row r="63" spans="2:14" x14ac:dyDescent="0.2">
      <c r="B63" s="16"/>
    </row>
    <row r="65" spans="2:14" ht="13.5" thickBot="1" x14ac:dyDescent="0.25">
      <c r="B65" s="9" t="s">
        <v>129</v>
      </c>
      <c r="C65" s="9"/>
      <c r="D65" s="9"/>
      <c r="E65" s="9"/>
      <c r="F65" s="9"/>
      <c r="G65" s="9"/>
      <c r="H65" s="9"/>
      <c r="I65" s="9"/>
      <c r="J65" s="9"/>
      <c r="K65" s="9"/>
      <c r="L65" s="9"/>
      <c r="M65" s="9"/>
      <c r="N65" s="9"/>
    </row>
    <row r="66" spans="2:14" x14ac:dyDescent="0.2">
      <c r="B66" s="15"/>
    </row>
    <row r="67" spans="2:14" x14ac:dyDescent="0.2">
      <c r="B67" s="16"/>
      <c r="C67" s="6" t="s">
        <v>327</v>
      </c>
    </row>
    <row r="68" spans="2:14" x14ac:dyDescent="0.2">
      <c r="B68" s="16"/>
      <c r="C68" s="6" t="s">
        <v>351</v>
      </c>
    </row>
    <row r="69" spans="2:14" x14ac:dyDescent="0.2">
      <c r="B69" s="16"/>
      <c r="C69" s="6" t="s">
        <v>352</v>
      </c>
    </row>
    <row r="70" spans="2:14" x14ac:dyDescent="0.2">
      <c r="B70" s="16"/>
      <c r="C70" s="6" t="s">
        <v>338</v>
      </c>
    </row>
    <row r="71" spans="2:14" x14ac:dyDescent="0.2">
      <c r="B71" s="16"/>
    </row>
    <row r="72" spans="2:14" ht="12.75" x14ac:dyDescent="0.2">
      <c r="B72" s="16"/>
      <c r="D72" s="95" t="s">
        <v>244</v>
      </c>
      <c r="E72" s="140">
        <f>D20</f>
        <v>13.9</v>
      </c>
      <c r="F72" s="6" t="s">
        <v>381</v>
      </c>
      <c r="G72" s="6" t="s">
        <v>382</v>
      </c>
    </row>
    <row r="73" spans="2:14" ht="12.75" x14ac:dyDescent="0.2">
      <c r="B73" s="16"/>
      <c r="D73" s="96"/>
      <c r="E73" s="97"/>
      <c r="F73" s="97"/>
    </row>
    <row r="74" spans="2:14" ht="12.75" x14ac:dyDescent="0.2">
      <c r="B74" s="16"/>
      <c r="D74" s="95" t="s">
        <v>318</v>
      </c>
      <c r="E74" s="107">
        <v>0.8</v>
      </c>
      <c r="F74" s="6" t="s">
        <v>319</v>
      </c>
      <c r="G74" s="6" t="s">
        <v>323</v>
      </c>
    </row>
    <row r="75" spans="2:14" ht="12.75" x14ac:dyDescent="0.2">
      <c r="B75" s="16"/>
      <c r="D75" s="95" t="s">
        <v>320</v>
      </c>
      <c r="E75" s="44">
        <v>0.87</v>
      </c>
      <c r="F75" s="6" t="s">
        <v>319</v>
      </c>
    </row>
    <row r="76" spans="2:14" ht="12.75" x14ac:dyDescent="0.2">
      <c r="B76" s="16"/>
      <c r="D76" s="96"/>
    </row>
    <row r="77" spans="2:14" ht="12.75" x14ac:dyDescent="0.2">
      <c r="B77" s="16"/>
      <c r="D77" s="95" t="s">
        <v>329</v>
      </c>
      <c r="E77" s="37">
        <f>(E72/E74)*Therm_per_MMBtu</f>
        <v>173.75</v>
      </c>
      <c r="F77" s="6" t="s">
        <v>321</v>
      </c>
    </row>
    <row r="78" spans="2:14" ht="12.75" x14ac:dyDescent="0.2">
      <c r="B78" s="16"/>
      <c r="D78" s="95" t="s">
        <v>330</v>
      </c>
      <c r="E78" s="37">
        <f>(E72/E75)*Therm_per_MMBtu</f>
        <v>159.77011494252875</v>
      </c>
      <c r="F78" s="6" t="s">
        <v>321</v>
      </c>
    </row>
    <row r="79" spans="2:14" ht="12.75" x14ac:dyDescent="0.2">
      <c r="B79" s="16"/>
      <c r="D79" s="96"/>
    </row>
    <row r="80" spans="2:14" ht="12.75" x14ac:dyDescent="0.2">
      <c r="B80" s="16"/>
      <c r="D80" s="95" t="s">
        <v>339</v>
      </c>
      <c r="E80" s="42">
        <f>E77*PRICE_PER_THERM_2018_NATURALGAS</f>
        <v>280.25875000000002</v>
      </c>
      <c r="F80" s="6" t="s">
        <v>164</v>
      </c>
    </row>
    <row r="81" spans="2:7" ht="12.75" x14ac:dyDescent="0.2">
      <c r="B81" s="16"/>
      <c r="D81" s="95" t="s">
        <v>340</v>
      </c>
      <c r="E81" s="42">
        <f>E78*PRICE_PER_THERM_2018_NATURALGAS</f>
        <v>257.70919540229892</v>
      </c>
      <c r="F81" s="6" t="s">
        <v>164</v>
      </c>
    </row>
    <row r="82" spans="2:7" x14ac:dyDescent="0.2">
      <c r="B82" s="16"/>
    </row>
    <row r="83" spans="2:7" ht="12.75" x14ac:dyDescent="0.2">
      <c r="B83" s="16"/>
      <c r="D83" s="95" t="s">
        <v>252</v>
      </c>
      <c r="E83" s="44">
        <v>29.2</v>
      </c>
      <c r="F83" s="6" t="s">
        <v>365</v>
      </c>
      <c r="G83" s="6" t="s">
        <v>335</v>
      </c>
    </row>
    <row r="84" spans="2:7" ht="12.75" x14ac:dyDescent="0.2">
      <c r="B84" s="16"/>
      <c r="D84" s="95" t="s">
        <v>341</v>
      </c>
      <c r="E84" s="44">
        <v>28.6</v>
      </c>
      <c r="F84" s="6" t="s">
        <v>365</v>
      </c>
      <c r="G84" s="6" t="s">
        <v>335</v>
      </c>
    </row>
    <row r="85" spans="2:7" x14ac:dyDescent="0.2">
      <c r="B85" s="16"/>
    </row>
    <row r="86" spans="2:7" ht="12.75" x14ac:dyDescent="0.2">
      <c r="B86" s="16"/>
      <c r="D86" s="95" t="s">
        <v>347</v>
      </c>
      <c r="E86" s="124">
        <v>2533</v>
      </c>
      <c r="F86" s="6" t="s">
        <v>397</v>
      </c>
      <c r="G86" s="6" t="s">
        <v>348</v>
      </c>
    </row>
    <row r="87" spans="2:7" x14ac:dyDescent="0.2">
      <c r="B87" s="16"/>
      <c r="D87" s="123"/>
      <c r="E87" s="97"/>
      <c r="F87" s="97"/>
    </row>
    <row r="88" spans="2:7" x14ac:dyDescent="0.2">
      <c r="B88" s="16"/>
      <c r="D88" s="6" t="s">
        <v>1123</v>
      </c>
      <c r="F88" s="97"/>
    </row>
    <row r="89" spans="2:7" x14ac:dyDescent="0.2">
      <c r="B89" s="16"/>
      <c r="D89" s="155" t="s">
        <v>950</v>
      </c>
      <c r="E89" s="295">
        <v>1</v>
      </c>
      <c r="F89" s="97"/>
    </row>
    <row r="90" spans="2:7" x14ac:dyDescent="0.2">
      <c r="B90" s="16"/>
      <c r="D90" s="155" t="s">
        <v>982</v>
      </c>
      <c r="E90" s="295">
        <v>0.47</v>
      </c>
      <c r="F90" s="97"/>
    </row>
    <row r="91" spans="2:7" x14ac:dyDescent="0.2">
      <c r="B91" s="16"/>
      <c r="D91" s="123"/>
      <c r="E91" s="97"/>
      <c r="F91" s="97"/>
    </row>
    <row r="92" spans="2:7" x14ac:dyDescent="0.2">
      <c r="B92" s="16"/>
      <c r="D92" s="97" t="s">
        <v>1114</v>
      </c>
      <c r="E92" s="97"/>
      <c r="F92" s="97"/>
    </row>
    <row r="93" spans="2:7" ht="12.75" x14ac:dyDescent="0.2">
      <c r="B93" s="16"/>
      <c r="D93" s="95" t="s">
        <v>349</v>
      </c>
      <c r="E93" s="125">
        <f>$E$89*E83/$E$86</f>
        <v>1.1527832609553888E-2</v>
      </c>
      <c r="F93" s="6" t="s">
        <v>176</v>
      </c>
    </row>
    <row r="94" spans="2:7" ht="12.75" x14ac:dyDescent="0.2">
      <c r="B94" s="16"/>
      <c r="D94" s="95" t="s">
        <v>350</v>
      </c>
      <c r="E94" s="125">
        <f>$E$89*E84/$E$86</f>
        <v>1.1290959336754837E-2</v>
      </c>
      <c r="F94" s="6" t="s">
        <v>176</v>
      </c>
    </row>
    <row r="95" spans="2:7" ht="12.75" x14ac:dyDescent="0.2">
      <c r="B95" s="16"/>
      <c r="D95" s="95" t="s">
        <v>1115</v>
      </c>
      <c r="E95" s="125">
        <f>$E$90*E83/$E$86</f>
        <v>5.4180813264903269E-3</v>
      </c>
      <c r="F95" s="6" t="s">
        <v>176</v>
      </c>
    </row>
    <row r="96" spans="2:7" ht="12.75" x14ac:dyDescent="0.2">
      <c r="B96" s="16"/>
      <c r="D96" s="95" t="s">
        <v>1116</v>
      </c>
      <c r="E96" s="125">
        <f>$E$90*E84/$E$86</f>
        <v>5.306750888274773E-3</v>
      </c>
      <c r="F96" s="6" t="s">
        <v>176</v>
      </c>
    </row>
    <row r="97" spans="2:14" x14ac:dyDescent="0.2">
      <c r="B97" s="16"/>
    </row>
    <row r="98" spans="2:14" ht="12.75" x14ac:dyDescent="0.2">
      <c r="B98" s="16"/>
      <c r="C98" s="36" t="s">
        <v>1181</v>
      </c>
      <c r="D98" s="41" t="str">
        <f>INPUT_INCLUDEGASLINE</f>
        <v>Yes</v>
      </c>
    </row>
    <row r="99" spans="2:14" ht="12.75" x14ac:dyDescent="0.2">
      <c r="B99" s="16"/>
      <c r="C99" s="36" t="s">
        <v>1182</v>
      </c>
      <c r="D99" s="233">
        <f>IF(D98="No",0,INPUT_GASLINECOST)</f>
        <v>5600</v>
      </c>
      <c r="E99" s="188" t="s">
        <v>1180</v>
      </c>
    </row>
    <row r="100" spans="2:14" x14ac:dyDescent="0.2">
      <c r="B100" s="16"/>
    </row>
    <row r="101" spans="2:14" x14ac:dyDescent="0.2">
      <c r="B101" s="16"/>
      <c r="C101" s="109" t="s">
        <v>1187</v>
      </c>
    </row>
    <row r="102" spans="2:14" ht="12.75" x14ac:dyDescent="0.2">
      <c r="B102" s="16"/>
      <c r="D102" s="95" t="s">
        <v>1183</v>
      </c>
      <c r="E102" s="108">
        <v>2853</v>
      </c>
      <c r="F102" s="6" t="s">
        <v>164</v>
      </c>
      <c r="G102" s="6" t="s">
        <v>785</v>
      </c>
    </row>
    <row r="103" spans="2:14" ht="12.75" x14ac:dyDescent="0.2">
      <c r="B103" s="16"/>
      <c r="D103" s="95" t="s">
        <v>1184</v>
      </c>
      <c r="E103" s="108">
        <v>3596</v>
      </c>
      <c r="F103" s="6" t="s">
        <v>164</v>
      </c>
      <c r="G103" s="6" t="s">
        <v>786</v>
      </c>
    </row>
    <row r="104" spans="2:14" x14ac:dyDescent="0.2">
      <c r="B104" s="16"/>
    </row>
    <row r="105" spans="2:14" x14ac:dyDescent="0.2">
      <c r="B105" s="16"/>
      <c r="C105" s="6" t="s">
        <v>324</v>
      </c>
    </row>
    <row r="106" spans="2:14" ht="12.75" x14ac:dyDescent="0.2">
      <c r="B106" s="16"/>
      <c r="D106" s="95" t="s">
        <v>331</v>
      </c>
      <c r="E106" s="42">
        <f>E102+$D$99</f>
        <v>8453</v>
      </c>
      <c r="F106" s="6" t="s">
        <v>164</v>
      </c>
    </row>
    <row r="107" spans="2:14" ht="12.75" x14ac:dyDescent="0.2">
      <c r="B107" s="16"/>
      <c r="D107" s="95" t="s">
        <v>332</v>
      </c>
      <c r="E107" s="42">
        <f>E103+$D$99</f>
        <v>9196</v>
      </c>
      <c r="F107" s="6" t="s">
        <v>164</v>
      </c>
    </row>
    <row r="109" spans="2:14" ht="13.5" thickBot="1" x14ac:dyDescent="0.25">
      <c r="B109" s="9" t="s">
        <v>322</v>
      </c>
      <c r="C109" s="9"/>
      <c r="D109" s="9"/>
      <c r="E109" s="9"/>
      <c r="F109" s="9"/>
      <c r="G109" s="9"/>
      <c r="H109" s="9"/>
      <c r="I109" s="9"/>
      <c r="J109" s="9"/>
      <c r="K109" s="9"/>
      <c r="L109" s="9"/>
      <c r="M109" s="9"/>
      <c r="N109" s="9"/>
    </row>
    <row r="110" spans="2:14" x14ac:dyDescent="0.2">
      <c r="B110" s="15"/>
    </row>
    <row r="111" spans="2:14" x14ac:dyDescent="0.2">
      <c r="B111" s="16"/>
    </row>
    <row r="112" spans="2:14" x14ac:dyDescent="0.2">
      <c r="B112" s="16"/>
    </row>
    <row r="113" spans="2:2" x14ac:dyDescent="0.2">
      <c r="B113" s="16"/>
    </row>
    <row r="114" spans="2:2" x14ac:dyDescent="0.2">
      <c r="B114" s="16"/>
    </row>
    <row r="115" spans="2:2" x14ac:dyDescent="0.2">
      <c r="B115" s="16"/>
    </row>
    <row r="116" spans="2:2" x14ac:dyDescent="0.2">
      <c r="B116" s="16"/>
    </row>
    <row r="117" spans="2:2" x14ac:dyDescent="0.2">
      <c r="B117" s="16"/>
    </row>
    <row r="118" spans="2:2" x14ac:dyDescent="0.2">
      <c r="B118" s="16"/>
    </row>
    <row r="119" spans="2:2" x14ac:dyDescent="0.2">
      <c r="B119" s="16"/>
    </row>
    <row r="120" spans="2:2" x14ac:dyDescent="0.2">
      <c r="B120" s="16"/>
    </row>
    <row r="121" spans="2:2" x14ac:dyDescent="0.2">
      <c r="B121" s="16"/>
    </row>
    <row r="122" spans="2:2" x14ac:dyDescent="0.2">
      <c r="B122" s="16"/>
    </row>
    <row r="123" spans="2:2" x14ac:dyDescent="0.2">
      <c r="B123" s="16"/>
    </row>
    <row r="124" spans="2:2" x14ac:dyDescent="0.2">
      <c r="B124" s="16"/>
    </row>
    <row r="125" spans="2:2" x14ac:dyDescent="0.2">
      <c r="B125" s="16"/>
    </row>
    <row r="126" spans="2:2" x14ac:dyDescent="0.2">
      <c r="B126" s="16"/>
    </row>
    <row r="127" spans="2:2" x14ac:dyDescent="0.2">
      <c r="B127" s="16"/>
    </row>
    <row r="128" spans="2:2" x14ac:dyDescent="0.2">
      <c r="B128" s="16"/>
    </row>
    <row r="129" spans="2:2" x14ac:dyDescent="0.2">
      <c r="B129" s="16"/>
    </row>
    <row r="130" spans="2:2" x14ac:dyDescent="0.2">
      <c r="B130" s="16"/>
    </row>
    <row r="131" spans="2:2" x14ac:dyDescent="0.2">
      <c r="B131" s="16"/>
    </row>
    <row r="132" spans="2:2" x14ac:dyDescent="0.2">
      <c r="B132" s="16"/>
    </row>
    <row r="133" spans="2:2" x14ac:dyDescent="0.2">
      <c r="B133" s="16"/>
    </row>
    <row r="134" spans="2:2" x14ac:dyDescent="0.2">
      <c r="B134" s="16"/>
    </row>
    <row r="135" spans="2:2" x14ac:dyDescent="0.2">
      <c r="B135" s="16"/>
    </row>
    <row r="136" spans="2:2" x14ac:dyDescent="0.2">
      <c r="B136" s="16"/>
    </row>
    <row r="137" spans="2:2" x14ac:dyDescent="0.2">
      <c r="B137" s="16"/>
    </row>
    <row r="138" spans="2:2" x14ac:dyDescent="0.2">
      <c r="B138" s="16"/>
    </row>
    <row r="139" spans="2:2" x14ac:dyDescent="0.2">
      <c r="B139" s="16"/>
    </row>
  </sheetData>
  <mergeCells count="20">
    <mergeCell ref="D59:G59"/>
    <mergeCell ref="D61:G61"/>
    <mergeCell ref="D62:G62"/>
    <mergeCell ref="D52:E52"/>
    <mergeCell ref="F52:G52"/>
    <mergeCell ref="D53:E53"/>
    <mergeCell ref="F53:G53"/>
    <mergeCell ref="D58:G58"/>
    <mergeCell ref="D50:E50"/>
    <mergeCell ref="F50:G50"/>
    <mergeCell ref="H50:I50"/>
    <mergeCell ref="J50:K50"/>
    <mergeCell ref="H53:I53"/>
    <mergeCell ref="J53:K53"/>
    <mergeCell ref="D51:E51"/>
    <mergeCell ref="F51:G51"/>
    <mergeCell ref="H51:I51"/>
    <mergeCell ref="J51:K51"/>
    <mergeCell ref="H52:I52"/>
    <mergeCell ref="J52:K52"/>
  </mergeCells>
  <dataValidations disablePrompts="1" count="2">
    <dataValidation type="list" allowBlank="1" showInputMessage="1" showErrorMessage="1" sqref="D9">
      <formula1>DEFINED_MEASURES</formula1>
    </dataValidation>
    <dataValidation type="list" allowBlank="1" showInputMessage="1" showErrorMessage="1" sqref="D5">
      <formula1>"1. Not Started,2. Analyzing,3. Ready"</formula1>
    </dataValidation>
  </dataValidations>
  <hyperlinks>
    <hyperlink ref="H61" r:id="rId1"/>
    <hyperlink ref="H62" r:id="rId2"/>
  </hyperlinks>
  <pageMargins left="0.7" right="0.7" top="0.75" bottom="0.75" header="0.3" footer="0.3"/>
  <pageSetup orientation="portrait" r:id="rId3"/>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3"/>
  </sheetPr>
  <dimension ref="A1:AD140"/>
  <sheetViews>
    <sheetView workbookViewId="0"/>
  </sheetViews>
  <sheetFormatPr defaultColWidth="9.33203125" defaultRowHeight="11.25" x14ac:dyDescent="0.2"/>
  <cols>
    <col min="1" max="2" width="3.33203125" style="6" customWidth="1"/>
    <col min="3" max="3" width="22.6640625" style="6" bestFit="1" customWidth="1"/>
    <col min="4" max="4" width="24.1640625" style="6" customWidth="1"/>
    <col min="5" max="5" width="21.6640625" style="6" customWidth="1"/>
    <col min="6" max="6" width="15" style="6" customWidth="1"/>
    <col min="7" max="7" width="13.5" style="6" customWidth="1"/>
    <col min="8" max="8" width="13.6640625" style="6" customWidth="1"/>
    <col min="9" max="9" width="22.33203125" style="6" bestFit="1" customWidth="1"/>
    <col min="10" max="10" width="20.5" style="6" bestFit="1" customWidth="1"/>
    <col min="11" max="11" width="9.33203125" style="6"/>
    <col min="12" max="12" width="16.5" style="6" customWidth="1"/>
    <col min="13" max="13" width="13.5" style="6" customWidth="1"/>
    <col min="14"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93" t="s">
        <v>109</v>
      </c>
      <c r="E9" s="7" t="s">
        <v>290</v>
      </c>
    </row>
    <row r="10" spans="1:30" ht="12.75" x14ac:dyDescent="0.2">
      <c r="B10" s="16"/>
      <c r="C10" s="30" t="s">
        <v>289</v>
      </c>
      <c r="D10" s="83" t="str">
        <f>INDEX(Tbl_MeasureList[Baseline ID],MATCH($D$9,Tbl_MeasureList[Measure ID],0))</f>
        <v>BASE17</v>
      </c>
      <c r="E10" s="7"/>
    </row>
    <row r="11" spans="1:30" x14ac:dyDescent="0.2">
      <c r="B11" s="16"/>
      <c r="C11" s="7"/>
      <c r="D11" s="7"/>
      <c r="E11" s="7"/>
    </row>
    <row r="12" spans="1:30" ht="12" thickBot="1" x14ac:dyDescent="0.25">
      <c r="B12" s="16"/>
      <c r="C12" s="7"/>
      <c r="D12" s="89" t="s">
        <v>5</v>
      </c>
      <c r="E12" s="89" t="s">
        <v>284</v>
      </c>
    </row>
    <row r="13" spans="1:30" x14ac:dyDescent="0.2">
      <c r="B13" s="16"/>
      <c r="C13" s="32" t="s">
        <v>2</v>
      </c>
      <c r="D13" s="84" t="str">
        <f>INDEX(Tbl_MeasureList[Baseline Equipment ID],MATCH($D$9,Tbl_MeasureList[Measure ID],0))</f>
        <v>EQUI029</v>
      </c>
      <c r="E13" s="84" t="str">
        <f>INDEX(Tbl_MeasureList[Replacement ID],MATCH($D$9,Tbl_MeasureList[Measure ID],0))</f>
        <v>EQUI030</v>
      </c>
      <c r="F13" s="7"/>
    </row>
    <row r="14" spans="1:30" x14ac:dyDescent="0.2">
      <c r="B14" s="16"/>
      <c r="C14" s="32" t="s">
        <v>4</v>
      </c>
      <c r="D14" s="85" t="str">
        <f>INDEX(Tbl_EquipmentDefinitions[[Equipment Name]:[Equipment Name]],MATCH(D$13,Tbl_EquipmentDefinitions[[Equipment ID]:[Equipment ID]],0))</f>
        <v>Propane On-Demand WH</v>
      </c>
      <c r="E14" s="85" t="str">
        <f>INDEX(Tbl_EquipmentDefinitions[[Equipment Name]:[Equipment Name]],MATCH(E$13,Tbl_EquipmentDefinitions[[Equipment ID]:[Equipment ID]],0))</f>
        <v>Gas On-Demand WH</v>
      </c>
      <c r="F14" s="7"/>
    </row>
    <row r="15" spans="1:30" x14ac:dyDescent="0.2">
      <c r="B15" s="16"/>
      <c r="C15" s="32" t="s">
        <v>24</v>
      </c>
      <c r="D15" s="84" t="str">
        <f>INDEX(Tbl_EquipmentDefinitions[[Function]:[Function]],MATCH(D$13,Tbl_EquipmentDefinitions[[Equipment ID]:[Equipment ID]],0))</f>
        <v>HW</v>
      </c>
      <c r="E15" s="84" t="str">
        <f>INDEX(Tbl_EquipmentDefinitions[[Function]:[Function]],MATCH(E$13,Tbl_EquipmentDefinitions[[Equipment ID]:[Equipment ID]],0))</f>
        <v>HW</v>
      </c>
      <c r="F15" s="7"/>
    </row>
    <row r="16" spans="1:30" x14ac:dyDescent="0.2">
      <c r="B16" s="16"/>
      <c r="C16" s="32" t="s">
        <v>7</v>
      </c>
      <c r="D16" s="85" t="str">
        <f>INDEX(Tbl_EquipmentDefinitions[[Fuel Type]:[Fuel Type]],MATCH(D$13,Tbl_EquipmentDefinitions[[Equipment ID]:[Equipment ID]],0))</f>
        <v>Propane</v>
      </c>
      <c r="E16" s="85" t="str">
        <f>INDEX(Tbl_EquipmentDefinitions[[Fuel Type]:[Fuel Type]],MATCH(E$13,Tbl_EquipmentDefinitions[[Equipment ID]:[Equipment ID]],0))</f>
        <v>Natural Gas</v>
      </c>
      <c r="F16" s="7"/>
    </row>
    <row r="17" spans="2:14" x14ac:dyDescent="0.2">
      <c r="B17" s="16"/>
      <c r="C17" s="32" t="s">
        <v>126</v>
      </c>
      <c r="D17" s="84">
        <f>IF(ISERR(SEARCH("+",D16,1)),1,2)</f>
        <v>1</v>
      </c>
      <c r="E17" s="84">
        <f>IF(ISERR(SEARCH("+",E16,1)),1,2)</f>
        <v>1</v>
      </c>
      <c r="F17" s="7"/>
    </row>
    <row r="18" spans="2:14" x14ac:dyDescent="0.2">
      <c r="B18" s="16"/>
      <c r="C18" s="32" t="s">
        <v>155</v>
      </c>
      <c r="D18" s="86">
        <f>INDEX(Tbl_BaselineSummary[Space Heating Load (MMBtu/yr)],MATCH($D$10,Tbl_BaselineSummary[Baseline ID],0))</f>
        <v>76.7</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11.3</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89" t="s">
        <v>127</v>
      </c>
      <c r="D25" s="89" t="s">
        <v>345</v>
      </c>
      <c r="E25" s="385" t="s">
        <v>956</v>
      </c>
      <c r="F25" s="89" t="s">
        <v>326</v>
      </c>
      <c r="G25" s="421" t="s">
        <v>1532</v>
      </c>
      <c r="H25" s="385" t="s">
        <v>958</v>
      </c>
      <c r="I25" s="569" t="s">
        <v>1447</v>
      </c>
      <c r="J25" s="569" t="s">
        <v>1448</v>
      </c>
      <c r="L25" s="89" t="s">
        <v>1533</v>
      </c>
      <c r="M25" s="421" t="s">
        <v>1531</v>
      </c>
    </row>
    <row r="26" spans="2:14" ht="11.25" customHeight="1" x14ac:dyDescent="0.2">
      <c r="B26" s="16"/>
      <c r="C26" s="32" t="s">
        <v>6</v>
      </c>
      <c r="D26" s="122">
        <f>E83</f>
        <v>29.2</v>
      </c>
      <c r="E26" s="126">
        <f>E93</f>
        <v>1.1527832609553888E-2</v>
      </c>
      <c r="F26" s="111">
        <f>D26*PRICE_PER_KWH_2018_ELECTRICITY</f>
        <v>5.77576</v>
      </c>
      <c r="G26" s="139">
        <v>0</v>
      </c>
      <c r="H26" s="404">
        <f>E95</f>
        <v>5.4180813264903269E-3</v>
      </c>
      <c r="I26" s="39" t="s">
        <v>1449</v>
      </c>
      <c r="J26" s="39" t="s">
        <v>1449</v>
      </c>
      <c r="L26" s="84">
        <f t="shared" ref="L26:M28" si="0">F26+E32+E38+E44</f>
        <v>233.61201000000003</v>
      </c>
      <c r="M26" s="86">
        <f t="shared" si="0"/>
        <v>8453</v>
      </c>
    </row>
    <row r="27" spans="2:14" x14ac:dyDescent="0.2">
      <c r="B27" s="16"/>
      <c r="C27" s="32" t="s">
        <v>19</v>
      </c>
      <c r="D27" s="122">
        <f>E84</f>
        <v>28.6</v>
      </c>
      <c r="E27" s="126">
        <f>E94</f>
        <v>1.1290959336754837E-2</v>
      </c>
      <c r="F27" s="111">
        <f>D27*PRICE_PER_KWH_2018_ELECTRICITY</f>
        <v>5.6570800000000006</v>
      </c>
      <c r="G27" s="139">
        <v>0</v>
      </c>
      <c r="H27" s="404">
        <f>E96</f>
        <v>5.306750888274773E-3</v>
      </c>
      <c r="I27" s="39" t="s">
        <v>1449</v>
      </c>
      <c r="J27" s="39" t="s">
        <v>1449</v>
      </c>
      <c r="L27" s="84">
        <f t="shared" si="0"/>
        <v>215.16167770114944</v>
      </c>
      <c r="M27" s="86">
        <f t="shared" si="0"/>
        <v>9196</v>
      </c>
    </row>
    <row r="28" spans="2:14" x14ac:dyDescent="0.2">
      <c r="B28" s="16"/>
      <c r="C28" s="32" t="s">
        <v>20</v>
      </c>
      <c r="D28" s="40">
        <v>0</v>
      </c>
      <c r="E28" s="38">
        <v>0</v>
      </c>
      <c r="F28" s="139">
        <v>0</v>
      </c>
      <c r="G28" s="139">
        <v>0</v>
      </c>
      <c r="H28" s="139">
        <v>0</v>
      </c>
      <c r="I28" s="39">
        <v>0</v>
      </c>
      <c r="J28" s="39">
        <v>0</v>
      </c>
      <c r="L28" s="84">
        <f t="shared" si="0"/>
        <v>0</v>
      </c>
      <c r="M28" s="86">
        <f t="shared" si="0"/>
        <v>0</v>
      </c>
    </row>
    <row r="29" spans="2:14" x14ac:dyDescent="0.2">
      <c r="B29" s="16"/>
    </row>
    <row r="30" spans="2:14" ht="12.75" thickBot="1" x14ac:dyDescent="0.25">
      <c r="B30" s="16"/>
      <c r="C30" s="34" t="s">
        <v>55</v>
      </c>
      <c r="D30" s="34"/>
      <c r="E30" s="33"/>
      <c r="F30" s="33"/>
    </row>
    <row r="31" spans="2:14" ht="23.25" thickBot="1" x14ac:dyDescent="0.25">
      <c r="B31" s="16"/>
      <c r="C31" s="89" t="s">
        <v>127</v>
      </c>
      <c r="D31" s="89" t="s">
        <v>325</v>
      </c>
      <c r="E31" s="89" t="s">
        <v>326</v>
      </c>
      <c r="F31" s="421" t="s">
        <v>1532</v>
      </c>
    </row>
    <row r="32" spans="2:14" x14ac:dyDescent="0.2">
      <c r="B32" s="16"/>
      <c r="C32" s="32" t="s">
        <v>6</v>
      </c>
      <c r="D32" s="110">
        <f>E77</f>
        <v>141.25</v>
      </c>
      <c r="E32" s="111">
        <f>E80</f>
        <v>227.83625000000004</v>
      </c>
      <c r="F32" s="111">
        <f>E106</f>
        <v>8453</v>
      </c>
      <c r="G32" s="7" t="s">
        <v>128</v>
      </c>
    </row>
    <row r="33" spans="2:14" x14ac:dyDescent="0.2">
      <c r="B33" s="16"/>
      <c r="C33" s="32" t="s">
        <v>19</v>
      </c>
      <c r="D33" s="84">
        <f>E78</f>
        <v>129.88505747126436</v>
      </c>
      <c r="E33" s="111">
        <f>E81</f>
        <v>209.50459770114944</v>
      </c>
      <c r="F33" s="111">
        <f>E107</f>
        <v>9196</v>
      </c>
    </row>
    <row r="34" spans="2:14" x14ac:dyDescent="0.2">
      <c r="B34" s="16"/>
      <c r="C34" s="32" t="s">
        <v>20</v>
      </c>
      <c r="D34" s="40">
        <v>0</v>
      </c>
      <c r="E34" s="39">
        <v>0</v>
      </c>
      <c r="F34" s="39">
        <v>0</v>
      </c>
    </row>
    <row r="35" spans="2:14" x14ac:dyDescent="0.2">
      <c r="B35" s="16"/>
    </row>
    <row r="36" spans="2:14" ht="12.75" thickBot="1" x14ac:dyDescent="0.25">
      <c r="B36" s="16"/>
      <c r="C36" s="34" t="s">
        <v>28</v>
      </c>
      <c r="D36" s="34"/>
      <c r="E36" s="33"/>
      <c r="F36" s="33"/>
    </row>
    <row r="37" spans="2:14" ht="23.25" thickBot="1" x14ac:dyDescent="0.25">
      <c r="B37" s="16"/>
      <c r="C37" s="89" t="s">
        <v>127</v>
      </c>
      <c r="D37" s="89" t="s">
        <v>756</v>
      </c>
      <c r="E37" s="89" t="s">
        <v>326</v>
      </c>
      <c r="F37" s="421" t="s">
        <v>1532</v>
      </c>
    </row>
    <row r="38" spans="2:14" x14ac:dyDescent="0.2">
      <c r="B38" s="16"/>
      <c r="C38" s="32" t="s">
        <v>6</v>
      </c>
      <c r="D38" s="118">
        <v>0</v>
      </c>
      <c r="E38" s="118">
        <v>0</v>
      </c>
      <c r="F38" s="11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23.25" thickBot="1" x14ac:dyDescent="0.25">
      <c r="B43" s="16"/>
      <c r="C43" s="89" t="s">
        <v>127</v>
      </c>
      <c r="D43" s="281" t="s">
        <v>756</v>
      </c>
      <c r="E43" s="281" t="s">
        <v>326</v>
      </c>
      <c r="F43" s="421" t="s">
        <v>1532</v>
      </c>
    </row>
    <row r="44" spans="2:14" x14ac:dyDescent="0.2">
      <c r="B44" s="16"/>
      <c r="C44" s="32" t="s">
        <v>6</v>
      </c>
      <c r="D44" s="40">
        <v>0</v>
      </c>
      <c r="E44" s="39">
        <v>0</v>
      </c>
      <c r="F44" s="39">
        <v>0</v>
      </c>
      <c r="G44" s="7" t="s">
        <v>128</v>
      </c>
    </row>
    <row r="45" spans="2:14" x14ac:dyDescent="0.2">
      <c r="B45" s="16"/>
      <c r="C45" s="32" t="s">
        <v>19</v>
      </c>
      <c r="D45" s="40">
        <v>0</v>
      </c>
      <c r="E45" s="39">
        <v>0</v>
      </c>
      <c r="F45" s="39">
        <v>0</v>
      </c>
    </row>
    <row r="46" spans="2:14" x14ac:dyDescent="0.2">
      <c r="B46" s="16"/>
      <c r="C46" s="32" t="s">
        <v>20</v>
      </c>
      <c r="D46" s="40">
        <v>0</v>
      </c>
      <c r="E46" s="39">
        <v>0</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v>
      </c>
      <c r="E51" s="690"/>
      <c r="F51" s="693" t="str">
        <f>INDEX(Tbl_EquipmentDefinitions[Natural Gas Code Efficiency],MATCH($E$13,Tbl_EquipmentDefinitions[Equipment ID],0))</f>
        <v>0.80 UEF</v>
      </c>
      <c r="G51" s="690"/>
      <c r="H51" s="693" t="str">
        <f>INDEX(Tbl_EquipmentDefinitions[Propane Code Efficiency],MATCH($E$13,Tbl_EquipmentDefinitions[Equipment ID],0))</f>
        <v>-</v>
      </c>
      <c r="I51" s="690"/>
      <c r="J51" s="693" t="str">
        <f>INDEX(Tbl_EquipmentDefinitions[Oil Code Efficiency],MATCH($E$13,Tbl_EquipmentDefinitions[Equipment ID],0))</f>
        <v>-</v>
      </c>
      <c r="K51" s="690"/>
    </row>
    <row r="52" spans="2:14" ht="12.75" x14ac:dyDescent="0.2">
      <c r="B52" s="16"/>
      <c r="C52" s="30" t="s">
        <v>153</v>
      </c>
      <c r="D52" s="689" t="str">
        <f>INDEX(Tbl_EquipmentDefinitions[Electricity Low Measure Efficiency],MATCH($E$13,Tbl_EquipmentDefinitions[Equipment ID],0))</f>
        <v>-</v>
      </c>
      <c r="E52" s="690"/>
      <c r="F52" s="689" t="str">
        <f>INDEX(Tbl_EquipmentDefinitions[Natural Gas Low Measure Efficiency],MATCH($E$13,Tbl_EquipmentDefinitions[Equipment ID],0))</f>
        <v>0.87 UEF</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v>
      </c>
      <c r="E53" s="690"/>
      <c r="F53" s="689" t="str">
        <f>INDEX(Tbl_EquipmentDefinitions[Natural Gas High Measure Efficiency],MATCH($E$13,Tbl_EquipmentDefinitions[Equipment ID],0))</f>
        <v>-</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89" t="s">
        <v>131</v>
      </c>
      <c r="D58" s="691" t="s">
        <v>132</v>
      </c>
      <c r="E58" s="692"/>
      <c r="F58" s="692"/>
      <c r="G58" s="692"/>
    </row>
    <row r="59" spans="2:14" x14ac:dyDescent="0.2">
      <c r="B59" s="16"/>
      <c r="C59" s="32" t="s">
        <v>342</v>
      </c>
      <c r="D59" s="696" t="s">
        <v>315</v>
      </c>
      <c r="E59" s="697"/>
      <c r="F59" s="697"/>
      <c r="G59" s="697"/>
    </row>
    <row r="60" spans="2:14" x14ac:dyDescent="0.2">
      <c r="B60" s="16"/>
      <c r="C60" s="32" t="s">
        <v>343</v>
      </c>
      <c r="D60" s="120" t="s">
        <v>344</v>
      </c>
      <c r="E60" s="121"/>
      <c r="F60" s="121"/>
      <c r="G60" s="121"/>
    </row>
    <row r="61" spans="2:14" x14ac:dyDescent="0.2">
      <c r="B61" s="16"/>
      <c r="C61" s="32" t="s">
        <v>386</v>
      </c>
      <c r="D61" s="698" t="s">
        <v>316</v>
      </c>
      <c r="E61" s="699"/>
      <c r="F61" s="699"/>
      <c r="G61" s="699"/>
      <c r="H61" s="94" t="s">
        <v>317</v>
      </c>
    </row>
    <row r="62" spans="2:14" x14ac:dyDescent="0.2">
      <c r="B62" s="16"/>
      <c r="C62" s="32" t="s">
        <v>346</v>
      </c>
      <c r="D62" s="698" t="s">
        <v>336</v>
      </c>
      <c r="E62" s="699"/>
      <c r="F62" s="699"/>
      <c r="G62" s="699"/>
      <c r="H62" s="94" t="s">
        <v>337</v>
      </c>
    </row>
    <row r="63" spans="2:14" x14ac:dyDescent="0.2">
      <c r="B63" s="16"/>
    </row>
    <row r="65" spans="2:14" ht="13.5" thickBot="1" x14ac:dyDescent="0.25">
      <c r="B65" s="9" t="s">
        <v>129</v>
      </c>
      <c r="C65" s="9"/>
      <c r="D65" s="9"/>
      <c r="E65" s="9"/>
      <c r="F65" s="9"/>
      <c r="G65" s="9"/>
      <c r="H65" s="9"/>
      <c r="I65" s="9"/>
      <c r="J65" s="9"/>
      <c r="K65" s="9"/>
      <c r="L65" s="9"/>
      <c r="M65" s="9"/>
      <c r="N65" s="9"/>
    </row>
    <row r="66" spans="2:14" x14ac:dyDescent="0.2">
      <c r="B66" s="15"/>
    </row>
    <row r="67" spans="2:14" x14ac:dyDescent="0.2">
      <c r="B67" s="16"/>
      <c r="C67" s="6" t="s">
        <v>327</v>
      </c>
    </row>
    <row r="68" spans="2:14" x14ac:dyDescent="0.2">
      <c r="B68" s="16"/>
      <c r="C68" s="6" t="s">
        <v>328</v>
      </c>
    </row>
    <row r="69" spans="2:14" x14ac:dyDescent="0.2">
      <c r="B69" s="16"/>
      <c r="C69" s="6" t="s">
        <v>352</v>
      </c>
    </row>
    <row r="70" spans="2:14" x14ac:dyDescent="0.2">
      <c r="B70" s="16"/>
      <c r="C70" s="6" t="s">
        <v>338</v>
      </c>
    </row>
    <row r="71" spans="2:14" x14ac:dyDescent="0.2">
      <c r="B71" s="16"/>
    </row>
    <row r="72" spans="2:14" ht="12.75" x14ac:dyDescent="0.2">
      <c r="B72" s="16"/>
      <c r="D72" s="95" t="s">
        <v>244</v>
      </c>
      <c r="E72" s="140">
        <f>D20</f>
        <v>11.3</v>
      </c>
      <c r="F72" s="6" t="s">
        <v>381</v>
      </c>
      <c r="G72" s="6" t="s">
        <v>382</v>
      </c>
    </row>
    <row r="73" spans="2:14" ht="12.75" x14ac:dyDescent="0.2">
      <c r="B73" s="16"/>
      <c r="D73" s="96"/>
      <c r="E73" s="97"/>
      <c r="F73" s="97"/>
    </row>
    <row r="74" spans="2:14" ht="12.75" x14ac:dyDescent="0.2">
      <c r="B74" s="16"/>
      <c r="D74" s="95" t="s">
        <v>318</v>
      </c>
      <c r="E74" s="107">
        <v>0.8</v>
      </c>
      <c r="F74" s="6" t="s">
        <v>319</v>
      </c>
      <c r="G74" s="6" t="s">
        <v>323</v>
      </c>
    </row>
    <row r="75" spans="2:14" ht="12.75" x14ac:dyDescent="0.2">
      <c r="B75" s="16"/>
      <c r="D75" s="95" t="s">
        <v>320</v>
      </c>
      <c r="E75" s="44">
        <v>0.87</v>
      </c>
      <c r="F75" s="6" t="s">
        <v>319</v>
      </c>
    </row>
    <row r="76" spans="2:14" ht="12.75" x14ac:dyDescent="0.2">
      <c r="B76" s="16"/>
      <c r="D76" s="96"/>
    </row>
    <row r="77" spans="2:14" ht="12.75" x14ac:dyDescent="0.2">
      <c r="B77" s="16"/>
      <c r="D77" s="95" t="s">
        <v>329</v>
      </c>
      <c r="E77" s="37">
        <f>(E72/E74)*Therm_per_MMBtu</f>
        <v>141.25</v>
      </c>
      <c r="F77" s="6" t="s">
        <v>321</v>
      </c>
    </row>
    <row r="78" spans="2:14" ht="12.75" x14ac:dyDescent="0.2">
      <c r="B78" s="16"/>
      <c r="D78" s="95" t="s">
        <v>330</v>
      </c>
      <c r="E78" s="37">
        <f>(E72/E75)*Therm_per_MMBtu</f>
        <v>129.88505747126436</v>
      </c>
      <c r="F78" s="6" t="s">
        <v>321</v>
      </c>
    </row>
    <row r="79" spans="2:14" ht="12.75" x14ac:dyDescent="0.2">
      <c r="B79" s="16"/>
      <c r="D79" s="96"/>
    </row>
    <row r="80" spans="2:14" ht="12.75" x14ac:dyDescent="0.2">
      <c r="B80" s="16"/>
      <c r="D80" s="95" t="s">
        <v>339</v>
      </c>
      <c r="E80" s="42">
        <f>E77*PRICE_PER_THERM_2018_NATURALGAS</f>
        <v>227.83625000000004</v>
      </c>
      <c r="F80" s="6" t="s">
        <v>164</v>
      </c>
    </row>
    <row r="81" spans="2:7" ht="12.75" x14ac:dyDescent="0.2">
      <c r="B81" s="16"/>
      <c r="D81" s="95" t="s">
        <v>340</v>
      </c>
      <c r="E81" s="42">
        <f>E78*PRICE_PER_THERM_2018_NATURALGAS</f>
        <v>209.50459770114944</v>
      </c>
      <c r="F81" s="6" t="s">
        <v>164</v>
      </c>
    </row>
    <row r="82" spans="2:7" x14ac:dyDescent="0.2">
      <c r="B82" s="16"/>
    </row>
    <row r="83" spans="2:7" ht="12.75" x14ac:dyDescent="0.2">
      <c r="B83" s="16"/>
      <c r="D83" s="95" t="s">
        <v>252</v>
      </c>
      <c r="E83" s="44">
        <v>29.2</v>
      </c>
      <c r="F83" s="6" t="s">
        <v>365</v>
      </c>
      <c r="G83" s="6" t="s">
        <v>335</v>
      </c>
    </row>
    <row r="84" spans="2:7" ht="12.75" x14ac:dyDescent="0.2">
      <c r="B84" s="16"/>
      <c r="D84" s="95" t="s">
        <v>341</v>
      </c>
      <c r="E84" s="44">
        <v>28.6</v>
      </c>
      <c r="F84" s="6" t="s">
        <v>365</v>
      </c>
      <c r="G84" s="6" t="s">
        <v>335</v>
      </c>
    </row>
    <row r="85" spans="2:7" x14ac:dyDescent="0.2">
      <c r="B85" s="16"/>
    </row>
    <row r="86" spans="2:7" ht="12.75" x14ac:dyDescent="0.2">
      <c r="B86" s="16"/>
      <c r="D86" s="95" t="s">
        <v>347</v>
      </c>
      <c r="E86" s="124">
        <v>2533</v>
      </c>
      <c r="F86" s="6" t="s">
        <v>397</v>
      </c>
      <c r="G86" s="6" t="s">
        <v>348</v>
      </c>
    </row>
    <row r="87" spans="2:7" x14ac:dyDescent="0.2">
      <c r="B87" s="16"/>
      <c r="D87" s="123"/>
      <c r="E87" s="97"/>
      <c r="F87" s="97"/>
    </row>
    <row r="88" spans="2:7" x14ac:dyDescent="0.2">
      <c r="B88" s="16"/>
      <c r="D88" s="6" t="s">
        <v>1123</v>
      </c>
      <c r="F88" s="97"/>
    </row>
    <row r="89" spans="2:7" x14ac:dyDescent="0.2">
      <c r="B89" s="16"/>
      <c r="D89" s="155" t="s">
        <v>950</v>
      </c>
      <c r="E89" s="295">
        <v>1</v>
      </c>
      <c r="F89" s="97"/>
    </row>
    <row r="90" spans="2:7" x14ac:dyDescent="0.2">
      <c r="B90" s="16"/>
      <c r="D90" s="155" t="s">
        <v>982</v>
      </c>
      <c r="E90" s="295">
        <v>0.47</v>
      </c>
      <c r="F90" s="97"/>
    </row>
    <row r="91" spans="2:7" x14ac:dyDescent="0.2">
      <c r="B91" s="16"/>
      <c r="D91" s="123"/>
      <c r="E91" s="97"/>
      <c r="F91" s="97"/>
    </row>
    <row r="92" spans="2:7" x14ac:dyDescent="0.2">
      <c r="B92" s="16"/>
      <c r="D92" s="97" t="s">
        <v>1114</v>
      </c>
      <c r="E92" s="97"/>
      <c r="F92" s="97"/>
    </row>
    <row r="93" spans="2:7" ht="12.75" x14ac:dyDescent="0.2">
      <c r="B93" s="16"/>
      <c r="D93" s="95" t="s">
        <v>349</v>
      </c>
      <c r="E93" s="125">
        <f>$E$89*E83/$E$86</f>
        <v>1.1527832609553888E-2</v>
      </c>
      <c r="F93" s="6" t="s">
        <v>176</v>
      </c>
    </row>
    <row r="94" spans="2:7" ht="12.75" x14ac:dyDescent="0.2">
      <c r="B94" s="16"/>
      <c r="D94" s="95" t="s">
        <v>350</v>
      </c>
      <c r="E94" s="125">
        <f>$E$89*E84/$E$86</f>
        <v>1.1290959336754837E-2</v>
      </c>
      <c r="F94" s="6" t="s">
        <v>176</v>
      </c>
    </row>
    <row r="95" spans="2:7" ht="12.75" x14ac:dyDescent="0.2">
      <c r="B95" s="16"/>
      <c r="D95" s="95" t="s">
        <v>1115</v>
      </c>
      <c r="E95" s="125">
        <f>$E$90*E83/$E$86</f>
        <v>5.4180813264903269E-3</v>
      </c>
      <c r="F95" s="6" t="s">
        <v>176</v>
      </c>
    </row>
    <row r="96" spans="2:7" ht="12.75" x14ac:dyDescent="0.2">
      <c r="B96" s="16"/>
      <c r="D96" s="95" t="s">
        <v>1116</v>
      </c>
      <c r="E96" s="125">
        <f>$E$90*E84/$E$86</f>
        <v>5.306750888274773E-3</v>
      </c>
      <c r="F96" s="6" t="s">
        <v>176</v>
      </c>
    </row>
    <row r="97" spans="2:14" x14ac:dyDescent="0.2">
      <c r="B97" s="16"/>
    </row>
    <row r="98" spans="2:14" ht="12.75" x14ac:dyDescent="0.2">
      <c r="B98" s="16"/>
      <c r="C98" s="36" t="s">
        <v>1181</v>
      </c>
      <c r="D98" s="41" t="str">
        <f>INPUT_INCLUDEGASLINE</f>
        <v>Yes</v>
      </c>
    </row>
    <row r="99" spans="2:14" ht="12.75" x14ac:dyDescent="0.2">
      <c r="B99" s="16"/>
      <c r="C99" s="36" t="s">
        <v>1182</v>
      </c>
      <c r="D99" s="233">
        <f>IF(D98="No",0,INPUT_GASLINECOST)</f>
        <v>5600</v>
      </c>
      <c r="E99" s="188" t="s">
        <v>1180</v>
      </c>
    </row>
    <row r="100" spans="2:14" x14ac:dyDescent="0.2">
      <c r="B100" s="16"/>
    </row>
    <row r="101" spans="2:14" x14ac:dyDescent="0.2">
      <c r="B101" s="16"/>
      <c r="C101" s="109" t="s">
        <v>1187</v>
      </c>
    </row>
    <row r="102" spans="2:14" ht="12.75" x14ac:dyDescent="0.2">
      <c r="B102" s="16"/>
      <c r="D102" s="95" t="s">
        <v>1183</v>
      </c>
      <c r="E102" s="108">
        <v>2853</v>
      </c>
      <c r="F102" s="6" t="s">
        <v>164</v>
      </c>
      <c r="G102" s="6" t="s">
        <v>785</v>
      </c>
    </row>
    <row r="103" spans="2:14" ht="12.75" x14ac:dyDescent="0.2">
      <c r="B103" s="16"/>
      <c r="D103" s="95" t="s">
        <v>1184</v>
      </c>
      <c r="E103" s="108">
        <v>3596</v>
      </c>
      <c r="F103" s="6" t="s">
        <v>164</v>
      </c>
      <c r="G103" s="6" t="s">
        <v>786</v>
      </c>
    </row>
    <row r="104" spans="2:14" x14ac:dyDescent="0.2">
      <c r="B104" s="16"/>
    </row>
    <row r="105" spans="2:14" x14ac:dyDescent="0.2">
      <c r="B105" s="16"/>
      <c r="C105" s="6" t="s">
        <v>324</v>
      </c>
    </row>
    <row r="106" spans="2:14" ht="12.75" x14ac:dyDescent="0.2">
      <c r="B106" s="16"/>
      <c r="D106" s="95" t="s">
        <v>331</v>
      </c>
      <c r="E106" s="42">
        <f>E102+$D$99</f>
        <v>8453</v>
      </c>
      <c r="F106" s="6" t="s">
        <v>164</v>
      </c>
    </row>
    <row r="107" spans="2:14" ht="12.75" x14ac:dyDescent="0.2">
      <c r="B107" s="16"/>
      <c r="D107" s="95" t="s">
        <v>332</v>
      </c>
      <c r="E107" s="42">
        <f>E103+$D$99</f>
        <v>9196</v>
      </c>
      <c r="F107" s="6" t="s">
        <v>164</v>
      </c>
    </row>
    <row r="108" spans="2:14" x14ac:dyDescent="0.2">
      <c r="B108" s="16"/>
    </row>
    <row r="110" spans="2:14" ht="13.5" thickBot="1" x14ac:dyDescent="0.25">
      <c r="B110" s="9" t="s">
        <v>322</v>
      </c>
      <c r="C110" s="9"/>
      <c r="D110" s="9"/>
      <c r="E110" s="9"/>
      <c r="F110" s="9"/>
      <c r="G110" s="9"/>
      <c r="H110" s="9"/>
      <c r="I110" s="9"/>
      <c r="J110" s="9"/>
      <c r="K110" s="9"/>
      <c r="L110" s="9"/>
      <c r="M110" s="9"/>
      <c r="N110" s="9"/>
    </row>
    <row r="111" spans="2:14" x14ac:dyDescent="0.2">
      <c r="B111" s="15"/>
    </row>
    <row r="112" spans="2:14" x14ac:dyDescent="0.2">
      <c r="B112" s="16"/>
    </row>
    <row r="113" spans="2:2" x14ac:dyDescent="0.2">
      <c r="B113" s="16"/>
    </row>
    <row r="114" spans="2:2" x14ac:dyDescent="0.2">
      <c r="B114" s="16"/>
    </row>
    <row r="115" spans="2:2" x14ac:dyDescent="0.2">
      <c r="B115" s="16"/>
    </row>
    <row r="116" spans="2:2" x14ac:dyDescent="0.2">
      <c r="B116" s="16"/>
    </row>
    <row r="117" spans="2:2" x14ac:dyDescent="0.2">
      <c r="B117" s="16"/>
    </row>
    <row r="118" spans="2:2" x14ac:dyDescent="0.2">
      <c r="B118" s="16"/>
    </row>
    <row r="119" spans="2:2" x14ac:dyDescent="0.2">
      <c r="B119" s="16"/>
    </row>
    <row r="120" spans="2:2" x14ac:dyDescent="0.2">
      <c r="B120" s="16"/>
    </row>
    <row r="121" spans="2:2" x14ac:dyDescent="0.2">
      <c r="B121" s="16"/>
    </row>
    <row r="122" spans="2:2" x14ac:dyDescent="0.2">
      <c r="B122" s="16"/>
    </row>
    <row r="123" spans="2:2" x14ac:dyDescent="0.2">
      <c r="B123" s="16"/>
    </row>
    <row r="124" spans="2:2" x14ac:dyDescent="0.2">
      <c r="B124" s="16"/>
    </row>
    <row r="125" spans="2:2" x14ac:dyDescent="0.2">
      <c r="B125" s="16"/>
    </row>
    <row r="126" spans="2:2" x14ac:dyDescent="0.2">
      <c r="B126" s="16"/>
    </row>
    <row r="127" spans="2:2" x14ac:dyDescent="0.2">
      <c r="B127" s="16"/>
    </row>
    <row r="128" spans="2:2" x14ac:dyDescent="0.2">
      <c r="B128" s="16"/>
    </row>
    <row r="129" spans="2:2" x14ac:dyDescent="0.2">
      <c r="B129" s="16"/>
    </row>
    <row r="130" spans="2:2" x14ac:dyDescent="0.2">
      <c r="B130" s="16"/>
    </row>
    <row r="131" spans="2:2" x14ac:dyDescent="0.2">
      <c r="B131" s="16"/>
    </row>
    <row r="132" spans="2:2" x14ac:dyDescent="0.2">
      <c r="B132" s="16"/>
    </row>
    <row r="133" spans="2:2" x14ac:dyDescent="0.2">
      <c r="B133" s="16"/>
    </row>
    <row r="134" spans="2:2" x14ac:dyDescent="0.2">
      <c r="B134" s="16"/>
    </row>
    <row r="135" spans="2:2" x14ac:dyDescent="0.2">
      <c r="B135" s="16"/>
    </row>
    <row r="136" spans="2:2" x14ac:dyDescent="0.2">
      <c r="B136" s="16"/>
    </row>
    <row r="137" spans="2:2" x14ac:dyDescent="0.2">
      <c r="B137" s="16"/>
    </row>
    <row r="138" spans="2:2" x14ac:dyDescent="0.2">
      <c r="B138" s="16"/>
    </row>
    <row r="139" spans="2:2" x14ac:dyDescent="0.2">
      <c r="B139" s="16"/>
    </row>
    <row r="140" spans="2:2" x14ac:dyDescent="0.2">
      <c r="B140" s="16"/>
    </row>
  </sheetData>
  <mergeCells count="20">
    <mergeCell ref="D59:G59"/>
    <mergeCell ref="D61:G61"/>
    <mergeCell ref="D62:G62"/>
    <mergeCell ref="D52:E52"/>
    <mergeCell ref="F52:G52"/>
    <mergeCell ref="D53:E53"/>
    <mergeCell ref="F53:G53"/>
    <mergeCell ref="D58:G58"/>
    <mergeCell ref="D50:E50"/>
    <mergeCell ref="F50:G50"/>
    <mergeCell ref="H50:I50"/>
    <mergeCell ref="J50:K50"/>
    <mergeCell ref="H53:I53"/>
    <mergeCell ref="J53:K53"/>
    <mergeCell ref="D51:E51"/>
    <mergeCell ref="F51:G51"/>
    <mergeCell ref="H51:I51"/>
    <mergeCell ref="J51:K51"/>
    <mergeCell ref="H52:I52"/>
    <mergeCell ref="J52:K52"/>
  </mergeCells>
  <dataValidations disablePrompts="1" count="2">
    <dataValidation type="list" allowBlank="1" showInputMessage="1" showErrorMessage="1" sqref="D5">
      <formula1>"1. Not Started,2. Analyzing,3. Ready"</formula1>
    </dataValidation>
    <dataValidation type="list" allowBlank="1" showInputMessage="1" showErrorMessage="1" sqref="D9">
      <formula1>DEFINED_MEASURES</formula1>
    </dataValidation>
  </dataValidations>
  <hyperlinks>
    <hyperlink ref="H61" r:id="rId1"/>
    <hyperlink ref="H62" r:id="rId2"/>
  </hyperlinks>
  <pageMargins left="0.7" right="0.7" top="0.75" bottom="0.75" header="0.3" footer="0.3"/>
  <pageSetup orientation="portrait" r:id="rId3"/>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3"/>
  </sheetPr>
  <dimension ref="A1:AD155"/>
  <sheetViews>
    <sheetView workbookViewId="0"/>
  </sheetViews>
  <sheetFormatPr defaultColWidth="9.33203125" defaultRowHeight="11.25" x14ac:dyDescent="0.2"/>
  <cols>
    <col min="1" max="2" width="3.33203125" style="6" customWidth="1"/>
    <col min="3" max="3" width="22.6640625" style="6" bestFit="1" customWidth="1"/>
    <col min="4" max="4" width="14.33203125" style="6" customWidth="1"/>
    <col min="5" max="5" width="18.83203125" style="6" customWidth="1"/>
    <col min="6" max="6" width="15" style="6" customWidth="1"/>
    <col min="7" max="7" width="13.5" style="6" customWidth="1"/>
    <col min="8" max="8" width="14.6640625" style="6" customWidth="1"/>
    <col min="9" max="9" width="22.33203125" style="6" bestFit="1" customWidth="1"/>
    <col min="10" max="10" width="20.5" style="6" bestFit="1" customWidth="1"/>
    <col min="11"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93" t="s">
        <v>841</v>
      </c>
      <c r="E9" s="7" t="s">
        <v>290</v>
      </c>
    </row>
    <row r="10" spans="1:30" ht="12.75" x14ac:dyDescent="0.2">
      <c r="B10" s="16"/>
      <c r="C10" s="30" t="s">
        <v>289</v>
      </c>
      <c r="D10" s="83" t="str">
        <f>INDEX(Tbl_MeasureList[Baseline ID],MATCH($D$9,Tbl_MeasureList[Measure ID],0))</f>
        <v>BASE18</v>
      </c>
      <c r="E10" s="7"/>
    </row>
    <row r="11" spans="1:30" x14ac:dyDescent="0.2">
      <c r="B11" s="16"/>
      <c r="C11" s="7"/>
      <c r="D11" s="7"/>
      <c r="E11" s="7"/>
    </row>
    <row r="12" spans="1:30" ht="12" thickBot="1" x14ac:dyDescent="0.25">
      <c r="B12" s="16"/>
      <c r="C12" s="7"/>
      <c r="D12" s="338" t="s">
        <v>5</v>
      </c>
      <c r="E12" s="338" t="s">
        <v>284</v>
      </c>
    </row>
    <row r="13" spans="1:30" x14ac:dyDescent="0.2">
      <c r="B13" s="16"/>
      <c r="C13" s="32" t="s">
        <v>2</v>
      </c>
      <c r="D13" s="84" t="str">
        <f>INDEX(Tbl_MeasureList[Baseline Equipment ID],MATCH($D$9,Tbl_MeasureList[Measure ID],0))</f>
        <v>EQUI032</v>
      </c>
      <c r="E13" s="84" t="str">
        <f>INDEX(Tbl_MeasureList[Replacement ID],MATCH($D$9,Tbl_MeasureList[Measure ID],0))</f>
        <v>EQUI033</v>
      </c>
      <c r="F13" s="7"/>
    </row>
    <row r="14" spans="1:30" x14ac:dyDescent="0.2">
      <c r="B14" s="16"/>
      <c r="C14" s="32" t="s">
        <v>4</v>
      </c>
      <c r="D14" s="85" t="str">
        <f>INDEX(Tbl_EquipmentDefinitions[[Equipment Name]:[Equipment Name]],MATCH(D$13,Tbl_EquipmentDefinitions[[Equipment ID]:[Equipment ID]],0))</f>
        <v>Central A/C+Oil Boiler</v>
      </c>
      <c r="E14" s="85" t="str">
        <f>INDEX(Tbl_EquipmentDefinitions[[Equipment Name]:[Equipment Name]],MATCH(E$13,Tbl_EquipmentDefinitions[[Equipment ID]:[Equipment ID]],0))</f>
        <v>Central HP+Oil Boiler</v>
      </c>
      <c r="F14" s="7"/>
    </row>
    <row r="15" spans="1:30" x14ac:dyDescent="0.2">
      <c r="B15" s="16"/>
      <c r="C15" s="32" t="s">
        <v>24</v>
      </c>
      <c r="D15" s="84" t="str">
        <f>INDEX(Tbl_EquipmentDefinitions[[Function]:[Function]],MATCH(D$13,Tbl_EquipmentDefinitions[[Equipment ID]:[Equipment ID]],0))</f>
        <v>Cool+Heat</v>
      </c>
      <c r="E15" s="84" t="str">
        <f>INDEX(Tbl_EquipmentDefinitions[[Function]:[Function]],MATCH(E$13,Tbl_EquipmentDefinitions[[Equipment ID]:[Equipment ID]],0))</f>
        <v>Cool+Heat</v>
      </c>
      <c r="F15" s="7"/>
    </row>
    <row r="16" spans="1:30" x14ac:dyDescent="0.2">
      <c r="B16" s="16"/>
      <c r="C16" s="32" t="s">
        <v>7</v>
      </c>
      <c r="D16" s="85" t="str">
        <f>INDEX(Tbl_EquipmentDefinitions[[Fuel Type]:[Fuel Type]],MATCH(D$13,Tbl_EquipmentDefinitions[[Equipment ID]:[Equipment ID]],0))</f>
        <v>Electric+Oil</v>
      </c>
      <c r="E16" s="85" t="str">
        <f>INDEX(Tbl_EquipmentDefinitions[[Fuel Type]:[Fuel Type]],MATCH(E$13,Tbl_EquipmentDefinitions[[Equipment ID]:[Equipment ID]],0))</f>
        <v>Electric+Oil</v>
      </c>
      <c r="F16" s="7"/>
    </row>
    <row r="17" spans="2:14" x14ac:dyDescent="0.2">
      <c r="B17" s="16"/>
      <c r="C17" s="32" t="s">
        <v>126</v>
      </c>
      <c r="D17" s="84">
        <f>IF(ISERR(SEARCH("+",D16,1)),1,2)</f>
        <v>2</v>
      </c>
      <c r="E17" s="84">
        <f>IF(ISERR(SEARCH("+",E16,1)),1,2)</f>
        <v>2</v>
      </c>
      <c r="F17" s="7"/>
    </row>
    <row r="18" spans="2:14" x14ac:dyDescent="0.2">
      <c r="B18" s="16"/>
      <c r="C18" s="32" t="s">
        <v>155</v>
      </c>
      <c r="D18" s="86">
        <f>INDEX(Tbl_BaselineSummary[Space Heating Load (MMBtu/yr)],MATCH($D$10,Tbl_BaselineSummary[Baseline ID],0))</f>
        <v>76.7</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13.9</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338" t="s">
        <v>127</v>
      </c>
      <c r="D25" s="338" t="s">
        <v>345</v>
      </c>
      <c r="E25" s="385" t="s">
        <v>956</v>
      </c>
      <c r="F25" s="338" t="s">
        <v>326</v>
      </c>
      <c r="G25" s="421" t="s">
        <v>1532</v>
      </c>
      <c r="H25" s="385" t="s">
        <v>958</v>
      </c>
      <c r="I25" s="569" t="s">
        <v>1447</v>
      </c>
      <c r="J25" s="569" t="s">
        <v>1448</v>
      </c>
      <c r="L25" s="338" t="s">
        <v>1533</v>
      </c>
      <c r="M25" s="421" t="s">
        <v>1531</v>
      </c>
    </row>
    <row r="26" spans="2:14" ht="11.25" customHeight="1" x14ac:dyDescent="0.2">
      <c r="B26" s="16"/>
      <c r="C26" s="32" t="s">
        <v>6</v>
      </c>
      <c r="D26" s="122">
        <f>D101</f>
        <v>6526.7416155832198</v>
      </c>
      <c r="E26" s="126">
        <f>D125</f>
        <v>1.1341463414634148</v>
      </c>
      <c r="F26" s="111">
        <f>D105</f>
        <v>1290.9894915623609</v>
      </c>
      <c r="G26" s="296">
        <f>D152</f>
        <v>11242.5</v>
      </c>
      <c r="H26" s="126">
        <f>D136</f>
        <v>1.2820512820512822</v>
      </c>
      <c r="I26" s="202">
        <f>D97</f>
        <v>933.7714285714286</v>
      </c>
      <c r="J26" s="202">
        <f>D78</f>
        <v>5592.9701870117915</v>
      </c>
      <c r="L26" s="84">
        <f t="shared" ref="L26:M28" si="0">F26+E32+E38+E44</f>
        <v>2289.210802147606</v>
      </c>
      <c r="M26" s="86">
        <f t="shared" si="0"/>
        <v>11242.5</v>
      </c>
    </row>
    <row r="27" spans="2:14" x14ac:dyDescent="0.2">
      <c r="B27" s="16"/>
      <c r="C27" s="32" t="s">
        <v>19</v>
      </c>
      <c r="D27" s="122">
        <f>D102</f>
        <v>6215.765368161643</v>
      </c>
      <c r="E27" s="126">
        <f>D126</f>
        <v>1.0941176470588236</v>
      </c>
      <c r="F27" s="111">
        <f>D106</f>
        <v>1229.4783898223729</v>
      </c>
      <c r="G27" s="296">
        <f t="shared" ref="G27:G28" si="1">D153</f>
        <v>12112.5</v>
      </c>
      <c r="H27" s="126">
        <f t="shared" ref="H27:H28" si="2">D137</f>
        <v>1.2820512820512822</v>
      </c>
      <c r="I27" s="202">
        <f t="shared" ref="I27:I28" si="3">D98</f>
        <v>817.05000000000007</v>
      </c>
      <c r="J27" s="202">
        <f t="shared" ref="J27:J28" si="4">D79</f>
        <v>5398.7153681616428</v>
      </c>
      <c r="L27" s="84">
        <f t="shared" si="0"/>
        <v>2227.6997004076179</v>
      </c>
      <c r="M27" s="86">
        <f t="shared" si="0"/>
        <v>12112.5</v>
      </c>
    </row>
    <row r="28" spans="2:14" x14ac:dyDescent="0.2">
      <c r="B28" s="16"/>
      <c r="C28" s="32" t="s">
        <v>20</v>
      </c>
      <c r="D28" s="122">
        <f>D103</f>
        <v>5516.5867341240255</v>
      </c>
      <c r="E28" s="126">
        <f>D127</f>
        <v>1.6875000000000004</v>
      </c>
      <c r="F28" s="111">
        <f>D107</f>
        <v>1091.1808560097322</v>
      </c>
      <c r="G28" s="296">
        <f t="shared" si="1"/>
        <v>12982.5</v>
      </c>
      <c r="H28" s="126">
        <f t="shared" si="2"/>
        <v>1.2820512820512822</v>
      </c>
      <c r="I28" s="202">
        <f t="shared" si="3"/>
        <v>726.26666666666677</v>
      </c>
      <c r="J28" s="202">
        <f t="shared" si="4"/>
        <v>4790.3200674573591</v>
      </c>
      <c r="L28" s="84">
        <f t="shared" si="0"/>
        <v>2089.4021665949772</v>
      </c>
      <c r="M28" s="86">
        <f t="shared" si="0"/>
        <v>12982.5</v>
      </c>
    </row>
    <row r="29" spans="2:14" x14ac:dyDescent="0.2">
      <c r="B29" s="16"/>
    </row>
    <row r="30" spans="2:14" ht="12.75" thickBot="1" x14ac:dyDescent="0.25">
      <c r="B30" s="16"/>
      <c r="C30" s="34" t="s">
        <v>55</v>
      </c>
      <c r="D30" s="34"/>
      <c r="E30" s="33"/>
      <c r="F30" s="33"/>
    </row>
    <row r="31" spans="2:14" ht="34.5" thickBot="1" x14ac:dyDescent="0.25">
      <c r="B31" s="16"/>
      <c r="C31" s="338" t="s">
        <v>127</v>
      </c>
      <c r="D31" s="338" t="s">
        <v>325</v>
      </c>
      <c r="E31" s="338" t="s">
        <v>326</v>
      </c>
      <c r="F31" s="421" t="s">
        <v>1532</v>
      </c>
    </row>
    <row r="32" spans="2:14" x14ac:dyDescent="0.2">
      <c r="B32" s="16"/>
      <c r="C32" s="32" t="s">
        <v>6</v>
      </c>
      <c r="D32" s="40">
        <v>0</v>
      </c>
      <c r="E32" s="39">
        <v>0</v>
      </c>
      <c r="F32" s="39">
        <v>0</v>
      </c>
      <c r="G32" s="7" t="s">
        <v>128</v>
      </c>
    </row>
    <row r="33" spans="2:14" x14ac:dyDescent="0.2">
      <c r="B33" s="16"/>
      <c r="C33" s="32" t="s">
        <v>19</v>
      </c>
      <c r="D33" s="40">
        <v>0</v>
      </c>
      <c r="E33" s="39">
        <v>0</v>
      </c>
      <c r="F33" s="39">
        <v>0</v>
      </c>
    </row>
    <row r="34" spans="2:14" x14ac:dyDescent="0.2">
      <c r="B34" s="16"/>
      <c r="C34" s="32" t="s">
        <v>20</v>
      </c>
      <c r="D34" s="40">
        <v>0</v>
      </c>
      <c r="E34" s="39">
        <v>0</v>
      </c>
      <c r="F34" s="39">
        <v>0</v>
      </c>
    </row>
    <row r="35" spans="2:14" x14ac:dyDescent="0.2">
      <c r="B35" s="16"/>
    </row>
    <row r="36" spans="2:14" ht="12.75" thickBot="1" x14ac:dyDescent="0.25">
      <c r="B36" s="16"/>
      <c r="C36" s="34" t="s">
        <v>28</v>
      </c>
      <c r="D36" s="34"/>
      <c r="E36" s="33"/>
      <c r="F36" s="33"/>
    </row>
    <row r="37" spans="2:14" ht="34.5" thickBot="1" x14ac:dyDescent="0.25">
      <c r="B37" s="16"/>
      <c r="C37" s="338" t="s">
        <v>127</v>
      </c>
      <c r="D37" s="338" t="s">
        <v>756</v>
      </c>
      <c r="E37" s="338" t="s">
        <v>326</v>
      </c>
      <c r="F37" s="421"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34.5" thickBot="1" x14ac:dyDescent="0.25">
      <c r="B43" s="16"/>
      <c r="C43" s="338" t="s">
        <v>127</v>
      </c>
      <c r="D43" s="338" t="s">
        <v>756</v>
      </c>
      <c r="E43" s="338" t="s">
        <v>326</v>
      </c>
      <c r="F43" s="421" t="s">
        <v>1532</v>
      </c>
    </row>
    <row r="44" spans="2:14" x14ac:dyDescent="0.2">
      <c r="B44" s="16"/>
      <c r="C44" s="32" t="s">
        <v>6</v>
      </c>
      <c r="D44" s="122">
        <f>D86</f>
        <v>44.444081401305816</v>
      </c>
      <c r="E44" s="111">
        <f>D87</f>
        <v>998.22131058524496</v>
      </c>
      <c r="F44" s="39">
        <v>0</v>
      </c>
      <c r="G44" s="7" t="s">
        <v>128</v>
      </c>
    </row>
    <row r="45" spans="2:14" x14ac:dyDescent="0.2">
      <c r="B45" s="16"/>
      <c r="C45" s="32" t="s">
        <v>19</v>
      </c>
      <c r="D45" s="122">
        <f>D86</f>
        <v>44.444081401305816</v>
      </c>
      <c r="E45" s="111">
        <f>D87</f>
        <v>998.22131058524496</v>
      </c>
      <c r="F45" s="39">
        <v>0</v>
      </c>
    </row>
    <row r="46" spans="2:14" x14ac:dyDescent="0.2">
      <c r="B46" s="16"/>
      <c r="C46" s="32" t="s">
        <v>20</v>
      </c>
      <c r="D46" s="122">
        <f>D86</f>
        <v>44.444081401305816</v>
      </c>
      <c r="E46" s="111">
        <f>D87</f>
        <v>998.22131058524496</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14 SEER/11.7 EER/8.2 HSPF</v>
      </c>
      <c r="E51" s="690"/>
      <c r="F51" s="693" t="str">
        <f>INDEX(Tbl_EquipmentDefinitions[Natural Gas Code Efficiency],MATCH($E$13,Tbl_EquipmentDefinitions[Equipment ID],0))</f>
        <v>-</v>
      </c>
      <c r="G51" s="690"/>
      <c r="H51" s="693" t="str">
        <f>INDEX(Tbl_EquipmentDefinitions[Propane Code Efficiency],MATCH($E$13,Tbl_EquipmentDefinitions[Equipment ID],0))</f>
        <v>-</v>
      </c>
      <c r="I51" s="690"/>
      <c r="J51" s="693" t="str">
        <f>INDEX(Tbl_EquipmentDefinitions[Oil Code Efficiency],MATCH($E$13,Tbl_EquipmentDefinitions[Equipment ID],0))</f>
        <v>84% AFUE</v>
      </c>
      <c r="K51" s="690"/>
    </row>
    <row r="52" spans="2:14" ht="12.75" x14ac:dyDescent="0.2">
      <c r="B52" s="16"/>
      <c r="C52" s="30" t="s">
        <v>153</v>
      </c>
      <c r="D52" s="689" t="str">
        <f>INDEX(Tbl_EquipmentDefinitions[Electricity Low Measure Efficiency],MATCH($E$13,Tbl_EquipmentDefinitions[Equipment ID],0))</f>
        <v>16 SEER/8.5 HSPF</v>
      </c>
      <c r="E52" s="690"/>
      <c r="F52" s="689" t="str">
        <f>INDEX(Tbl_EquipmentDefinitions[Natural Gas Low Measure Efficiency],MATCH($E$13,Tbl_EquipmentDefinitions[Equipment ID],0))</f>
        <v>-</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18 SEER/9.6 HSPF</v>
      </c>
      <c r="E53" s="690"/>
      <c r="F53" s="689" t="str">
        <f>INDEX(Tbl_EquipmentDefinitions[Natural Gas High Measure Efficiency],MATCH($E$13,Tbl_EquipmentDefinitions[Equipment ID],0))</f>
        <v>-</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338" t="s">
        <v>131</v>
      </c>
      <c r="D58" s="691" t="s">
        <v>132</v>
      </c>
      <c r="E58" s="692"/>
      <c r="F58" s="692"/>
      <c r="G58" s="692"/>
    </row>
    <row r="59" spans="2:14" x14ac:dyDescent="0.2">
      <c r="B59" s="16"/>
      <c r="C59" s="32" t="s">
        <v>207</v>
      </c>
      <c r="D59" s="696" t="s">
        <v>206</v>
      </c>
      <c r="E59" s="697"/>
      <c r="F59" s="697"/>
      <c r="G59" s="697"/>
    </row>
    <row r="60" spans="2:14" x14ac:dyDescent="0.2">
      <c r="B60" s="16"/>
      <c r="C60" s="32" t="s">
        <v>174</v>
      </c>
      <c r="D60" s="698" t="s">
        <v>206</v>
      </c>
      <c r="E60" s="699"/>
      <c r="F60" s="699"/>
      <c r="G60" s="699"/>
    </row>
    <row r="61" spans="2:14" x14ac:dyDescent="0.2">
      <c r="B61" s="16"/>
      <c r="C61" s="32" t="s">
        <v>309</v>
      </c>
      <c r="D61" s="698" t="s">
        <v>282</v>
      </c>
      <c r="E61" s="699"/>
      <c r="F61" s="699"/>
      <c r="G61" s="699"/>
    </row>
    <row r="62" spans="2:14" x14ac:dyDescent="0.2">
      <c r="B62" s="16"/>
    </row>
    <row r="64" spans="2:14" ht="13.5" thickBot="1" x14ac:dyDescent="0.25">
      <c r="B64" s="9" t="s">
        <v>129</v>
      </c>
      <c r="C64" s="9"/>
      <c r="D64" s="9"/>
      <c r="E64" s="9"/>
      <c r="F64" s="9"/>
      <c r="G64" s="9"/>
      <c r="H64" s="9"/>
      <c r="I64" s="9"/>
      <c r="J64" s="9"/>
      <c r="K64" s="9"/>
      <c r="L64" s="9"/>
      <c r="M64" s="9"/>
      <c r="N64" s="9"/>
    </row>
    <row r="65" spans="2:6" x14ac:dyDescent="0.2">
      <c r="B65" s="15"/>
    </row>
    <row r="66" spans="2:6" ht="12.75" x14ac:dyDescent="0.2">
      <c r="B66" s="16"/>
      <c r="C66" s="10" t="s">
        <v>531</v>
      </c>
      <c r="D66" s="10"/>
    </row>
    <row r="67" spans="2:6" x14ac:dyDescent="0.2">
      <c r="B67" s="16"/>
    </row>
    <row r="68" spans="2:6" ht="12.75" x14ac:dyDescent="0.2">
      <c r="B68" s="16"/>
      <c r="C68" s="30" t="s">
        <v>155</v>
      </c>
      <c r="D68" s="88">
        <f>$D$18</f>
        <v>76.7</v>
      </c>
      <c r="E68" s="6" t="s">
        <v>156</v>
      </c>
    </row>
    <row r="69" spans="2:6" x14ac:dyDescent="0.2">
      <c r="B69" s="16"/>
    </row>
    <row r="70" spans="2:6" ht="12.75" x14ac:dyDescent="0.2">
      <c r="B70" s="16"/>
      <c r="C70" s="30" t="s">
        <v>159</v>
      </c>
      <c r="D70" s="44">
        <v>8.1999999999999993</v>
      </c>
      <c r="E70" s="6" t="s">
        <v>182</v>
      </c>
      <c r="F70" s="45" t="s">
        <v>301</v>
      </c>
    </row>
    <row r="71" spans="2:6" ht="12.75" x14ac:dyDescent="0.2">
      <c r="B71" s="16"/>
      <c r="C71" s="36" t="s">
        <v>180</v>
      </c>
      <c r="D71" s="44">
        <v>8.5</v>
      </c>
      <c r="E71" s="6" t="s">
        <v>182</v>
      </c>
      <c r="F71" s="8"/>
    </row>
    <row r="72" spans="2:6" ht="12.75" x14ac:dyDescent="0.2">
      <c r="B72" s="16"/>
      <c r="C72" s="36" t="s">
        <v>181</v>
      </c>
      <c r="D72" s="44">
        <v>9.6</v>
      </c>
      <c r="E72" s="6" t="s">
        <v>182</v>
      </c>
      <c r="F72" s="8"/>
    </row>
    <row r="73" spans="2:6" x14ac:dyDescent="0.2">
      <c r="B73" s="16"/>
    </row>
    <row r="74" spans="2:6" x14ac:dyDescent="0.2">
      <c r="B74" s="16"/>
      <c r="C74" s="5" t="s">
        <v>250</v>
      </c>
      <c r="D74" s="5"/>
    </row>
    <row r="75" spans="2:6" ht="12.75" x14ac:dyDescent="0.2">
      <c r="B75" s="16"/>
      <c r="C75" s="36" t="s">
        <v>534</v>
      </c>
      <c r="D75" s="54">
        <f>230/1043</f>
        <v>0.22051773729626079</v>
      </c>
      <c r="E75" s="188" t="s">
        <v>176</v>
      </c>
      <c r="F75" s="45" t="s">
        <v>952</v>
      </c>
    </row>
    <row r="76" spans="2:6" ht="12.75" x14ac:dyDescent="0.2">
      <c r="B76" s="16"/>
      <c r="C76" s="36" t="s">
        <v>535</v>
      </c>
      <c r="D76" s="189">
        <v>0.25</v>
      </c>
      <c r="E76" s="45" t="s">
        <v>962</v>
      </c>
    </row>
    <row r="77" spans="2:6" x14ac:dyDescent="0.2">
      <c r="B77" s="16"/>
    </row>
    <row r="78" spans="2:6" ht="12.75" x14ac:dyDescent="0.2">
      <c r="B78" s="16"/>
      <c r="C78" s="36" t="s">
        <v>292</v>
      </c>
      <c r="D78" s="41">
        <f>($D$68/HPFUELCALC_REF_HEATINGLOAD)/($D70/HPFUELCALC_REF_CHP_HSPF)*HPOILCALC_CHP_HPCONSUMPTION
+($D$68/HPFUELCALC_REF_HEATINGLOAD)*HPOILCALC_CHP_CHPRESISTANCECONSUMPTION
+HPOILCALC_CHP_FURNACEFANCONSUMPTION*$D$75/HPFUELCALC_REF_FUELPOWER_KW*($D$76/HPFUELCALC_REF_FUELPOWER_CF)</f>
        <v>5592.9701870117915</v>
      </c>
      <c r="E78" s="6" t="s">
        <v>170</v>
      </c>
      <c r="F78" s="45" t="s">
        <v>305</v>
      </c>
    </row>
    <row r="79" spans="2:6" ht="12.75" x14ac:dyDescent="0.2">
      <c r="B79" s="16"/>
      <c r="C79" s="36" t="s">
        <v>293</v>
      </c>
      <c r="D79" s="41">
        <f>($D$68/HPFUELCALC_REF_HEATINGLOAD)/($D71/HPFUELCALC_REF_CHP_HSPF)*HPOILCALC_CHP_HPCONSUMPTION
+($D$68/HPFUELCALC_REF_HEATINGLOAD)*HPOILCALC_CHP_CHPRESISTANCECONSUMPTION
+HPOILCALC_CHP_FURNACEFANCONSUMPTION*$D$75/HPFUELCALC_REF_FUELPOWER_KW*($D$76/HPFUELCALC_REF_FUELPOWER_CF)</f>
        <v>5398.7153681616428</v>
      </c>
      <c r="E79" s="6" t="s">
        <v>170</v>
      </c>
      <c r="F79" s="45" t="s">
        <v>527</v>
      </c>
    </row>
    <row r="80" spans="2:6" ht="12.75" x14ac:dyDescent="0.2">
      <c r="B80" s="16"/>
      <c r="C80" s="36" t="s">
        <v>294</v>
      </c>
      <c r="D80" s="41">
        <f>($D$68/HPFUELCALC_REF_HEATINGLOAD)/($D72/HPFUELCALC_REF_CHP_HSPF)*HPOILCALC_CHP_HPCONSUMPTION
+($D$68/HPFUELCALC_REF_HEATINGLOAD)*HPOILCALC_CHP_CHPRESISTANCECONSUMPTION
+HPOILCALC_CHP_FURNACEFANCONSUMPTION*$D$75/HPFUELCALC_REF_FUELPOWER_KW*($D$76/HPFUELCALC_REF_FUELPOWER_CF)</f>
        <v>4790.3200674573591</v>
      </c>
      <c r="E80" s="6" t="s">
        <v>170</v>
      </c>
      <c r="F80" s="45"/>
    </row>
    <row r="81" spans="2:6" x14ac:dyDescent="0.2">
      <c r="B81" s="16"/>
      <c r="F81" s="45"/>
    </row>
    <row r="82" spans="2:6" ht="12.75" x14ac:dyDescent="0.2">
      <c r="B82" s="16"/>
      <c r="C82" s="10" t="s">
        <v>539</v>
      </c>
      <c r="D82" s="10"/>
      <c r="F82" s="45"/>
    </row>
    <row r="83" spans="2:6" x14ac:dyDescent="0.2">
      <c r="B83" s="16"/>
      <c r="F83" s="45"/>
    </row>
    <row r="84" spans="2:6" ht="12.75" x14ac:dyDescent="0.2">
      <c r="B84" s="16"/>
      <c r="C84" s="30" t="s">
        <v>529</v>
      </c>
      <c r="D84" s="150">
        <v>0.75</v>
      </c>
      <c r="E84" s="6" t="s">
        <v>158</v>
      </c>
      <c r="F84" s="45"/>
    </row>
    <row r="85" spans="2:6" x14ac:dyDescent="0.2">
      <c r="B85" s="16"/>
      <c r="F85" s="45"/>
    </row>
    <row r="86" spans="2:6" ht="12.75" x14ac:dyDescent="0.2">
      <c r="B86" s="16"/>
      <c r="C86" s="36" t="s">
        <v>530</v>
      </c>
      <c r="D86" s="190">
        <f>D68*HPOILCALC_CHP_FURNACEOILCONSUMPTION/(D84/HPFUELCALC_REF_AFUE)/10</f>
        <v>44.444081401305816</v>
      </c>
      <c r="E86" s="6" t="s">
        <v>156</v>
      </c>
      <c r="F86" s="45"/>
    </row>
    <row r="87" spans="2:6" ht="12.75" x14ac:dyDescent="0.2">
      <c r="B87" s="16"/>
      <c r="C87" s="36" t="s">
        <v>729</v>
      </c>
      <c r="D87" s="282">
        <f>D86*PRICE_PER_MMBTU_2018_OIL</f>
        <v>998.22131058524496</v>
      </c>
      <c r="E87" s="6" t="s">
        <v>164</v>
      </c>
      <c r="F87" s="45"/>
    </row>
    <row r="88" spans="2:6" x14ac:dyDescent="0.2">
      <c r="B88" s="16"/>
      <c r="F88" s="45"/>
    </row>
    <row r="89" spans="2:6" ht="12.75" x14ac:dyDescent="0.2">
      <c r="B89" s="16"/>
      <c r="C89" s="10" t="s">
        <v>532</v>
      </c>
      <c r="D89" s="10"/>
      <c r="F89" s="45"/>
    </row>
    <row r="90" spans="2:6" x14ac:dyDescent="0.2">
      <c r="B90" s="16"/>
      <c r="F90" s="45"/>
    </row>
    <row r="91" spans="2:6" ht="12.75" x14ac:dyDescent="0.2">
      <c r="B91" s="16"/>
      <c r="C91" s="30" t="s">
        <v>167</v>
      </c>
      <c r="D91" s="87">
        <f>$D$19</f>
        <v>13.072800000000001</v>
      </c>
      <c r="E91" s="6" t="s">
        <v>156</v>
      </c>
    </row>
    <row r="92" spans="2:6" x14ac:dyDescent="0.2">
      <c r="B92" s="16"/>
    </row>
    <row r="93" spans="2:6" ht="12.75" x14ac:dyDescent="0.2">
      <c r="B93" s="16"/>
      <c r="C93" s="36" t="s">
        <v>168</v>
      </c>
      <c r="D93" s="44">
        <v>14</v>
      </c>
      <c r="E93" s="6" t="s">
        <v>169</v>
      </c>
      <c r="F93" s="45" t="s">
        <v>302</v>
      </c>
    </row>
    <row r="94" spans="2:6" ht="12.75" x14ac:dyDescent="0.2">
      <c r="B94" s="16"/>
      <c r="C94" s="36" t="s">
        <v>201</v>
      </c>
      <c r="D94" s="44">
        <v>16</v>
      </c>
      <c r="E94" s="6" t="s">
        <v>169</v>
      </c>
    </row>
    <row r="95" spans="2:6" ht="12.75" x14ac:dyDescent="0.2">
      <c r="B95" s="16"/>
      <c r="C95" s="36" t="s">
        <v>202</v>
      </c>
      <c r="D95" s="44">
        <v>18</v>
      </c>
      <c r="E95" s="6" t="s">
        <v>169</v>
      </c>
    </row>
    <row r="96" spans="2:6" x14ac:dyDescent="0.2">
      <c r="B96" s="16"/>
    </row>
    <row r="97" spans="2:6" ht="12.75" x14ac:dyDescent="0.2">
      <c r="B97" s="16"/>
      <c r="C97" s="36" t="s">
        <v>295</v>
      </c>
      <c r="D97" s="41">
        <f>1000*$D$91/D93</f>
        <v>933.7714285714286</v>
      </c>
      <c r="E97" s="6" t="s">
        <v>170</v>
      </c>
      <c r="F97" s="45" t="s">
        <v>306</v>
      </c>
    </row>
    <row r="98" spans="2:6" ht="12.75" x14ac:dyDescent="0.2">
      <c r="B98" s="16"/>
      <c r="C98" s="36" t="s">
        <v>296</v>
      </c>
      <c r="D98" s="41">
        <f>1000*$D$91/D94</f>
        <v>817.05000000000007</v>
      </c>
      <c r="E98" s="6" t="s">
        <v>170</v>
      </c>
    </row>
    <row r="99" spans="2:6" ht="12.75" x14ac:dyDescent="0.2">
      <c r="B99" s="16"/>
      <c r="C99" s="36" t="s">
        <v>297</v>
      </c>
      <c r="D99" s="41">
        <f>1000*$D$91/D95</f>
        <v>726.26666666666677</v>
      </c>
      <c r="E99" s="6" t="s">
        <v>170</v>
      </c>
    </row>
    <row r="100" spans="2:6" x14ac:dyDescent="0.2">
      <c r="B100" s="16"/>
    </row>
    <row r="101" spans="2:6" ht="12.75" x14ac:dyDescent="0.2">
      <c r="B101" s="16"/>
      <c r="C101" s="36" t="s">
        <v>298</v>
      </c>
      <c r="D101" s="41">
        <f>D78+D97</f>
        <v>6526.7416155832198</v>
      </c>
      <c r="E101" s="6" t="s">
        <v>170</v>
      </c>
      <c r="F101" s="45" t="s">
        <v>307</v>
      </c>
    </row>
    <row r="102" spans="2:6" ht="12.75" x14ac:dyDescent="0.2">
      <c r="B102" s="16"/>
      <c r="C102" s="36" t="s">
        <v>299</v>
      </c>
      <c r="D102" s="41">
        <f>D79+D98</f>
        <v>6215.765368161643</v>
      </c>
      <c r="E102" s="6" t="s">
        <v>170</v>
      </c>
    </row>
    <row r="103" spans="2:6" ht="12.75" x14ac:dyDescent="0.2">
      <c r="B103" s="16"/>
      <c r="C103" s="36" t="s">
        <v>300</v>
      </c>
      <c r="D103" s="41">
        <f>D80+D99</f>
        <v>5516.5867341240255</v>
      </c>
      <c r="E103" s="6" t="s">
        <v>170</v>
      </c>
    </row>
    <row r="104" spans="2:6" x14ac:dyDescent="0.2">
      <c r="B104" s="16"/>
    </row>
    <row r="105" spans="2:6" ht="12.75" x14ac:dyDescent="0.2">
      <c r="B105" s="16"/>
      <c r="C105" s="30" t="s">
        <v>163</v>
      </c>
      <c r="D105" s="42">
        <f>D101*PRICE_PER_KWH_2018_ELECTRICITY</f>
        <v>1290.9894915623609</v>
      </c>
      <c r="E105" s="6" t="s">
        <v>164</v>
      </c>
      <c r="F105" s="45" t="s">
        <v>308</v>
      </c>
    </row>
    <row r="106" spans="2:6" ht="12.75" x14ac:dyDescent="0.2">
      <c r="B106" s="16"/>
      <c r="C106" s="36" t="s">
        <v>203</v>
      </c>
      <c r="D106" s="42">
        <f>D102*PRICE_PER_KWH_2018_ELECTRICITY</f>
        <v>1229.4783898223729</v>
      </c>
      <c r="E106" s="6" t="s">
        <v>164</v>
      </c>
    </row>
    <row r="107" spans="2:6" ht="12.75" x14ac:dyDescent="0.2">
      <c r="B107" s="16"/>
      <c r="C107" s="36" t="s">
        <v>204</v>
      </c>
      <c r="D107" s="42">
        <f>D103*PRICE_PER_KWH_2018_ELECTRICITY</f>
        <v>1091.1808560097322</v>
      </c>
      <c r="E107" s="6" t="s">
        <v>164</v>
      </c>
    </row>
    <row r="108" spans="2:6" x14ac:dyDescent="0.2">
      <c r="B108" s="16"/>
    </row>
    <row r="109" spans="2:6" x14ac:dyDescent="0.2">
      <c r="B109" s="16"/>
    </row>
    <row r="110" spans="2:6" ht="12.75" x14ac:dyDescent="0.2">
      <c r="B110" s="16"/>
      <c r="C110" s="10" t="s">
        <v>366</v>
      </c>
      <c r="D110" s="10"/>
    </row>
    <row r="111" spans="2:6" x14ac:dyDescent="0.2">
      <c r="B111" s="16"/>
    </row>
    <row r="112" spans="2:6" ht="12.75" x14ac:dyDescent="0.2">
      <c r="B112" s="16"/>
      <c r="C112" s="423" t="s">
        <v>1595</v>
      </c>
      <c r="D112" s="694" t="str">
        <f>INPUT_CHP_COOLCAP_SUPPLEMENTED</f>
        <v>2.5 ton (default HP partial displacement)</v>
      </c>
      <c r="E112" s="695"/>
    </row>
    <row r="113" spans="2:6" ht="12.75" x14ac:dyDescent="0.2">
      <c r="B113" s="16"/>
      <c r="C113" s="423" t="s">
        <v>1594</v>
      </c>
      <c r="D113" s="694" t="str">
        <f>INPUT_CHP_HEATCAP_SUPPLEMENTED</f>
        <v>2.5 ton (default HP partial displacement)</v>
      </c>
      <c r="E113" s="695"/>
    </row>
    <row r="114" spans="2:6" ht="12.75" x14ac:dyDescent="0.2">
      <c r="B114" s="16"/>
      <c r="C114" s="30" t="s">
        <v>1612</v>
      </c>
      <c r="D114" s="41" t="str">
        <f>LEFT(D112,SEARCH("ton",D112,1)-2)</f>
        <v>2.5</v>
      </c>
      <c r="E114" s="6" t="s">
        <v>173</v>
      </c>
    </row>
    <row r="115" spans="2:6" ht="12.75" x14ac:dyDescent="0.2">
      <c r="B115" s="16"/>
      <c r="C115" s="30" t="s">
        <v>1614</v>
      </c>
      <c r="D115" s="41" t="str">
        <f>LEFT(D113,SEARCH("ton",D113,1)-2)</f>
        <v>2.5</v>
      </c>
      <c r="E115" s="6" t="s">
        <v>173</v>
      </c>
    </row>
    <row r="116" spans="2:6" ht="12.75" x14ac:dyDescent="0.2">
      <c r="B116" s="16"/>
      <c r="C116" s="30" t="s">
        <v>1615</v>
      </c>
      <c r="D116" s="190">
        <f>MAX(VALUE(D114),VALUE(D115))</f>
        <v>2.5</v>
      </c>
      <c r="E116" s="6" t="s">
        <v>173</v>
      </c>
    </row>
    <row r="117" spans="2:6" x14ac:dyDescent="0.2">
      <c r="B117" s="16"/>
    </row>
    <row r="118" spans="2:6" ht="12.75" x14ac:dyDescent="0.2">
      <c r="B118" s="16"/>
      <c r="C118" s="36" t="s">
        <v>217</v>
      </c>
      <c r="D118" s="44">
        <v>8.1999999999999993</v>
      </c>
      <c r="E118" s="6" t="s">
        <v>182</v>
      </c>
      <c r="F118" s="45" t="s">
        <v>303</v>
      </c>
    </row>
    <row r="119" spans="2:6" ht="12.75" x14ac:dyDescent="0.2">
      <c r="B119" s="16"/>
      <c r="C119" s="36" t="s">
        <v>218</v>
      </c>
      <c r="D119" s="44">
        <v>8.5</v>
      </c>
      <c r="E119" s="6" t="s">
        <v>182</v>
      </c>
      <c r="F119" s="45"/>
    </row>
    <row r="120" spans="2:6" ht="12.75" x14ac:dyDescent="0.2">
      <c r="B120" s="16"/>
      <c r="C120" s="36" t="s">
        <v>219</v>
      </c>
      <c r="D120" s="44">
        <v>9.6</v>
      </c>
      <c r="E120" s="6" t="s">
        <v>182</v>
      </c>
      <c r="F120" s="45"/>
    </row>
    <row r="121" spans="2:6" x14ac:dyDescent="0.2">
      <c r="B121" s="16"/>
    </row>
    <row r="122" spans="2:6" ht="12.75" x14ac:dyDescent="0.2">
      <c r="B122" s="16"/>
      <c r="C122" s="36" t="s">
        <v>209</v>
      </c>
      <c r="D122" s="44">
        <v>0.31</v>
      </c>
      <c r="E122" s="45" t="s">
        <v>206</v>
      </c>
    </row>
    <row r="123" spans="2:6" ht="12.75" x14ac:dyDescent="0.2">
      <c r="B123" s="16"/>
      <c r="C123" s="36" t="s">
        <v>210</v>
      </c>
      <c r="D123" s="44">
        <v>0.54</v>
      </c>
      <c r="E123" s="45" t="s">
        <v>206</v>
      </c>
    </row>
    <row r="124" spans="2:6" x14ac:dyDescent="0.2">
      <c r="B124" s="16"/>
    </row>
    <row r="125" spans="2:6" ht="12.75" x14ac:dyDescent="0.2">
      <c r="B125" s="16"/>
      <c r="C125" s="36" t="s">
        <v>220</v>
      </c>
      <c r="D125" s="37">
        <f>$D$122*$D$115*12/D118</f>
        <v>1.1341463414634148</v>
      </c>
      <c r="E125" s="6" t="s">
        <v>176</v>
      </c>
      <c r="F125" s="45" t="s">
        <v>216</v>
      </c>
    </row>
    <row r="126" spans="2:6" ht="12.75" x14ac:dyDescent="0.2">
      <c r="B126" s="16"/>
      <c r="C126" s="36" t="s">
        <v>221</v>
      </c>
      <c r="D126" s="37">
        <f>$D$122*$D$115*12/D119</f>
        <v>1.0941176470588236</v>
      </c>
      <c r="E126" s="6" t="s">
        <v>176</v>
      </c>
    </row>
    <row r="127" spans="2:6" ht="12.75" x14ac:dyDescent="0.2">
      <c r="B127" s="16"/>
      <c r="C127" s="36" t="s">
        <v>222</v>
      </c>
      <c r="D127" s="46">
        <f>$D$123*$D$115*12/D120</f>
        <v>1.6875000000000004</v>
      </c>
      <c r="E127" s="6" t="s">
        <v>176</v>
      </c>
    </row>
    <row r="128" spans="2:6" x14ac:dyDescent="0.2">
      <c r="B128" s="16"/>
    </row>
    <row r="129" spans="2:6" x14ac:dyDescent="0.2">
      <c r="B129" s="16"/>
    </row>
    <row r="130" spans="2:6" ht="12.75" x14ac:dyDescent="0.2">
      <c r="B130" s="16"/>
      <c r="C130" s="36" t="s">
        <v>208</v>
      </c>
      <c r="D130" s="44">
        <v>11.7</v>
      </c>
      <c r="E130" s="6" t="s">
        <v>175</v>
      </c>
      <c r="F130" s="45" t="s">
        <v>304</v>
      </c>
    </row>
    <row r="131" spans="2:6" ht="12.75" x14ac:dyDescent="0.2">
      <c r="B131" s="16"/>
      <c r="C131" s="36" t="s">
        <v>213</v>
      </c>
      <c r="D131" s="31">
        <f>$D$130</f>
        <v>11.7</v>
      </c>
      <c r="E131" s="6" t="s">
        <v>175</v>
      </c>
      <c r="F131" s="45" t="s">
        <v>223</v>
      </c>
    </row>
    <row r="132" spans="2:6" ht="12.75" x14ac:dyDescent="0.2">
      <c r="B132" s="16"/>
      <c r="C132" s="36" t="s">
        <v>214</v>
      </c>
      <c r="D132" s="31">
        <f>$D$130</f>
        <v>11.7</v>
      </c>
      <c r="E132" s="6" t="s">
        <v>175</v>
      </c>
      <c r="F132" s="45" t="s">
        <v>223</v>
      </c>
    </row>
    <row r="133" spans="2:6" x14ac:dyDescent="0.2">
      <c r="B133" s="16"/>
    </row>
    <row r="134" spans="2:6" ht="12.75" x14ac:dyDescent="0.2">
      <c r="B134" s="16"/>
      <c r="C134" s="36" t="s">
        <v>174</v>
      </c>
      <c r="D134" s="44">
        <v>0.5</v>
      </c>
      <c r="E134" s="45" t="s">
        <v>953</v>
      </c>
    </row>
    <row r="135" spans="2:6" x14ac:dyDescent="0.2">
      <c r="B135" s="16"/>
    </row>
    <row r="136" spans="2:6" ht="12.75" x14ac:dyDescent="0.2">
      <c r="B136" s="16"/>
      <c r="C136" s="36" t="s">
        <v>211</v>
      </c>
      <c r="D136" s="37">
        <f>$D$134*$D$114*12/D130</f>
        <v>1.2820512820512822</v>
      </c>
      <c r="E136" s="6" t="s">
        <v>176</v>
      </c>
      <c r="F136" s="45"/>
    </row>
    <row r="137" spans="2:6" ht="12.75" x14ac:dyDescent="0.2">
      <c r="B137" s="16"/>
      <c r="C137" s="36" t="s">
        <v>212</v>
      </c>
      <c r="D137" s="37">
        <f>$D$134*$D$114*12/D131</f>
        <v>1.2820512820512822</v>
      </c>
      <c r="E137" s="6" t="s">
        <v>176</v>
      </c>
    </row>
    <row r="138" spans="2:6" ht="12.75" x14ac:dyDescent="0.2">
      <c r="B138" s="16"/>
      <c r="C138" s="36" t="s">
        <v>215</v>
      </c>
      <c r="D138" s="37">
        <f>$D$134*$D$114*12/D132</f>
        <v>1.2820512820512822</v>
      </c>
      <c r="E138" s="6" t="s">
        <v>176</v>
      </c>
    </row>
    <row r="139" spans="2:6" x14ac:dyDescent="0.2">
      <c r="B139" s="16"/>
    </row>
    <row r="140" spans="2:6" ht="12.75" x14ac:dyDescent="0.2">
      <c r="B140" s="16"/>
      <c r="C140" s="10" t="s">
        <v>1143</v>
      </c>
      <c r="D140" s="10"/>
    </row>
    <row r="141" spans="2:6" x14ac:dyDescent="0.2">
      <c r="B141" s="16"/>
    </row>
    <row r="142" spans="2:6" ht="12.75" x14ac:dyDescent="0.2">
      <c r="B142" s="16"/>
      <c r="C142" s="420" t="s">
        <v>1207</v>
      </c>
      <c r="D142" s="422">
        <f>INPUT_SYSTEMINTEGRATIONCOST</f>
        <v>400</v>
      </c>
      <c r="E142" s="6" t="s">
        <v>1180</v>
      </c>
    </row>
    <row r="143" spans="2:6" x14ac:dyDescent="0.2">
      <c r="B143" s="16"/>
    </row>
    <row r="144" spans="2:6" x14ac:dyDescent="0.2">
      <c r="B144" s="16"/>
      <c r="C144" s="6" t="s">
        <v>1144</v>
      </c>
    </row>
    <row r="145" spans="2:5" x14ac:dyDescent="0.2">
      <c r="B145" s="16"/>
      <c r="C145" s="6" t="s">
        <v>1150</v>
      </c>
    </row>
    <row r="146" spans="2:5" x14ac:dyDescent="0.2">
      <c r="B146" s="16"/>
      <c r="C146" s="6" t="s">
        <v>1152</v>
      </c>
    </row>
    <row r="147" spans="2:5" x14ac:dyDescent="0.2">
      <c r="B147" s="16"/>
      <c r="C147" s="6" t="s">
        <v>1146</v>
      </c>
      <c r="D147" s="42">
        <f>D148-(D149-D148)</f>
        <v>4337</v>
      </c>
      <c r="E147" s="6" t="s">
        <v>1145</v>
      </c>
    </row>
    <row r="148" spans="2:5" x14ac:dyDescent="0.2">
      <c r="B148" s="16"/>
      <c r="C148" s="6" t="s">
        <v>1147</v>
      </c>
      <c r="D148" s="42">
        <f>COST_HP_16SEER_REPLACE</f>
        <v>4685</v>
      </c>
      <c r="E148" s="6" t="s">
        <v>1145</v>
      </c>
    </row>
    <row r="149" spans="2:5" x14ac:dyDescent="0.2">
      <c r="B149" s="16"/>
      <c r="C149" s="6" t="s">
        <v>1148</v>
      </c>
      <c r="D149" s="42">
        <f>COST_HP_18SEER_REPLACE</f>
        <v>5033</v>
      </c>
      <c r="E149" s="6" t="s">
        <v>1145</v>
      </c>
    </row>
    <row r="150" spans="2:5" x14ac:dyDescent="0.2">
      <c r="B150" s="16"/>
    </row>
    <row r="151" spans="2:5" x14ac:dyDescent="0.2">
      <c r="B151" s="16"/>
      <c r="C151" s="6" t="s">
        <v>1151</v>
      </c>
    </row>
    <row r="152" spans="2:5" x14ac:dyDescent="0.2">
      <c r="B152" s="16"/>
      <c r="C152" s="6" t="s">
        <v>1146</v>
      </c>
      <c r="D152" s="406">
        <f>D147*$D$116+$D$142</f>
        <v>11242.5</v>
      </c>
      <c r="E152" s="6" t="s">
        <v>1149</v>
      </c>
    </row>
    <row r="153" spans="2:5" x14ac:dyDescent="0.2">
      <c r="B153" s="16"/>
      <c r="C153" s="6" t="s">
        <v>1147</v>
      </c>
      <c r="D153" s="406">
        <f t="shared" ref="D153:D154" si="5">D148*$D$116+$D$142</f>
        <v>12112.5</v>
      </c>
      <c r="E153" s="6" t="s">
        <v>1149</v>
      </c>
    </row>
    <row r="154" spans="2:5" x14ac:dyDescent="0.2">
      <c r="B154" s="16"/>
      <c r="C154" s="6" t="s">
        <v>1148</v>
      </c>
      <c r="D154" s="406">
        <f t="shared" si="5"/>
        <v>12982.5</v>
      </c>
      <c r="E154" s="6" t="s">
        <v>1149</v>
      </c>
    </row>
    <row r="155" spans="2:5" x14ac:dyDescent="0.2">
      <c r="B155" s="16"/>
    </row>
  </sheetData>
  <mergeCells count="22">
    <mergeCell ref="D58:G58"/>
    <mergeCell ref="D112:E112"/>
    <mergeCell ref="D113:E113"/>
    <mergeCell ref="D59:G59"/>
    <mergeCell ref="D60:G60"/>
    <mergeCell ref="D61:G61"/>
    <mergeCell ref="D50:E50"/>
    <mergeCell ref="F50:G50"/>
    <mergeCell ref="H50:I50"/>
    <mergeCell ref="J50:K50"/>
    <mergeCell ref="H53:I53"/>
    <mergeCell ref="J53:K53"/>
    <mergeCell ref="D51:E51"/>
    <mergeCell ref="F51:G51"/>
    <mergeCell ref="H51:I51"/>
    <mergeCell ref="J51:K51"/>
    <mergeCell ref="H52:I52"/>
    <mergeCell ref="J52:K52"/>
    <mergeCell ref="D52:E52"/>
    <mergeCell ref="F52:G52"/>
    <mergeCell ref="D53:E53"/>
    <mergeCell ref="F53:G53"/>
  </mergeCells>
  <dataValidations disablePrompts="1" count="2">
    <dataValidation type="list" allowBlank="1" showInputMessage="1" showErrorMessage="1" sqref="D9">
      <formula1>DEFINED_MEASURES</formula1>
    </dataValidation>
    <dataValidation type="list" allowBlank="1" showInputMessage="1" showErrorMessage="1" sqref="D5">
      <formula1>"1. Not Started,2. Analyzing,3. Ready"</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sheetPr>
  <dimension ref="A1:AJ555"/>
  <sheetViews>
    <sheetView topLeftCell="R42" workbookViewId="0">
      <selection activeCell="W55" sqref="W55"/>
    </sheetView>
  </sheetViews>
  <sheetFormatPr defaultColWidth="9.33203125" defaultRowHeight="11.25" x14ac:dyDescent="0.2"/>
  <cols>
    <col min="1" max="2" width="3.33203125" style="6" customWidth="1"/>
    <col min="3" max="3" width="20.5" style="6" customWidth="1"/>
    <col min="4" max="4" width="29.1640625" style="6" customWidth="1"/>
    <col min="5" max="5" width="27.1640625" style="6" customWidth="1"/>
    <col min="6" max="6" width="25.1640625" style="6" bestFit="1" customWidth="1"/>
    <col min="7" max="7" width="16.5" style="6" customWidth="1"/>
    <col min="8" max="8" width="17.5" style="6" customWidth="1"/>
    <col min="9" max="10" width="19.1640625" style="6" customWidth="1"/>
    <col min="11" max="11" width="17" style="6" customWidth="1"/>
    <col min="12" max="14" width="24.6640625" style="6" customWidth="1"/>
    <col min="15" max="15" width="26.83203125" style="6" customWidth="1"/>
    <col min="16" max="16" width="23.6640625" style="6" customWidth="1"/>
    <col min="17" max="17" width="21.33203125" style="6" bestFit="1" customWidth="1"/>
    <col min="18" max="19" width="25.1640625" style="6" customWidth="1"/>
    <col min="20" max="20" width="22.5" style="6" bestFit="1" customWidth="1"/>
    <col min="21" max="21" width="20.6640625" style="6" bestFit="1" customWidth="1"/>
    <col min="22" max="22" width="20.6640625" style="6" customWidth="1"/>
    <col min="23" max="23" width="22.6640625" style="6" bestFit="1" customWidth="1"/>
    <col min="24" max="24" width="22.6640625" style="6" customWidth="1"/>
    <col min="25" max="25" width="20.6640625" style="6" bestFit="1" customWidth="1"/>
    <col min="26" max="27" width="20.6640625" style="6" customWidth="1"/>
    <col min="28" max="28" width="21.33203125" style="6" bestFit="1" customWidth="1"/>
    <col min="29" max="29" width="21.33203125" style="6" customWidth="1"/>
    <col min="30" max="30" width="21.33203125" style="6" bestFit="1" customWidth="1"/>
    <col min="31" max="31" width="25" style="6" bestFit="1" customWidth="1"/>
    <col min="32" max="32" width="22.5" style="6" customWidth="1"/>
    <col min="33" max="33" width="20.6640625" style="6" bestFit="1" customWidth="1"/>
    <col min="34" max="34" width="13.6640625" style="6" bestFit="1" customWidth="1"/>
    <col min="35" max="16384" width="9.33203125" style="6"/>
  </cols>
  <sheetData>
    <row r="1" spans="1:36" ht="17.25" thickBot="1" x14ac:dyDescent="0.3">
      <c r="A1" s="4"/>
      <c r="B1" s="4" t="s">
        <v>226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row>
    <row r="2" spans="1:36" ht="12" thickTop="1" x14ac:dyDescent="0.2"/>
    <row r="3" spans="1:36" x14ac:dyDescent="0.2">
      <c r="B3" s="1" t="s">
        <v>1512</v>
      </c>
    </row>
    <row r="4" spans="1:36" x14ac:dyDescent="0.2">
      <c r="B4" s="19" t="s">
        <v>1513</v>
      </c>
    </row>
    <row r="5" spans="1:36" x14ac:dyDescent="0.2">
      <c r="B5" s="1" t="s">
        <v>1510</v>
      </c>
    </row>
    <row r="6" spans="1:36" x14ac:dyDescent="0.2">
      <c r="B6" s="19" t="s">
        <v>1511</v>
      </c>
    </row>
    <row r="7" spans="1:36" x14ac:dyDescent="0.2">
      <c r="B7" s="19"/>
    </row>
    <row r="8" spans="1:36" ht="13.5" thickBot="1" x14ac:dyDescent="0.25">
      <c r="B8" s="9" t="s">
        <v>247</v>
      </c>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row>
    <row r="9" spans="1:36" x14ac:dyDescent="0.2">
      <c r="B9" s="15"/>
    </row>
    <row r="10" spans="1:36" ht="13.5" thickBot="1" x14ac:dyDescent="0.25">
      <c r="B10" s="16"/>
      <c r="G10" s="8"/>
      <c r="K10" s="100" t="s">
        <v>5</v>
      </c>
      <c r="L10" s="20"/>
      <c r="M10" s="20"/>
      <c r="N10" s="20"/>
      <c r="O10" s="20"/>
      <c r="P10" s="20"/>
      <c r="Q10" s="20"/>
      <c r="R10" s="20"/>
      <c r="S10" s="20"/>
      <c r="T10" s="388" t="s">
        <v>6</v>
      </c>
      <c r="U10" s="20"/>
      <c r="V10" s="20"/>
      <c r="W10" s="20"/>
      <c r="X10" s="20"/>
      <c r="Y10" s="20"/>
      <c r="Z10" s="20"/>
      <c r="AA10" s="20"/>
      <c r="AB10" s="20"/>
      <c r="AC10" s="20"/>
      <c r="AD10" s="20"/>
      <c r="AE10" s="217"/>
      <c r="AF10" s="217"/>
    </row>
    <row r="11" spans="1:36" ht="13.5" thickBot="1" x14ac:dyDescent="0.25">
      <c r="B11" s="16"/>
      <c r="G11" s="8" t="s">
        <v>291</v>
      </c>
      <c r="K11" s="100" t="s">
        <v>120</v>
      </c>
      <c r="L11" s="21" t="s">
        <v>25</v>
      </c>
      <c r="M11" s="101"/>
      <c r="N11" s="101"/>
      <c r="O11" s="22"/>
      <c r="P11" s="101"/>
      <c r="Q11" s="386" t="s">
        <v>55</v>
      </c>
      <c r="R11" s="23" t="s">
        <v>28</v>
      </c>
      <c r="S11" s="20" t="s">
        <v>27</v>
      </c>
      <c r="T11" s="257" t="s">
        <v>120</v>
      </c>
      <c r="U11" s="20"/>
      <c r="V11" s="20"/>
      <c r="W11" s="20"/>
      <c r="X11" s="20"/>
      <c r="Y11" s="21" t="s">
        <v>25</v>
      </c>
      <c r="Z11" s="101"/>
      <c r="AA11" s="101"/>
      <c r="AB11" s="22"/>
      <c r="AC11" s="101"/>
      <c r="AD11" s="386" t="s">
        <v>55</v>
      </c>
      <c r="AE11" s="23" t="s">
        <v>28</v>
      </c>
      <c r="AF11" s="217" t="s">
        <v>27</v>
      </c>
    </row>
    <row r="12" spans="1:36" ht="34.5" thickBot="1" x14ac:dyDescent="0.25">
      <c r="B12" s="16"/>
      <c r="C12" s="47" t="s">
        <v>78</v>
      </c>
      <c r="D12" s="47" t="s">
        <v>2</v>
      </c>
      <c r="E12" s="47" t="s">
        <v>79</v>
      </c>
      <c r="F12" s="47" t="s">
        <v>112</v>
      </c>
      <c r="G12" s="47" t="s">
        <v>610</v>
      </c>
      <c r="H12" s="47" t="s">
        <v>611</v>
      </c>
      <c r="I12" s="47" t="s">
        <v>612</v>
      </c>
      <c r="J12" s="47" t="s">
        <v>245</v>
      </c>
      <c r="K12" s="102" t="s">
        <v>261</v>
      </c>
      <c r="L12" s="47" t="s">
        <v>262</v>
      </c>
      <c r="M12" s="280" t="s">
        <v>1455</v>
      </c>
      <c r="N12" s="280" t="s">
        <v>1456</v>
      </c>
      <c r="O12" s="47" t="s">
        <v>963</v>
      </c>
      <c r="P12" s="280" t="s">
        <v>974</v>
      </c>
      <c r="Q12" s="47" t="s">
        <v>263</v>
      </c>
      <c r="R12" s="47" t="s">
        <v>264</v>
      </c>
      <c r="S12" s="47" t="s">
        <v>265</v>
      </c>
      <c r="T12" s="102" t="s">
        <v>280</v>
      </c>
      <c r="U12" s="24" t="s">
        <v>200</v>
      </c>
      <c r="V12" s="24" t="s">
        <v>753</v>
      </c>
      <c r="W12" s="47" t="s">
        <v>634</v>
      </c>
      <c r="X12" s="280" t="s">
        <v>754</v>
      </c>
      <c r="Y12" s="47" t="s">
        <v>266</v>
      </c>
      <c r="Z12" s="280" t="s">
        <v>1457</v>
      </c>
      <c r="AA12" s="280" t="s">
        <v>1458</v>
      </c>
      <c r="AB12" s="47" t="s">
        <v>964</v>
      </c>
      <c r="AC12" s="280" t="s">
        <v>975</v>
      </c>
      <c r="AD12" s="47" t="s">
        <v>267</v>
      </c>
      <c r="AE12" s="47" t="s">
        <v>268</v>
      </c>
      <c r="AF12" s="218" t="s">
        <v>269</v>
      </c>
    </row>
    <row r="13" spans="1:36" x14ac:dyDescent="0.2">
      <c r="B13" s="16"/>
      <c r="C13" s="2" t="s">
        <v>227</v>
      </c>
      <c r="D13" s="3" t="s">
        <v>3</v>
      </c>
      <c r="E13" s="11" t="str">
        <f>INDEX(Tbl_EquipmentDefinitions[Equipment Name],MATCH('Baseline Calculations'!$D13,Tbl_EquipmentDefinitions[Equipment ID],0))</f>
        <v>Baseline A/C Blend+Oil Furnace</v>
      </c>
      <c r="F13" s="12" t="str">
        <f>INDEX(Tbl_EquipmentDefinitions[Function],MATCH('Baseline Calculations'!$D13,Tbl_EquipmentDefinitions[Equipment ID],0))</f>
        <v>Cool+Heat</v>
      </c>
      <c r="G13" s="300">
        <f>FURNACE_TOTAL_HEATING_LOAD</f>
        <v>68.400000000000006</v>
      </c>
      <c r="H13" s="291">
        <f t="shared" ref="H13:H29" si="0">TOTAL_COOLING_LOAD</f>
        <v>13.072800000000001</v>
      </c>
      <c r="I13" s="291">
        <f>GAS_OIL_WATER_HEATING_LOAD</f>
        <v>13.9</v>
      </c>
      <c r="J13" s="99" t="str">
        <f>INDEX(Tbl_EquipmentDefinitions[Fuel Type],MATCH(Tbl_BaselineSummary[[#This Row],[Equipment ID]],Tbl_EquipmentDefinitions[Equipment ID],0))</f>
        <v>Electric+Oil</v>
      </c>
      <c r="K13" s="216">
        <f>INDEX($K$37:$AF$1048576,MATCH(Tbl_BaselineSummary[[#This Row],[Baseline ID]:[Baseline ID]],$J$37:$J$1048576,0),MATCH(Tbl_BaselineSummary[[#Headers],[Baseline Annual Energy Cost (USD)]],Tbl_BaselineSummary[[#Headers],[Baseline Annual Energy Cost (USD)]:[Code Oil Annual Consumption (MMBtu)]],0))</f>
        <v>2298.9448826231851</v>
      </c>
      <c r="L13" s="202">
        <f>INDEX($K$37:$AF$1048576,MATCH(Tbl_BaselineSummary[[#This Row],[Baseline ID]:[Baseline ID]],$J$37:$J$1048576,0),MATCH(Tbl_BaselineSummary[[#Headers],[Baseline Electric Annual Consumption  (kWh)]],Tbl_BaselineSummary[[#Headers],[Baseline Annual Energy Cost (USD)]:[Code Oil Annual Consumption (MMBtu)]],0))</f>
        <v>1778.7062400000002</v>
      </c>
      <c r="M13" s="202">
        <f>INDEX($K$37:$AF$1048576,MATCH(Tbl_BaselineSummary[[#This Row],[Baseline ID]:[Baseline ID]],$J$37:$J$1048576,0),MATCH(Tbl_BaselineSummary[[#Headers],[Baseline Electric Winter Consumption (kWh)]],Tbl_BaselineSummary[[#Headers],[Baseline Annual Energy Cost (USD)]:[Code Oil Annual Consumption (MMBtu)]],0))</f>
        <v>374.55</v>
      </c>
      <c r="N13" s="202">
        <f>INDEX($K$37:$AF$1048576,MATCH(Tbl_BaselineSummary[[#This Row],[Baseline ID]:[Baseline ID]],$J$37:$J$1048576,0),MATCH(Tbl_BaselineSummary[[#Headers],[Baseline Electric Summer Consumption (kWh)]],Tbl_BaselineSummary[[#Headers],[Baseline Annual Energy Cost (USD)]:[Code Oil Annual Consumption (MMBtu)]],0))</f>
        <v>1404.1562400000003</v>
      </c>
      <c r="O13" s="152">
        <f>INDEX($K$37:$AF$1048576,MATCH(Tbl_BaselineSummary[[#This Row],[Baseline ID]:[Baseline ID]],$J$37:$J$1048576,0),MATCH(Tbl_BaselineSummary[[#Headers],[Baseline Electric Baseline Winter Peak Demand (kW)]],Tbl_BaselineSummary[[#Headers],[Baseline Annual Energy Cost (USD)]:[Code Oil Annual Consumption (MMBtu)]],0))</f>
        <v>5.7457334611697032E-2</v>
      </c>
      <c r="P13" s="152">
        <f>INDEX($K$37:$AF$1048576,MATCH(Tbl_BaselineSummary[[#This Row],[Baseline ID]:[Baseline ID]],$J$37:$J$1048576,0),MATCH(Tbl_BaselineSummary[[#Headers],[Baseline Electric Baseline Summer Peak Demand (kW)]],Tbl_BaselineSummary[[#Headers],[Baseline Annual Energy Cost (USD)]:[Code Oil Annual Consumption (MMBtu)]],0))</f>
        <v>1.8917929411764707</v>
      </c>
      <c r="Q13" s="27">
        <f>INDEX($K$37:$AF$1048576,MATCH(Tbl_BaselineSummary[[#This Row],[Baseline ID]:[Baseline ID]],$J$37:$J$1048576,0),MATCH(Tbl_BaselineSummary[[#Headers],[Baseline Natural Gas Annual Consumption  (therms)]],Tbl_BaselineSummary[[#Headers],[Baseline Annual Energy Cost (USD)]:[Code Oil Annual Consumption (MMBtu)]],0))</f>
        <v>0</v>
      </c>
      <c r="R13" s="153">
        <f>INDEX($K$37:$AF$1048576,MATCH(Tbl_BaselineSummary[[#This Row],[Baseline ID]:[Baseline ID]],$J$37:$J$1048576,0),MATCH(Tbl_BaselineSummary[[#Headers],[Baseline Propane Annual Consumption  (MMBtu)]],Tbl_BaselineSummary[[#Headers],[Baseline Annual Energy Cost (USD)]:[Code Oil Annual Consumption (MMBtu)]],0))</f>
        <v>0</v>
      </c>
      <c r="S13" s="215">
        <f>INDEX($K$37:$AF$1048576,MATCH(Tbl_BaselineSummary[[#This Row],[Baseline ID]:[Baseline ID]],$J$37:$J$1048576,0),MATCH(Tbl_BaselineSummary[[#Headers],[Baseline Oil Annual Consumption  (MMBtu)]],Tbl_BaselineSummary[[#Headers],[Baseline Annual Energy Cost (USD)]:[Code Oil Annual Consumption (MMBtu)]],0))</f>
        <v>86.692015209125472</v>
      </c>
      <c r="T13" s="216">
        <f>INDEX($K$37:$AF$1048576,MATCH(Tbl_BaselineSummary[[#This Row],[Baseline ID]:[Baseline ID]],$J$37:$J$1048576,0),MATCH(Tbl_BaselineSummary[[#Headers],[Code Annual Energy Cost (USD)]],Tbl_BaselineSummary[[#Headers],[Baseline Annual Energy Cost (USD)]:[Code Oil Annual Consumption (MMBtu)]],0))</f>
        <v>2144.1586439743196</v>
      </c>
      <c r="U13" s="254">
        <f>INDEX($K$37:$AF$1048576,MATCH(Tbl_BaselineSummary[[#This Row],[Baseline ID]:[Baseline ID]],$J$37:$J$1048576,0),MATCH(Tbl_BaselineSummary[[#Headers],[Code Installed Costs (USD)]],Tbl_BaselineSummary[[#Headers],[Baseline Annual Energy Cost (USD)]:[Code Oil Annual Consumption (MMBtu)]],0))</f>
        <v>9183.0691999999999</v>
      </c>
      <c r="V13" s="254">
        <f>INDEX($K$37:$AF$1048576,MATCH(Tbl_BaselineSummary[[#This Row],[Baseline ID]:[Baseline ID]],$J$37:$J$1048576,0),MATCH(Tbl_BaselineSummary[[#Headers],[Code A/C-only Installed Cost (USD)]],Tbl_BaselineSummary[[#Headers],[Baseline Annual Energy Cost (USD)]:[Code Oil Annual Consumption (MMBtu)]],0))</f>
        <v>4084.0691999999995</v>
      </c>
      <c r="W13" s="201">
        <f>INDEX($K$37:$AF$1048576,MATCH(Tbl_BaselineSummary[[#This Row],[Baseline ID]:[Baseline ID]],$J$37:$J$1048576,0),MATCH(Tbl_BaselineSummary[[#Headers],[Deferred Replacement Credit (USD)]],Tbl_BaselineSummary[[#Headers],[Baseline Annual Energy Cost (USD)]:[Code Oil Annual Consumption (MMBtu)]],0))</f>
        <v>5595.8202308573791</v>
      </c>
      <c r="X13" s="201">
        <f>INDEX($K$37:$AF$1048576,MATCH(Tbl_BaselineSummary[[#This Row],[Baseline ID]:[Baseline ID]],$J$37:$J$1048576,0),MATCH(Tbl_BaselineSummary[[#Headers],[A/C-only Deferred Replacement Credit (USD)]],Tbl_BaselineSummary[[#Headers],[Baseline Annual Energy Cost (USD)]:[Code Oil Annual Consumption (MMBtu)]],0))</f>
        <v>2736.686075169398</v>
      </c>
      <c r="Y13" s="202">
        <f>INDEX($K$37:$AF$1048576,MATCH(Tbl_BaselineSummary[[#This Row],[Baseline ID]:[Baseline ID]],$J$37:$J$1048576,0),MATCH(Tbl_BaselineSummary[[#Headers],[Code Electric Annual Consumption (kWh)]],Tbl_BaselineSummary[[#Headers],[Baseline Annual Energy Cost (USD)]:[Code Oil Annual Consumption (MMBtu)]],0))</f>
        <v>1482.4304000000002</v>
      </c>
      <c r="Z13" s="202">
        <f>INDEX($K$37:$AF$1048576,MATCH(Tbl_BaselineSummary[[#This Row],[Baseline ID]:[Baseline ID]],$J$37:$J$1048576,0),MATCH(Tbl_BaselineSummary[[#Headers],[Code Electric Winter Consumption (kWh)]],Tbl_BaselineSummary[[#Headers],[Baseline Annual Energy Cost (USD)]:[Code Oil Annual Consumption (MMBtu)]],0))</f>
        <v>372.5</v>
      </c>
      <c r="AA13" s="202">
        <f>INDEX($K$37:$AF$1048576,MATCH(Tbl_BaselineSummary[[#This Row],[Baseline ID]:[Baseline ID]],$J$37:$J$1048576,0),MATCH(Tbl_BaselineSummary[[#Headers],[Code Electric Summer Consumption (kWh)]],Tbl_BaselineSummary[[#Headers],[Baseline Annual Energy Cost (USD)]:[Code Oil Annual Consumption (MMBtu)]],0))</f>
        <v>1109.9304000000002</v>
      </c>
      <c r="AB13" s="152">
        <f>INDEX($K$37:$AF$1048576,MATCH(Tbl_BaselineSummary[[#This Row],[Baseline ID]:[Baseline ID]],$J$37:$J$1048576,0),MATCH(Tbl_BaselineSummary[[#Headers],[Code Electric Winter Peak Demand (kW)]],Tbl_BaselineSummary[[#Headers],[Baseline Annual Energy Cost (USD)]:[Code Oil Annual Consumption (MMBtu)]],0))</f>
        <v>5.7142857142857141E-2</v>
      </c>
      <c r="AC13" s="152">
        <f>INDEX($K$37:$AF$1048576,MATCH(Tbl_BaselineSummary[[#This Row],[Baseline ID]:[Baseline ID]],$J$37:$J$1048576,0),MATCH(Tbl_BaselineSummary[[#Headers],[Code Electric Summer Peak Demand (kW)]],Tbl_BaselineSummary[[#Headers],[Baseline Annual Energy Cost (USD)]:[Code Oil Annual Consumption (MMBtu)]],0))</f>
        <v>1.4967665454545458</v>
      </c>
      <c r="AD13" s="84">
        <f>INDEX($K$37:$AF$1048576,MATCH(Tbl_BaselineSummary[[#This Row],[Baseline ID]:[Baseline ID]],$J$37:$J$1048576,0),MATCH(Tbl_BaselineSummary[[#Headers],[Code Natural Gas Annual Consumption (therms)]],Tbl_BaselineSummary[[#Headers],[Baseline Annual Energy Cost (USD)]:[Code Oil Annual Consumption (MMBtu)]],0))</f>
        <v>0</v>
      </c>
      <c r="AE13" s="153">
        <f>INDEX($K$37:$AF$1048576,MATCH(Tbl_BaselineSummary[[#This Row],[Baseline ID]:[Baseline ID]],$J$37:$J$1048576,0),MATCH(Tbl_BaselineSummary[[#Headers],[Code Propane Annual Consumption (MMBtu)]],Tbl_BaselineSummary[[#Headers],[Baseline Annual Energy Cost (USD)]:[Code Oil Annual Consumption (MMBtu)]],0))</f>
        <v>0</v>
      </c>
      <c r="AF13" s="219">
        <f>INDEX($K$37:$AF$1048576,MATCH(Tbl_BaselineSummary[[#This Row],[Baseline ID]:[Baseline ID]],$J$37:$J$1048576,0),MATCH(Tbl_BaselineSummary[[#Headers],[Code Oil Annual Consumption (MMBtu)]],Tbl_BaselineSummary[[#Headers],[Baseline Annual Energy Cost (USD)]:[Code Oil Annual Consumption (MMBtu)]],0))</f>
        <v>82.409638554216883</v>
      </c>
    </row>
    <row r="14" spans="1:36" x14ac:dyDescent="0.2">
      <c r="B14" s="16"/>
      <c r="C14" s="2" t="s">
        <v>228</v>
      </c>
      <c r="D14" s="3" t="s">
        <v>8</v>
      </c>
      <c r="E14" s="11" t="str">
        <f>INDEX(Tbl_EquipmentDefinitions[Equipment Name],MATCH('Baseline Calculations'!$D14,Tbl_EquipmentDefinitions[Equipment ID],0))</f>
        <v>Baseline A/C Blend+Propane Furnace</v>
      </c>
      <c r="F14" s="12" t="str">
        <f>INDEX(Tbl_EquipmentDefinitions[Function],MATCH('Baseline Calculations'!$D14,Tbl_EquipmentDefinitions[Equipment ID],0))</f>
        <v>Cool+Heat</v>
      </c>
      <c r="G14" s="300">
        <f>FURNACE_TOTAL_HEATING_LOAD</f>
        <v>68.400000000000006</v>
      </c>
      <c r="H14" s="291">
        <f t="shared" si="0"/>
        <v>13.072800000000001</v>
      </c>
      <c r="I14" s="503">
        <f>PROPANE_WATER_HEATING_LOAD</f>
        <v>11.3</v>
      </c>
      <c r="J14" s="99" t="str">
        <f>INDEX(Tbl_EquipmentDefinitions[Fuel Type],MATCH(Tbl_BaselineSummary[[#This Row],[Equipment ID]],Tbl_EquipmentDefinitions[Equipment ID],0))</f>
        <v>Electric+Propane</v>
      </c>
      <c r="K14" s="216">
        <f>INDEX($K$37:$AF$1048576,MATCH(Tbl_BaselineSummary[[#This Row],[Baseline ID]:[Baseline ID]],$J$37:$J$1048576,0),MATCH(Tbl_BaselineSummary[[#Headers],[Baseline Annual Energy Cost (USD)]],Tbl_BaselineSummary[[#Headers],[Baseline Annual Energy Cost (USD)]:[Code Oil Annual Consumption (MMBtu)]],0))</f>
        <v>3468.0061014715766</v>
      </c>
      <c r="L14" s="202">
        <f>INDEX($K$37:$AF$1048576,MATCH(Tbl_BaselineSummary[[#This Row],[Baseline ID]:[Baseline ID]],$J$37:$J$1048576,0),MATCH(Tbl_BaselineSummary[[#Headers],[Baseline Electric Annual Consumption  (kWh)]],Tbl_BaselineSummary[[#Headers],[Baseline Annual Energy Cost (USD)]:[Code Oil Annual Consumption (MMBtu)]],0))</f>
        <v>1778.7062400000002</v>
      </c>
      <c r="M14" s="202">
        <f>INDEX($K$37:$AF$1048576,MATCH(Tbl_BaselineSummary[[#This Row],[Baseline ID]:[Baseline ID]],$J$37:$J$1048576,0),MATCH(Tbl_BaselineSummary[[#Headers],[Baseline Electric Winter Consumption (kWh)]],Tbl_BaselineSummary[[#Headers],[Baseline Annual Energy Cost (USD)]:[Code Oil Annual Consumption (MMBtu)]],0))</f>
        <v>374.55</v>
      </c>
      <c r="N14" s="202">
        <f>INDEX($K$37:$AF$1048576,MATCH(Tbl_BaselineSummary[[#This Row],[Baseline ID]:[Baseline ID]],$J$37:$J$1048576,0),MATCH(Tbl_BaselineSummary[[#Headers],[Baseline Electric Summer Consumption (kWh)]],Tbl_BaselineSummary[[#Headers],[Baseline Annual Energy Cost (USD)]:[Code Oil Annual Consumption (MMBtu)]],0))</f>
        <v>1404.1562400000003</v>
      </c>
      <c r="O14" s="152">
        <f>INDEX($K$37:$AF$1048576,MATCH(Tbl_BaselineSummary[[#This Row],[Baseline ID]:[Baseline ID]],$J$37:$J$1048576,0),MATCH(Tbl_BaselineSummary[[#Headers],[Baseline Electric Baseline Winter Peak Demand (kW)]],Tbl_BaselineSummary[[#Headers],[Baseline Annual Energy Cost (USD)]:[Code Oil Annual Consumption (MMBtu)]],0))</f>
        <v>5.7457334611697032E-2</v>
      </c>
      <c r="P14" s="152">
        <f>INDEX($K$37:$AF$1048576,MATCH(Tbl_BaselineSummary[[#This Row],[Baseline ID]:[Baseline ID]],$J$37:$J$1048576,0),MATCH(Tbl_BaselineSummary[[#Headers],[Baseline Electric Baseline Summer Peak Demand (kW)]],Tbl_BaselineSummary[[#Headers],[Baseline Annual Energy Cost (USD)]:[Code Oil Annual Consumption (MMBtu)]],0))</f>
        <v>1.8917929411764707</v>
      </c>
      <c r="Q14" s="27">
        <f>INDEX($K$37:$AF$1048576,MATCH(Tbl_BaselineSummary[[#This Row],[Baseline ID]:[Baseline ID]],$J$37:$J$1048576,0),MATCH(Tbl_BaselineSummary[[#Headers],[Baseline Natural Gas Annual Consumption  (therms)]],Tbl_BaselineSummary[[#Headers],[Baseline Annual Energy Cost (USD)]:[Code Oil Annual Consumption (MMBtu)]],0))</f>
        <v>0</v>
      </c>
      <c r="R14" s="153">
        <f>INDEX($K$37:$AF$1048576,MATCH(Tbl_BaselineSummary[[#This Row],[Baseline ID]:[Baseline ID]],$J$37:$J$1048576,0),MATCH(Tbl_BaselineSummary[[#Headers],[Baseline Propane Annual Consumption  (MMBtu)]],Tbl_BaselineSummary[[#Headers],[Baseline Annual Energy Cost (USD)]:[Code Oil Annual Consumption (MMBtu)]],0))</f>
        <v>86.692015209125472</v>
      </c>
      <c r="S14" s="215">
        <f>INDEX($K$37:$AF$1048576,MATCH(Tbl_BaselineSummary[[#This Row],[Baseline ID]:[Baseline ID]],$J$37:$J$1048576,0),MATCH(Tbl_BaselineSummary[[#Headers],[Baseline Oil Annual Consumption  (MMBtu)]],Tbl_BaselineSummary[[#Headers],[Baseline Annual Energy Cost (USD)]:[Code Oil Annual Consumption (MMBtu)]],0))</f>
        <v>0</v>
      </c>
      <c r="T14" s="216">
        <f>INDEX($K$37:$AF$1048576,MATCH(Tbl_BaselineSummary[[#This Row],[Baseline ID]:[Baseline ID]],$J$37:$J$1048576,0),MATCH(Tbl_BaselineSummary[[#Headers],[Code Annual Energy Cost (USD)]],Tbl_BaselineSummary[[#Headers],[Baseline Annual Energy Cost (USD)]:[Code Oil Annual Consumption (MMBtu)]],0))</f>
        <v>3185.573342155843</v>
      </c>
      <c r="U14" s="254">
        <f>INDEX($K$37:$AF$1048576,MATCH(Tbl_BaselineSummary[[#This Row],[Baseline ID]:[Baseline ID]],$J$37:$J$1048576,0),MATCH(Tbl_BaselineSummary[[#Headers],[Code Installed Costs (USD)]],Tbl_BaselineSummary[[#Headers],[Baseline Annual Energy Cost (USD)]:[Code Oil Annual Consumption (MMBtu)]],0))</f>
        <v>8970.0691999999999</v>
      </c>
      <c r="V14" s="254">
        <f>INDEX($K$37:$AF$1048576,MATCH(Tbl_BaselineSummary[[#This Row],[Baseline ID]:[Baseline ID]],$J$37:$J$1048576,0),MATCH(Tbl_BaselineSummary[[#Headers],[Code A/C-only Installed Cost (USD)]],Tbl_BaselineSummary[[#Headers],[Baseline Annual Energy Cost (USD)]:[Code Oil Annual Consumption (MMBtu)]],0))</f>
        <v>4084.0691999999995</v>
      </c>
      <c r="W14" s="201">
        <f>INDEX($K$37:$AF$1048576,MATCH(Tbl_BaselineSummary[[#This Row],[Baseline ID]:[Baseline ID]],$J$37:$J$1048576,0),MATCH(Tbl_BaselineSummary[[#Headers],[Deferred Replacement Credit (USD)]],Tbl_BaselineSummary[[#Headers],[Baseline Annual Energy Cost (USD)]:[Code Oil Annual Consumption (MMBtu)]],0))</f>
        <v>5466.0259667378614</v>
      </c>
      <c r="X14" s="201">
        <f>INDEX($K$37:$AF$1048576,MATCH(Tbl_BaselineSummary[[#This Row],[Baseline ID]:[Baseline ID]],$J$37:$J$1048576,0),MATCH(Tbl_BaselineSummary[[#Headers],[A/C-only Deferred Replacement Credit (USD)]],Tbl_BaselineSummary[[#Headers],[Baseline Annual Energy Cost (USD)]:[Code Oil Annual Consumption (MMBtu)]],0))</f>
        <v>2736.686075169398</v>
      </c>
      <c r="Y14" s="202">
        <f>INDEX($K$37:$AF$1048576,MATCH(Tbl_BaselineSummary[[#This Row],[Baseline ID]:[Baseline ID]],$J$37:$J$1048576,0),MATCH(Tbl_BaselineSummary[[#Headers],[Code Electric Annual Consumption (kWh)]],Tbl_BaselineSummary[[#Headers],[Baseline Annual Energy Cost (USD)]:[Code Oil Annual Consumption (MMBtu)]],0))</f>
        <v>1481.4304000000002</v>
      </c>
      <c r="Z14" s="202">
        <f>INDEX($K$37:$AF$1048576,MATCH(Tbl_BaselineSummary[[#This Row],[Baseline ID]:[Baseline ID]],$J$37:$J$1048576,0),MATCH(Tbl_BaselineSummary[[#Headers],[Code Electric Winter Consumption (kWh)]],Tbl_BaselineSummary[[#Headers],[Baseline Annual Energy Cost (USD)]:[Code Oil Annual Consumption (MMBtu)]],0))</f>
        <v>371.5</v>
      </c>
      <c r="AA14" s="202">
        <f>INDEX($K$37:$AF$1048576,MATCH(Tbl_BaselineSummary[[#This Row],[Baseline ID]:[Baseline ID]],$J$37:$J$1048576,0),MATCH(Tbl_BaselineSummary[[#Headers],[Code Electric Summer Consumption (kWh)]],Tbl_BaselineSummary[[#Headers],[Baseline Annual Energy Cost (USD)]:[Code Oil Annual Consumption (MMBtu)]],0))</f>
        <v>1109.9304000000002</v>
      </c>
      <c r="AB14" s="152">
        <f>INDEX($K$37:$AF$1048576,MATCH(Tbl_BaselineSummary[[#This Row],[Baseline ID]:[Baseline ID]],$J$37:$J$1048576,0),MATCH(Tbl_BaselineSummary[[#Headers],[Code Electric Winter Peak Demand (kW)]],Tbl_BaselineSummary[[#Headers],[Baseline Annual Energy Cost (USD)]:[Code Oil Annual Consumption (MMBtu)]],0))</f>
        <v>5.6989453499520615E-2</v>
      </c>
      <c r="AC14" s="152">
        <f>INDEX($K$37:$AF$1048576,MATCH(Tbl_BaselineSummary[[#This Row],[Baseline ID]:[Baseline ID]],$J$37:$J$1048576,0),MATCH(Tbl_BaselineSummary[[#Headers],[Code Electric Summer Peak Demand (kW)]],Tbl_BaselineSummary[[#Headers],[Baseline Annual Energy Cost (USD)]:[Code Oil Annual Consumption (MMBtu)]],0))</f>
        <v>1.4967665454545458</v>
      </c>
      <c r="AD14" s="84">
        <f>INDEX($K$37:$AF$1048576,MATCH(Tbl_BaselineSummary[[#This Row],[Baseline ID]:[Baseline ID]],$J$37:$J$1048576,0),MATCH(Tbl_BaselineSummary[[#Headers],[Code Natural Gas Annual Consumption (therms)]],Tbl_BaselineSummary[[#Headers],[Baseline Annual Energy Cost (USD)]:[Code Oil Annual Consumption (MMBtu)]],0))</f>
        <v>0</v>
      </c>
      <c r="AE14" s="153">
        <f>INDEX($K$37:$AF$1048576,MATCH(Tbl_BaselineSummary[[#This Row],[Baseline ID]:[Baseline ID]],$J$37:$J$1048576,0),MATCH(Tbl_BaselineSummary[[#Headers],[Code Propane Annual Consumption (MMBtu)]],Tbl_BaselineSummary[[#Headers],[Baseline Annual Energy Cost (USD)]:[Code Oil Annual Consumption (MMBtu)]],0))</f>
        <v>80.47058823529413</v>
      </c>
      <c r="AF14" s="219">
        <f>INDEX($K$37:$AF$1048576,MATCH(Tbl_BaselineSummary[[#This Row],[Baseline ID]:[Baseline ID]],$J$37:$J$1048576,0),MATCH(Tbl_BaselineSummary[[#Headers],[Code Oil Annual Consumption (MMBtu)]],Tbl_BaselineSummary[[#Headers],[Baseline Annual Energy Cost (USD)]:[Code Oil Annual Consumption (MMBtu)]],0))</f>
        <v>0</v>
      </c>
    </row>
    <row r="15" spans="1:36" x14ac:dyDescent="0.2">
      <c r="B15" s="16"/>
      <c r="C15" s="2" t="s">
        <v>229</v>
      </c>
      <c r="D15" s="3" t="s">
        <v>9</v>
      </c>
      <c r="E15" s="11" t="str">
        <f>INDEX(Tbl_EquipmentDefinitions[Equipment Name],MATCH('Baseline Calculations'!$D15,Tbl_EquipmentDefinitions[Equipment ID],0))</f>
        <v>Oil Furnace</v>
      </c>
      <c r="F15" s="12" t="str">
        <f>INDEX(Tbl_EquipmentDefinitions[Function],MATCH('Baseline Calculations'!$D15,Tbl_EquipmentDefinitions[Equipment ID],0))</f>
        <v>Heat</v>
      </c>
      <c r="G15" s="300">
        <f>FURNACE_TOTAL_HEATING_LOAD</f>
        <v>68.400000000000006</v>
      </c>
      <c r="H15" s="291">
        <f t="shared" si="0"/>
        <v>13.072800000000001</v>
      </c>
      <c r="I15" s="291">
        <f>GAS_OIL_WATER_HEATING_LOAD</f>
        <v>13.9</v>
      </c>
      <c r="J15" s="99" t="str">
        <f>INDEX(Tbl_EquipmentDefinitions[Fuel Type],MATCH(Tbl_BaselineSummary[[#This Row],[Equipment ID]],Tbl_EquipmentDefinitions[Equipment ID],0))</f>
        <v>Oil</v>
      </c>
      <c r="K15" s="216">
        <f>INDEX($K$37:$AF$1048576,MATCH(Tbl_BaselineSummary[[#This Row],[Baseline ID]:[Baseline ID]],$J$37:$J$1048576,0),MATCH(Tbl_BaselineSummary[[#Headers],[Baseline Annual Energy Cost (USD)]],Tbl_BaselineSummary[[#Headers],[Baseline Annual Energy Cost (USD)]:[Code Oil Annual Consumption (MMBtu)]],0))</f>
        <v>2021.2027783511851</v>
      </c>
      <c r="L15" s="202">
        <f>INDEX($K$37:$AF$1048576,MATCH(Tbl_BaselineSummary[[#This Row],[Baseline ID]:[Baseline ID]],$J$37:$J$1048576,0),MATCH(Tbl_BaselineSummary[[#Headers],[Baseline Electric Annual Consumption  (kWh)]],Tbl_BaselineSummary[[#Headers],[Baseline Annual Energy Cost (USD)]:[Code Oil Annual Consumption (MMBtu)]],0))</f>
        <v>374.55</v>
      </c>
      <c r="M15" s="202">
        <f>INDEX($K$37:$AF$1048576,MATCH(Tbl_BaselineSummary[[#This Row],[Baseline ID]:[Baseline ID]],$J$37:$J$1048576,0),MATCH(Tbl_BaselineSummary[[#Headers],[Baseline Electric Winter Consumption (kWh)]],Tbl_BaselineSummary[[#Headers],[Baseline Annual Energy Cost (USD)]:[Code Oil Annual Consumption (MMBtu)]],0))</f>
        <v>374.55</v>
      </c>
      <c r="N15" s="202">
        <f>INDEX($K$37:$AF$1048576,MATCH(Tbl_BaselineSummary[[#This Row],[Baseline ID]:[Baseline ID]],$J$37:$J$1048576,0),MATCH(Tbl_BaselineSummary[[#Headers],[Baseline Electric Summer Consumption (kWh)]],Tbl_BaselineSummary[[#Headers],[Baseline Annual Energy Cost (USD)]:[Code Oil Annual Consumption (MMBtu)]],0))</f>
        <v>0</v>
      </c>
      <c r="O15" s="152">
        <f>INDEX($K$37:$AF$1048576,MATCH(Tbl_BaselineSummary[[#This Row],[Baseline ID]:[Baseline ID]],$J$37:$J$1048576,0),MATCH(Tbl_BaselineSummary[[#Headers],[Baseline Electric Baseline Winter Peak Demand (kW)]],Tbl_BaselineSummary[[#Headers],[Baseline Annual Energy Cost (USD)]:[Code Oil Annual Consumption (MMBtu)]],0))</f>
        <v>5.7457334611697032E-2</v>
      </c>
      <c r="P15" s="152">
        <f>INDEX($K$37:$AF$1048576,MATCH(Tbl_BaselineSummary[[#This Row],[Baseline ID]:[Baseline ID]],$J$37:$J$1048576,0),MATCH(Tbl_BaselineSummary[[#Headers],[Baseline Electric Baseline Summer Peak Demand (kW)]],Tbl_BaselineSummary[[#Headers],[Baseline Annual Energy Cost (USD)]:[Code Oil Annual Consumption (MMBtu)]],0))</f>
        <v>0</v>
      </c>
      <c r="Q15" s="27">
        <f>INDEX($K$37:$AF$1048576,MATCH(Tbl_BaselineSummary[[#This Row],[Baseline ID]:[Baseline ID]],$J$37:$J$1048576,0),MATCH(Tbl_BaselineSummary[[#Headers],[Baseline Natural Gas Annual Consumption  (therms)]],Tbl_BaselineSummary[[#Headers],[Baseline Annual Energy Cost (USD)]:[Code Oil Annual Consumption (MMBtu)]],0))</f>
        <v>0</v>
      </c>
      <c r="R15" s="153">
        <f>INDEX($K$37:$AF$1048576,MATCH(Tbl_BaselineSummary[[#This Row],[Baseline ID]:[Baseline ID]],$J$37:$J$1048576,0),MATCH(Tbl_BaselineSummary[[#Headers],[Baseline Propane Annual Consumption  (MMBtu)]],Tbl_BaselineSummary[[#Headers],[Baseline Annual Energy Cost (USD)]:[Code Oil Annual Consumption (MMBtu)]],0))</f>
        <v>0</v>
      </c>
      <c r="S15" s="215">
        <f>INDEX($K$37:$AF$1048576,MATCH(Tbl_BaselineSummary[[#This Row],[Baseline ID]:[Baseline ID]],$J$37:$J$1048576,0),MATCH(Tbl_BaselineSummary[[#Headers],[Baseline Oil Annual Consumption  (MMBtu)]],Tbl_BaselineSummary[[#Headers],[Baseline Annual Energy Cost (USD)]:[Code Oil Annual Consumption (MMBtu)]],0))</f>
        <v>86.692015209125472</v>
      </c>
      <c r="T15" s="216">
        <f>INDEX($K$37:$AF$1048576,MATCH(Tbl_BaselineSummary[[#This Row],[Baseline ID]:[Baseline ID]],$J$37:$J$1048576,0),MATCH(Tbl_BaselineSummary[[#Headers],[Code Annual Energy Cost (USD)]],Tbl_BaselineSummary[[#Headers],[Baseline Annual Energy Cost (USD)]:[Code Oil Annual Consumption (MMBtu)]],0))</f>
        <v>1924.6144108543197</v>
      </c>
      <c r="U15" s="254">
        <f>INDEX($K$37:$AF$1048576,MATCH(Tbl_BaselineSummary[[#This Row],[Baseline ID]:[Baseline ID]],$J$37:$J$1048576,0),MATCH(Tbl_BaselineSummary[[#Headers],[Code Installed Costs (USD)]],Tbl_BaselineSummary[[#Headers],[Baseline Annual Energy Cost (USD)]:[Code Oil Annual Consumption (MMBtu)]],0))</f>
        <v>5099</v>
      </c>
      <c r="V15" s="254">
        <f>INDEX($K$37:$AF$1048576,MATCH(Tbl_BaselineSummary[[#This Row],[Baseline ID]:[Baseline ID]],$J$37:$J$1048576,0),MATCH(Tbl_BaselineSummary[[#Headers],[Code A/C-only Installed Cost (USD)]],Tbl_BaselineSummary[[#Headers],[Baseline Annual Energy Cost (USD)]:[Code Oil Annual Consumption (MMBtu)]],0))</f>
        <v>0</v>
      </c>
      <c r="W15" s="201">
        <f>INDEX($K$37:$AF$1048576,MATCH(Tbl_BaselineSummary[[#This Row],[Baseline ID]:[Baseline ID]],$J$37:$J$1048576,0),MATCH(Tbl_BaselineSummary[[#Headers],[Deferred Replacement Credit (USD)]],Tbl_BaselineSummary[[#Headers],[Baseline Annual Energy Cost (USD)]:[Code Oil Annual Consumption (MMBtu)]],0))</f>
        <v>3107.1406232179743</v>
      </c>
      <c r="X15" s="201">
        <f>INDEX($K$37:$AF$1048576,MATCH(Tbl_BaselineSummary[[#This Row],[Baseline ID]:[Baseline ID]],$J$37:$J$1048576,0),MATCH(Tbl_BaselineSummary[[#Headers],[A/C-only Deferred Replacement Credit (USD)]],Tbl_BaselineSummary[[#Headers],[Baseline Annual Energy Cost (USD)]:[Code Oil Annual Consumption (MMBtu)]],0))</f>
        <v>0</v>
      </c>
      <c r="Y15" s="202">
        <f>INDEX($K$37:$AF$1048576,MATCH(Tbl_BaselineSummary[[#This Row],[Baseline ID]:[Baseline ID]],$J$37:$J$1048576,0),MATCH(Tbl_BaselineSummary[[#Headers],[Code Electric Annual Consumption (kWh)]],Tbl_BaselineSummary[[#Headers],[Baseline Annual Energy Cost (USD)]:[Code Oil Annual Consumption (MMBtu)]],0))</f>
        <v>372.5</v>
      </c>
      <c r="Z15" s="202">
        <f>INDEX($K$37:$AF$1048576,MATCH(Tbl_BaselineSummary[[#This Row],[Baseline ID]:[Baseline ID]],$J$37:$J$1048576,0),MATCH(Tbl_BaselineSummary[[#Headers],[Code Electric Winter Consumption (kWh)]],Tbl_BaselineSummary[[#Headers],[Baseline Annual Energy Cost (USD)]:[Code Oil Annual Consumption (MMBtu)]],0))</f>
        <v>372.5</v>
      </c>
      <c r="AA15" s="202">
        <f>INDEX($K$37:$AF$1048576,MATCH(Tbl_BaselineSummary[[#This Row],[Baseline ID]:[Baseline ID]],$J$37:$J$1048576,0),MATCH(Tbl_BaselineSummary[[#Headers],[Code Electric Summer Consumption (kWh)]],Tbl_BaselineSummary[[#Headers],[Baseline Annual Energy Cost (USD)]:[Code Oil Annual Consumption (MMBtu)]],0))</f>
        <v>0</v>
      </c>
      <c r="AB15" s="152">
        <f>INDEX($K$37:$AF$1048576,MATCH(Tbl_BaselineSummary[[#This Row],[Baseline ID]:[Baseline ID]],$J$37:$J$1048576,0),MATCH(Tbl_BaselineSummary[[#Headers],[Code Electric Winter Peak Demand (kW)]],Tbl_BaselineSummary[[#Headers],[Baseline Annual Energy Cost (USD)]:[Code Oil Annual Consumption (MMBtu)]],0))</f>
        <v>5.7142857142857141E-2</v>
      </c>
      <c r="AC15" s="152">
        <f>INDEX($K$37:$AF$1048576,MATCH(Tbl_BaselineSummary[[#This Row],[Baseline ID]:[Baseline ID]],$J$37:$J$1048576,0),MATCH(Tbl_BaselineSummary[[#Headers],[Code Electric Summer Peak Demand (kW)]],Tbl_BaselineSummary[[#Headers],[Baseline Annual Energy Cost (USD)]:[Code Oil Annual Consumption (MMBtu)]],0))</f>
        <v>0</v>
      </c>
      <c r="AD15" s="84">
        <f>INDEX($K$37:$AF$1048576,MATCH(Tbl_BaselineSummary[[#This Row],[Baseline ID]:[Baseline ID]],$J$37:$J$1048576,0),MATCH(Tbl_BaselineSummary[[#Headers],[Code Natural Gas Annual Consumption (therms)]],Tbl_BaselineSummary[[#Headers],[Baseline Annual Energy Cost (USD)]:[Code Oil Annual Consumption (MMBtu)]],0))</f>
        <v>0</v>
      </c>
      <c r="AE15" s="153">
        <f>INDEX($K$37:$AF$1048576,MATCH(Tbl_BaselineSummary[[#This Row],[Baseline ID]:[Baseline ID]],$J$37:$J$1048576,0),MATCH(Tbl_BaselineSummary[[#Headers],[Code Propane Annual Consumption (MMBtu)]],Tbl_BaselineSummary[[#Headers],[Baseline Annual Energy Cost (USD)]:[Code Oil Annual Consumption (MMBtu)]],0))</f>
        <v>0</v>
      </c>
      <c r="AF15" s="219">
        <f>INDEX($K$37:$AF$1048576,MATCH(Tbl_BaselineSummary[[#This Row],[Baseline ID]:[Baseline ID]],$J$37:$J$1048576,0),MATCH(Tbl_BaselineSummary[[#Headers],[Code Oil Annual Consumption (MMBtu)]],Tbl_BaselineSummary[[#Headers],[Baseline Annual Energy Cost (USD)]:[Code Oil Annual Consumption (MMBtu)]],0))</f>
        <v>82.409638554216883</v>
      </c>
    </row>
    <row r="16" spans="1:36" x14ac:dyDescent="0.2">
      <c r="B16" s="16"/>
      <c r="C16" s="2" t="s">
        <v>230</v>
      </c>
      <c r="D16" s="3" t="s">
        <v>10</v>
      </c>
      <c r="E16" s="11" t="str">
        <f>INDEX(Tbl_EquipmentDefinitions[Equipment Name],MATCH('Baseline Calculations'!$D16,Tbl_EquipmentDefinitions[Equipment ID],0))</f>
        <v>Propane Furnace</v>
      </c>
      <c r="F16" s="12" t="str">
        <f>INDEX(Tbl_EquipmentDefinitions[Function],MATCH('Baseline Calculations'!$D16,Tbl_EquipmentDefinitions[Equipment ID],0))</f>
        <v>Heat</v>
      </c>
      <c r="G16" s="300">
        <f>FURNACE_TOTAL_HEATING_LOAD</f>
        <v>68.400000000000006</v>
      </c>
      <c r="H16" s="291">
        <f t="shared" si="0"/>
        <v>13.072800000000001</v>
      </c>
      <c r="I16" s="503">
        <f>PROPANE_WATER_HEATING_LOAD</f>
        <v>11.3</v>
      </c>
      <c r="J16" s="99" t="str">
        <f>INDEX(Tbl_EquipmentDefinitions[Fuel Type],MATCH(Tbl_BaselineSummary[[#This Row],[Equipment ID]],Tbl_EquipmentDefinitions[Equipment ID],0))</f>
        <v>Propane</v>
      </c>
      <c r="K16" s="216">
        <f>INDEX($K$37:$AF$1048576,MATCH(Tbl_BaselineSummary[[#This Row],[Baseline ID]:[Baseline ID]],$J$37:$J$1048576,0),MATCH(Tbl_BaselineSummary[[#Headers],[Baseline Annual Energy Cost (USD)]],Tbl_BaselineSummary[[#Headers],[Baseline Annual Energy Cost (USD)]:[Code Oil Annual Consumption (MMBtu)]],0))</f>
        <v>3190.2639971995764</v>
      </c>
      <c r="L16" s="202">
        <f>INDEX($K$37:$AF$1048576,MATCH(Tbl_BaselineSummary[[#This Row],[Baseline ID]:[Baseline ID]],$J$37:$J$1048576,0),MATCH(Tbl_BaselineSummary[[#Headers],[Baseline Electric Annual Consumption  (kWh)]],Tbl_BaselineSummary[[#Headers],[Baseline Annual Energy Cost (USD)]:[Code Oil Annual Consumption (MMBtu)]],0))</f>
        <v>374.55</v>
      </c>
      <c r="M16" s="202">
        <f>INDEX($K$37:$AF$1048576,MATCH(Tbl_BaselineSummary[[#This Row],[Baseline ID]:[Baseline ID]],$J$37:$J$1048576,0),MATCH(Tbl_BaselineSummary[[#Headers],[Baseline Electric Winter Consumption (kWh)]],Tbl_BaselineSummary[[#Headers],[Baseline Annual Energy Cost (USD)]:[Code Oil Annual Consumption (MMBtu)]],0))</f>
        <v>374.55</v>
      </c>
      <c r="N16" s="202">
        <f>INDEX($K$37:$AF$1048576,MATCH(Tbl_BaselineSummary[[#This Row],[Baseline ID]:[Baseline ID]],$J$37:$J$1048576,0),MATCH(Tbl_BaselineSummary[[#Headers],[Baseline Electric Summer Consumption (kWh)]],Tbl_BaselineSummary[[#Headers],[Baseline Annual Energy Cost (USD)]:[Code Oil Annual Consumption (MMBtu)]],0))</f>
        <v>0</v>
      </c>
      <c r="O16" s="152">
        <f>INDEX($K$37:$AF$1048576,MATCH(Tbl_BaselineSummary[[#This Row],[Baseline ID]:[Baseline ID]],$J$37:$J$1048576,0),MATCH(Tbl_BaselineSummary[[#Headers],[Baseline Electric Baseline Winter Peak Demand (kW)]],Tbl_BaselineSummary[[#Headers],[Baseline Annual Energy Cost (USD)]:[Code Oil Annual Consumption (MMBtu)]],0))</f>
        <v>5.7457334611697032E-2</v>
      </c>
      <c r="P16" s="152">
        <f>INDEX($K$37:$AF$1048576,MATCH(Tbl_BaselineSummary[[#This Row],[Baseline ID]:[Baseline ID]],$J$37:$J$1048576,0),MATCH(Tbl_BaselineSummary[[#Headers],[Baseline Electric Baseline Summer Peak Demand (kW)]],Tbl_BaselineSummary[[#Headers],[Baseline Annual Energy Cost (USD)]:[Code Oil Annual Consumption (MMBtu)]],0))</f>
        <v>0</v>
      </c>
      <c r="Q16" s="27">
        <f>INDEX($K$37:$AF$1048576,MATCH(Tbl_BaselineSummary[[#This Row],[Baseline ID]:[Baseline ID]],$J$37:$J$1048576,0),MATCH(Tbl_BaselineSummary[[#Headers],[Baseline Natural Gas Annual Consumption  (therms)]],Tbl_BaselineSummary[[#Headers],[Baseline Annual Energy Cost (USD)]:[Code Oil Annual Consumption (MMBtu)]],0))</f>
        <v>0</v>
      </c>
      <c r="R16" s="153">
        <f>INDEX($K$37:$AF$1048576,MATCH(Tbl_BaselineSummary[[#This Row],[Baseline ID]:[Baseline ID]],$J$37:$J$1048576,0),MATCH(Tbl_BaselineSummary[[#Headers],[Baseline Propane Annual Consumption  (MMBtu)]],Tbl_BaselineSummary[[#Headers],[Baseline Annual Energy Cost (USD)]:[Code Oil Annual Consumption (MMBtu)]],0))</f>
        <v>86.692015209125472</v>
      </c>
      <c r="S16" s="215">
        <f>INDEX($K$37:$AF$1048576,MATCH(Tbl_BaselineSummary[[#This Row],[Baseline ID]:[Baseline ID]],$J$37:$J$1048576,0),MATCH(Tbl_BaselineSummary[[#Headers],[Baseline Oil Annual Consumption  (MMBtu)]],Tbl_BaselineSummary[[#Headers],[Baseline Annual Energy Cost (USD)]:[Code Oil Annual Consumption (MMBtu)]],0))</f>
        <v>0</v>
      </c>
      <c r="T16" s="216">
        <f>INDEX($K$37:$AF$1048576,MATCH(Tbl_BaselineSummary[[#This Row],[Baseline ID]:[Baseline ID]],$J$37:$J$1048576,0),MATCH(Tbl_BaselineSummary[[#Headers],[Code Annual Energy Cost (USD)]],Tbl_BaselineSummary[[#Headers],[Baseline Annual Energy Cost (USD)]:[Code Oil Annual Consumption (MMBtu)]],0))</f>
        <v>2966.0291090358428</v>
      </c>
      <c r="U16" s="254">
        <f>INDEX($K$37:$AF$1048576,MATCH(Tbl_BaselineSummary[[#This Row],[Baseline ID]:[Baseline ID]],$J$37:$J$1048576,0),MATCH(Tbl_BaselineSummary[[#Headers],[Code Installed Costs (USD)]],Tbl_BaselineSummary[[#Headers],[Baseline Annual Energy Cost (USD)]:[Code Oil Annual Consumption (MMBtu)]],0))</f>
        <v>4886</v>
      </c>
      <c r="V16" s="254">
        <f>INDEX($K$37:$AF$1048576,MATCH(Tbl_BaselineSummary[[#This Row],[Baseline ID]:[Baseline ID]],$J$37:$J$1048576,0),MATCH(Tbl_BaselineSummary[[#Headers],[Code A/C-only Installed Cost (USD)]],Tbl_BaselineSummary[[#Headers],[Baseline Annual Energy Cost (USD)]:[Code Oil Annual Consumption (MMBtu)]],0))</f>
        <v>0</v>
      </c>
      <c r="W16" s="201">
        <f>INDEX($K$37:$AF$1048576,MATCH(Tbl_BaselineSummary[[#This Row],[Baseline ID]:[Baseline ID]],$J$37:$J$1048576,0),MATCH(Tbl_BaselineSummary[[#Headers],[Deferred Replacement Credit (USD)]],Tbl_BaselineSummary[[#Headers],[Baseline Annual Energy Cost (USD)]:[Code Oil Annual Consumption (MMBtu)]],0))</f>
        <v>2977.3463590984543</v>
      </c>
      <c r="X16" s="201">
        <f>INDEX($K$37:$AF$1048576,MATCH(Tbl_BaselineSummary[[#This Row],[Baseline ID]:[Baseline ID]],$J$37:$J$1048576,0),MATCH(Tbl_BaselineSummary[[#Headers],[A/C-only Deferred Replacement Credit (USD)]],Tbl_BaselineSummary[[#Headers],[Baseline Annual Energy Cost (USD)]:[Code Oil Annual Consumption (MMBtu)]],0))</f>
        <v>0</v>
      </c>
      <c r="Y16" s="202">
        <f>INDEX($K$37:$AF$1048576,MATCH(Tbl_BaselineSummary[[#This Row],[Baseline ID]:[Baseline ID]],$J$37:$J$1048576,0),MATCH(Tbl_BaselineSummary[[#Headers],[Code Electric Annual Consumption (kWh)]],Tbl_BaselineSummary[[#Headers],[Baseline Annual Energy Cost (USD)]:[Code Oil Annual Consumption (MMBtu)]],0))</f>
        <v>371.5</v>
      </c>
      <c r="Z16" s="202">
        <f>INDEX($K$37:$AF$1048576,MATCH(Tbl_BaselineSummary[[#This Row],[Baseline ID]:[Baseline ID]],$J$37:$J$1048576,0),MATCH(Tbl_BaselineSummary[[#Headers],[Code Electric Winter Consumption (kWh)]],Tbl_BaselineSummary[[#Headers],[Baseline Annual Energy Cost (USD)]:[Code Oil Annual Consumption (MMBtu)]],0))</f>
        <v>371.5</v>
      </c>
      <c r="AA16" s="202">
        <f>INDEX($K$37:$AF$1048576,MATCH(Tbl_BaselineSummary[[#This Row],[Baseline ID]:[Baseline ID]],$J$37:$J$1048576,0),MATCH(Tbl_BaselineSummary[[#Headers],[Code Electric Summer Consumption (kWh)]],Tbl_BaselineSummary[[#Headers],[Baseline Annual Energy Cost (USD)]:[Code Oil Annual Consumption (MMBtu)]],0))</f>
        <v>0</v>
      </c>
      <c r="AB16" s="152">
        <f>INDEX($K$37:$AF$1048576,MATCH(Tbl_BaselineSummary[[#This Row],[Baseline ID]:[Baseline ID]],$J$37:$J$1048576,0),MATCH(Tbl_BaselineSummary[[#Headers],[Code Electric Winter Peak Demand (kW)]],Tbl_BaselineSummary[[#Headers],[Baseline Annual Energy Cost (USD)]:[Code Oil Annual Consumption (MMBtu)]],0))</f>
        <v>5.6989453499520615E-2</v>
      </c>
      <c r="AC16" s="152">
        <f>INDEX($K$37:$AF$1048576,MATCH(Tbl_BaselineSummary[[#This Row],[Baseline ID]:[Baseline ID]],$J$37:$J$1048576,0),MATCH(Tbl_BaselineSummary[[#Headers],[Code Electric Summer Peak Demand (kW)]],Tbl_BaselineSummary[[#Headers],[Baseline Annual Energy Cost (USD)]:[Code Oil Annual Consumption (MMBtu)]],0))</f>
        <v>0</v>
      </c>
      <c r="AD16" s="84">
        <f>INDEX($K$37:$AF$1048576,MATCH(Tbl_BaselineSummary[[#This Row],[Baseline ID]:[Baseline ID]],$J$37:$J$1048576,0),MATCH(Tbl_BaselineSummary[[#Headers],[Code Natural Gas Annual Consumption (therms)]],Tbl_BaselineSummary[[#Headers],[Baseline Annual Energy Cost (USD)]:[Code Oil Annual Consumption (MMBtu)]],0))</f>
        <v>0</v>
      </c>
      <c r="AE16" s="153">
        <f>INDEX($K$37:$AF$1048576,MATCH(Tbl_BaselineSummary[[#This Row],[Baseline ID]:[Baseline ID]],$J$37:$J$1048576,0),MATCH(Tbl_BaselineSummary[[#Headers],[Code Propane Annual Consumption (MMBtu)]],Tbl_BaselineSummary[[#Headers],[Baseline Annual Energy Cost (USD)]:[Code Oil Annual Consumption (MMBtu)]],0))</f>
        <v>80.47058823529413</v>
      </c>
      <c r="AF16" s="219">
        <f>INDEX($K$37:$AF$1048576,MATCH(Tbl_BaselineSummary[[#This Row],[Baseline ID]:[Baseline ID]],$J$37:$J$1048576,0),MATCH(Tbl_BaselineSummary[[#Headers],[Code Oil Annual Consumption (MMBtu)]],Tbl_BaselineSummary[[#Headers],[Baseline Annual Energy Cost (USD)]:[Code Oil Annual Consumption (MMBtu)]],0))</f>
        <v>0</v>
      </c>
    </row>
    <row r="17" spans="2:32" x14ac:dyDescent="0.2">
      <c r="B17" s="16"/>
      <c r="C17" s="2" t="s">
        <v>231</v>
      </c>
      <c r="D17" s="3" t="s">
        <v>14</v>
      </c>
      <c r="E17" s="11" t="str">
        <f>INDEX(Tbl_EquipmentDefinitions[Equipment Name],MATCH('Baseline Calculations'!$D17,Tbl_EquipmentDefinitions[Equipment ID],0))</f>
        <v>Oil Boiler</v>
      </c>
      <c r="F17" s="12" t="str">
        <f>INDEX(Tbl_EquipmentDefinitions[Function],MATCH('Baseline Calculations'!$D17,Tbl_EquipmentDefinitions[Equipment ID],0))</f>
        <v>Heat</v>
      </c>
      <c r="G17" s="291">
        <f t="shared" ref="G17:G29" si="1">BOILER_TOTAL_HEATING_LOAD</f>
        <v>76.7</v>
      </c>
      <c r="H17" s="291">
        <f t="shared" si="0"/>
        <v>13.072800000000001</v>
      </c>
      <c r="I17" s="291">
        <f>GAS_OIL_WATER_HEATING_LOAD</f>
        <v>13.9</v>
      </c>
      <c r="J17" s="99" t="str">
        <f>INDEX(Tbl_EquipmentDefinitions[Fuel Type],MATCH(Tbl_BaselineSummary[[#This Row],[Equipment ID]],Tbl_EquipmentDefinitions[Equipment ID],0))</f>
        <v>Oil</v>
      </c>
      <c r="K17" s="216">
        <f>INDEX($K$37:$AF$1048576,MATCH(Tbl_BaselineSummary[[#This Row],[Baseline ID]:[Baseline ID]],$J$37:$J$1048576,0),MATCH(Tbl_BaselineSummary[[#Headers],[Baseline Annual Energy Cost (USD)]],Tbl_BaselineSummary[[#Headers],[Baseline Annual Energy Cost (USD)]:[Code Oil Annual Consumption (MMBtu)]],0))</f>
        <v>2342.4199980291783</v>
      </c>
      <c r="L17" s="202">
        <f>INDEX($K$37:$AF$1048576,MATCH(Tbl_BaselineSummary[[#This Row],[Baseline ID]:[Baseline ID]],$J$37:$J$1048576,0),MATCH(Tbl_BaselineSummary[[#Headers],[Baseline Electric Annual Consumption  (kWh)]],Tbl_BaselineSummary[[#Headers],[Baseline Annual Energy Cost (USD)]:[Code Oil Annual Consumption (MMBtu)]],0))</f>
        <v>230</v>
      </c>
      <c r="M17" s="202">
        <f>INDEX($K$37:$AF$1048576,MATCH(Tbl_BaselineSummary[[#This Row],[Baseline ID]:[Baseline ID]],$J$37:$J$1048576,0),MATCH(Tbl_BaselineSummary[[#Headers],[Baseline Electric Winter Consumption (kWh)]],Tbl_BaselineSummary[[#Headers],[Baseline Annual Energy Cost (USD)]:[Code Oil Annual Consumption (MMBtu)]],0))</f>
        <v>230</v>
      </c>
      <c r="N17" s="202">
        <f>INDEX($K$37:$AF$1048576,MATCH(Tbl_BaselineSummary[[#This Row],[Baseline ID]:[Baseline ID]],$J$37:$J$1048576,0),MATCH(Tbl_BaselineSummary[[#Headers],[Baseline Electric Summer Consumption (kWh)]],Tbl_BaselineSummary[[#Headers],[Baseline Annual Energy Cost (USD)]:[Code Oil Annual Consumption (MMBtu)]],0))</f>
        <v>0</v>
      </c>
      <c r="O17" s="152">
        <f>INDEX($K$37:$AF$1048576,MATCH(Tbl_BaselineSummary[[#This Row],[Baseline ID]:[Baseline ID]],$J$37:$J$1048576,0),MATCH(Tbl_BaselineSummary[[#Headers],[Baseline Electric Baseline Winter Peak Demand (kW)]],Tbl_BaselineSummary[[#Headers],[Baseline Annual Energy Cost (USD)]:[Code Oil Annual Consumption (MMBtu)]],0))</f>
        <v>3.5282837967401733E-2</v>
      </c>
      <c r="P17" s="152">
        <f>INDEX($K$37:$AF$1048576,MATCH(Tbl_BaselineSummary[[#This Row],[Baseline ID]:[Baseline ID]],$J$37:$J$1048576,0),MATCH(Tbl_BaselineSummary[[#Headers],[Baseline Electric Baseline Summer Peak Demand (kW)]],Tbl_BaselineSummary[[#Headers],[Baseline Annual Energy Cost (USD)]:[Code Oil Annual Consumption (MMBtu)]],0))</f>
        <v>0</v>
      </c>
      <c r="Q17" s="27">
        <f>INDEX($K$37:$AF$1048576,MATCH(Tbl_BaselineSummary[[#This Row],[Baseline ID]:[Baseline ID]],$J$37:$J$1048576,0),MATCH(Tbl_BaselineSummary[[#Headers],[Baseline Natural Gas Annual Consumption  (therms)]],Tbl_BaselineSummary[[#Headers],[Baseline Annual Energy Cost (USD)]:[Code Oil Annual Consumption (MMBtu)]],0))</f>
        <v>0</v>
      </c>
      <c r="R17" s="153">
        <f>INDEX($K$37:$AF$1048576,MATCH(Tbl_BaselineSummary[[#This Row],[Baseline ID]:[Baseline ID]],$J$37:$J$1048576,0),MATCH(Tbl_BaselineSummary[[#Headers],[Baseline Propane Annual Consumption  (MMBtu)]],Tbl_BaselineSummary[[#Headers],[Baseline Annual Energy Cost (USD)]:[Code Oil Annual Consumption (MMBtu)]],0))</f>
        <v>0</v>
      </c>
      <c r="S17" s="215">
        <f>INDEX($K$37:$AF$1048576,MATCH(Tbl_BaselineSummary[[#This Row],[Baseline ID]:[Baseline ID]],$J$37:$J$1048576,0),MATCH(Tbl_BaselineSummary[[#Headers],[Baseline Oil Annual Consumption  (MMBtu)]],Tbl_BaselineSummary[[#Headers],[Baseline Annual Energy Cost (USD)]:[Code Oil Annual Consumption (MMBtu)]],0))</f>
        <v>102.26666666666667</v>
      </c>
      <c r="T17" s="216">
        <f>INDEX($K$37:$AF$1048576,MATCH(Tbl_BaselineSummary[[#This Row],[Baseline ID]:[Baseline ID]],$J$37:$J$1048576,0),MATCH(Tbl_BaselineSummary[[#Headers],[Code Annual Energy Cost (USD)]],Tbl_BaselineSummary[[#Headers],[Baseline Annual Energy Cost (USD)]:[Code Oil Annual Consumption (MMBtu)]],0))</f>
        <v>2096.3207839546235</v>
      </c>
      <c r="U17" s="254">
        <f>INDEX($K$37:$AF$1048576,MATCH(Tbl_BaselineSummary[[#This Row],[Baseline ID]:[Baseline ID]],$J$37:$J$1048576,0),MATCH(Tbl_BaselineSummary[[#Headers],[Code Installed Costs (USD)]],Tbl_BaselineSummary[[#Headers],[Baseline Annual Energy Cost (USD)]:[Code Oil Annual Consumption (MMBtu)]],0))</f>
        <v>6866</v>
      </c>
      <c r="V17" s="254">
        <f>INDEX($K$37:$AF$1048576,MATCH(Tbl_BaselineSummary[[#This Row],[Baseline ID]:[Baseline ID]],$J$37:$J$1048576,0),MATCH(Tbl_BaselineSummary[[#Headers],[Code A/C-only Installed Cost (USD)]],Tbl_BaselineSummary[[#Headers],[Baseline Annual Energy Cost (USD)]:[Code Oil Annual Consumption (MMBtu)]],0))</f>
        <v>0</v>
      </c>
      <c r="W17" s="201">
        <f>INDEX($K$37:$AF$1048576,MATCH(Tbl_BaselineSummary[[#This Row],[Baseline ID]:[Baseline ID]],$J$37:$J$1048576,0),MATCH(Tbl_BaselineSummary[[#Headers],[Deferred Replacement Credit (USD)]],Tbl_BaselineSummary[[#Headers],[Baseline Annual Energy Cost (USD)]:[Code Oil Annual Consumption (MMBtu)]],0))</f>
        <v>2955.424988838648</v>
      </c>
      <c r="X17" s="201">
        <f>INDEX($K$37:$AF$1048576,MATCH(Tbl_BaselineSummary[[#This Row],[Baseline ID]:[Baseline ID]],$J$37:$J$1048576,0),MATCH(Tbl_BaselineSummary[[#Headers],[A/C-only Deferred Replacement Credit (USD)]],Tbl_BaselineSummary[[#Headers],[Baseline Annual Energy Cost (USD)]:[Code Oil Annual Consumption (MMBtu)]],0))</f>
        <v>0</v>
      </c>
      <c r="Y17" s="202">
        <f>INDEX($K$37:$AF$1048576,MATCH(Tbl_BaselineSummary[[#This Row],[Baseline ID]:[Baseline ID]],$J$37:$J$1048576,0),MATCH(Tbl_BaselineSummary[[#Headers],[Code Electric Annual Consumption (kWh)]],Tbl_BaselineSummary[[#Headers],[Baseline Annual Energy Cost (USD)]:[Code Oil Annual Consumption (MMBtu)]],0))</f>
        <v>230</v>
      </c>
      <c r="Z17" s="202">
        <f>INDEX($K$37:$AF$1048576,MATCH(Tbl_BaselineSummary[[#This Row],[Baseline ID]:[Baseline ID]],$J$37:$J$1048576,0),MATCH(Tbl_BaselineSummary[[#Headers],[Code Electric Winter Consumption (kWh)]],Tbl_BaselineSummary[[#Headers],[Baseline Annual Energy Cost (USD)]:[Code Oil Annual Consumption (MMBtu)]],0))</f>
        <v>230</v>
      </c>
      <c r="AA17" s="202">
        <f>INDEX($K$37:$AF$1048576,MATCH(Tbl_BaselineSummary[[#This Row],[Baseline ID]:[Baseline ID]],$J$37:$J$1048576,0),MATCH(Tbl_BaselineSummary[[#Headers],[Code Electric Summer Consumption (kWh)]],Tbl_BaselineSummary[[#Headers],[Baseline Annual Energy Cost (USD)]:[Code Oil Annual Consumption (MMBtu)]],0))</f>
        <v>0</v>
      </c>
      <c r="AB17" s="152">
        <f>INDEX($K$37:$AF$1048576,MATCH(Tbl_BaselineSummary[[#This Row],[Baseline ID]:[Baseline ID]],$J$37:$J$1048576,0),MATCH(Tbl_BaselineSummary[[#Headers],[Code Electric Winter Peak Demand (kW)]],Tbl_BaselineSummary[[#Headers],[Baseline Annual Energy Cost (USD)]:[Code Oil Annual Consumption (MMBtu)]],0))</f>
        <v>3.5282837967401733E-2</v>
      </c>
      <c r="AC17" s="152">
        <f>INDEX($K$37:$AF$1048576,MATCH(Tbl_BaselineSummary[[#This Row],[Baseline ID]:[Baseline ID]],$J$37:$J$1048576,0),MATCH(Tbl_BaselineSummary[[#Headers],[Code Electric Summer Peak Demand (kW)]],Tbl_BaselineSummary[[#Headers],[Baseline Annual Energy Cost (USD)]:[Code Oil Annual Consumption (MMBtu)]],0))</f>
        <v>0</v>
      </c>
      <c r="AD17" s="84">
        <f>INDEX($K$37:$AF$1048576,MATCH(Tbl_BaselineSummary[[#This Row],[Baseline ID]:[Baseline ID]],$J$37:$J$1048576,0),MATCH(Tbl_BaselineSummary[[#Headers],[Code Natural Gas Annual Consumption (therms)]],Tbl_BaselineSummary[[#Headers],[Baseline Annual Energy Cost (USD)]:[Code Oil Annual Consumption (MMBtu)]],0))</f>
        <v>0</v>
      </c>
      <c r="AE17" s="153">
        <f>INDEX($K$37:$AF$1048576,MATCH(Tbl_BaselineSummary[[#This Row],[Baseline ID]:[Baseline ID]],$J$37:$J$1048576,0),MATCH(Tbl_BaselineSummary[[#Headers],[Code Propane Annual Consumption (MMBtu)]],Tbl_BaselineSummary[[#Headers],[Baseline Annual Energy Cost (USD)]:[Code Oil Annual Consumption (MMBtu)]],0))</f>
        <v>0</v>
      </c>
      <c r="AF17" s="219">
        <f>INDEX($K$37:$AF$1048576,MATCH(Tbl_BaselineSummary[[#This Row],[Baseline ID]:[Baseline ID]],$J$37:$J$1048576,0),MATCH(Tbl_BaselineSummary[[#Headers],[Code Oil Annual Consumption (MMBtu)]],Tbl_BaselineSummary[[#Headers],[Baseline Annual Energy Cost (USD)]:[Code Oil Annual Consumption (MMBtu)]],0))</f>
        <v>91.30952380952381</v>
      </c>
    </row>
    <row r="18" spans="2:32" x14ac:dyDescent="0.2">
      <c r="B18" s="16"/>
      <c r="C18" s="2" t="s">
        <v>232</v>
      </c>
      <c r="D18" s="3" t="s">
        <v>15</v>
      </c>
      <c r="E18" s="11" t="str">
        <f>INDEX(Tbl_EquipmentDefinitions[Equipment Name],MATCH('Baseline Calculations'!$D18,Tbl_EquipmentDefinitions[Equipment ID],0))</f>
        <v>Propane Boiler</v>
      </c>
      <c r="F18" s="12" t="str">
        <f>INDEX(Tbl_EquipmentDefinitions[Function],MATCH('Baseline Calculations'!$D18,Tbl_EquipmentDefinitions[Equipment ID],0))</f>
        <v>Heat</v>
      </c>
      <c r="G18" s="291">
        <f t="shared" si="1"/>
        <v>76.7</v>
      </c>
      <c r="H18" s="291">
        <f t="shared" si="0"/>
        <v>13.072800000000001</v>
      </c>
      <c r="I18" s="503">
        <f>PROPANE_WATER_HEATING_LOAD</f>
        <v>11.3</v>
      </c>
      <c r="J18" s="99" t="str">
        <f>INDEX(Tbl_EquipmentDefinitions[Fuel Type],MATCH(Tbl_BaselineSummary[[#This Row],[Equipment ID]],Tbl_EquipmentDefinitions[Equipment ID],0))</f>
        <v>Propane</v>
      </c>
      <c r="K18" s="216">
        <f>INDEX($K$37:$AF$1048576,MATCH(Tbl_BaselineSummary[[#This Row],[Baseline ID]:[Baseline ID]],$J$37:$J$1048576,0),MATCH(Tbl_BaselineSummary[[#Headers],[Baseline Annual Energy Cost (USD)]],Tbl_BaselineSummary[[#Headers],[Baseline Annual Energy Cost (USD)]:[Code Oil Annual Consumption (MMBtu)]],0))</f>
        <v>3714.9814759667006</v>
      </c>
      <c r="L18" s="202">
        <f>INDEX($K$37:$AF$1048576,MATCH(Tbl_BaselineSummary[[#This Row],[Baseline ID]:[Baseline ID]],$J$37:$J$1048576,0),MATCH(Tbl_BaselineSummary[[#Headers],[Baseline Electric Annual Consumption  (kWh)]],Tbl_BaselineSummary[[#Headers],[Baseline Annual Energy Cost (USD)]:[Code Oil Annual Consumption (MMBtu)]],0))</f>
        <v>197</v>
      </c>
      <c r="M18" s="202">
        <f>INDEX($K$37:$AF$1048576,MATCH(Tbl_BaselineSummary[[#This Row],[Baseline ID]:[Baseline ID]],$J$37:$J$1048576,0),MATCH(Tbl_BaselineSummary[[#Headers],[Baseline Electric Winter Consumption (kWh)]],Tbl_BaselineSummary[[#Headers],[Baseline Annual Energy Cost (USD)]:[Code Oil Annual Consumption (MMBtu)]],0))</f>
        <v>197</v>
      </c>
      <c r="N18" s="202">
        <f>INDEX($K$37:$AF$1048576,MATCH(Tbl_BaselineSummary[[#This Row],[Baseline ID]:[Baseline ID]],$J$37:$J$1048576,0),MATCH(Tbl_BaselineSummary[[#Headers],[Baseline Electric Summer Consumption (kWh)]],Tbl_BaselineSummary[[#Headers],[Baseline Annual Energy Cost (USD)]:[Code Oil Annual Consumption (MMBtu)]],0))</f>
        <v>0</v>
      </c>
      <c r="O18" s="152">
        <f>INDEX($K$37:$AF$1048576,MATCH(Tbl_BaselineSummary[[#This Row],[Baseline ID]:[Baseline ID]],$J$37:$J$1048576,0),MATCH(Tbl_BaselineSummary[[#Headers],[Baseline Electric Baseline Winter Peak Demand (kW)]],Tbl_BaselineSummary[[#Headers],[Baseline Annual Energy Cost (USD)]:[Code Oil Annual Consumption (MMBtu)]],0))</f>
        <v>3.0220517737296261E-2</v>
      </c>
      <c r="P18" s="152">
        <f>INDEX($K$37:$AF$1048576,MATCH(Tbl_BaselineSummary[[#This Row],[Baseline ID]:[Baseline ID]],$J$37:$J$1048576,0),MATCH(Tbl_BaselineSummary[[#Headers],[Baseline Electric Baseline Summer Peak Demand (kW)]],Tbl_BaselineSummary[[#Headers],[Baseline Annual Energy Cost (USD)]:[Code Oil Annual Consumption (MMBtu)]],0))</f>
        <v>0</v>
      </c>
      <c r="Q18" s="27">
        <f>INDEX($K$37:$AF$1048576,MATCH(Tbl_BaselineSummary[[#This Row],[Baseline ID]:[Baseline ID]],$J$37:$J$1048576,0),MATCH(Tbl_BaselineSummary[[#Headers],[Baseline Natural Gas Annual Consumption  (therms)]],Tbl_BaselineSummary[[#Headers],[Baseline Annual Energy Cost (USD)]:[Code Oil Annual Consumption (MMBtu)]],0))</f>
        <v>0</v>
      </c>
      <c r="R18" s="153">
        <f>INDEX($K$37:$AF$1048576,MATCH(Tbl_BaselineSummary[[#This Row],[Baseline ID]:[Baseline ID]],$J$37:$J$1048576,0),MATCH(Tbl_BaselineSummary[[#Headers],[Baseline Propane Annual Consumption  (MMBtu)]],Tbl_BaselineSummary[[#Headers],[Baseline Annual Energy Cost (USD)]:[Code Oil Annual Consumption (MMBtu)]],0))</f>
        <v>102.26666666666667</v>
      </c>
      <c r="S18" s="215">
        <f>INDEX($K$37:$AF$1048576,MATCH(Tbl_BaselineSummary[[#This Row],[Baseline ID]:[Baseline ID]],$J$37:$J$1048576,0),MATCH(Tbl_BaselineSummary[[#Headers],[Baseline Oil Annual Consumption  (MMBtu)]],Tbl_BaselineSummary[[#Headers],[Baseline Annual Energy Cost (USD)]:[Code Oil Annual Consumption (MMBtu)]],0))</f>
        <v>0</v>
      </c>
      <c r="T18" s="216">
        <f>INDEX($K$37:$AF$1048576,MATCH(Tbl_BaselineSummary[[#This Row],[Baseline ID]:[Baseline ID]],$J$37:$J$1048576,0),MATCH(Tbl_BaselineSummary[[#Headers],[Code Annual Energy Cost (USD)]],Tbl_BaselineSummary[[#Headers],[Baseline Annual Energy Cost (USD)]:[Code Oil Annual Consumption (MMBtu)]],0))</f>
        <v>3515.6515394388721</v>
      </c>
      <c r="U18" s="254">
        <f>INDEX($K$37:$AF$1048576,MATCH(Tbl_BaselineSummary[[#This Row],[Baseline ID]:[Baseline ID]],$J$37:$J$1048576,0),MATCH(Tbl_BaselineSummary[[#Headers],[Code Installed Costs (USD)]],Tbl_BaselineSummary[[#Headers],[Baseline Annual Energy Cost (USD)]:[Code Oil Annual Consumption (MMBtu)]],0))</f>
        <v>6595</v>
      </c>
      <c r="V18" s="254">
        <f>INDEX($K$37:$AF$1048576,MATCH(Tbl_BaselineSummary[[#This Row],[Baseline ID]:[Baseline ID]],$J$37:$J$1048576,0),MATCH(Tbl_BaselineSummary[[#Headers],[Code A/C-only Installed Cost (USD)]],Tbl_BaselineSummary[[#Headers],[Baseline Annual Energy Cost (USD)]:[Code Oil Annual Consumption (MMBtu)]],0))</f>
        <v>0</v>
      </c>
      <c r="W18" s="201">
        <f>INDEX($K$37:$AF$1048576,MATCH(Tbl_BaselineSummary[[#This Row],[Baseline ID]:[Baseline ID]],$J$37:$J$1048576,0),MATCH(Tbl_BaselineSummary[[#Headers],[Deferred Replacement Credit (USD)]],Tbl_BaselineSummary[[#Headers],[Baseline Annual Energy Cost (USD)]:[Code Oil Annual Consumption (MMBtu)]],0))</f>
        <v>2838.7748035815443</v>
      </c>
      <c r="X18" s="201">
        <f>INDEX($K$37:$AF$1048576,MATCH(Tbl_BaselineSummary[[#This Row],[Baseline ID]:[Baseline ID]],$J$37:$J$1048576,0),MATCH(Tbl_BaselineSummary[[#Headers],[A/C-only Deferred Replacement Credit (USD)]],Tbl_BaselineSummary[[#Headers],[Baseline Annual Energy Cost (USD)]:[Code Oil Annual Consumption (MMBtu)]],0))</f>
        <v>0</v>
      </c>
      <c r="Y18" s="202">
        <f>INDEX($K$37:$AF$1048576,MATCH(Tbl_BaselineSummary[[#This Row],[Baseline ID]:[Baseline ID]],$J$37:$J$1048576,0),MATCH(Tbl_BaselineSummary[[#Headers],[Code Electric Annual Consumption (kWh)]],Tbl_BaselineSummary[[#Headers],[Baseline Annual Energy Cost (USD)]:[Code Oil Annual Consumption (MMBtu)]],0))</f>
        <v>197</v>
      </c>
      <c r="Z18" s="202">
        <f>INDEX($K$37:$AF$1048576,MATCH(Tbl_BaselineSummary[[#This Row],[Baseline ID]:[Baseline ID]],$J$37:$J$1048576,0),MATCH(Tbl_BaselineSummary[[#Headers],[Code Electric Winter Consumption (kWh)]],Tbl_BaselineSummary[[#Headers],[Baseline Annual Energy Cost (USD)]:[Code Oil Annual Consumption (MMBtu)]],0))</f>
        <v>197</v>
      </c>
      <c r="AA18" s="202">
        <f>INDEX($K$37:$AF$1048576,MATCH(Tbl_BaselineSummary[[#This Row],[Baseline ID]:[Baseline ID]],$J$37:$J$1048576,0),MATCH(Tbl_BaselineSummary[[#Headers],[Code Electric Summer Consumption (kWh)]],Tbl_BaselineSummary[[#Headers],[Baseline Annual Energy Cost (USD)]:[Code Oil Annual Consumption (MMBtu)]],0))</f>
        <v>0</v>
      </c>
      <c r="AB18" s="152">
        <f>INDEX($K$37:$AF$1048576,MATCH(Tbl_BaselineSummary[[#This Row],[Baseline ID]:[Baseline ID]],$J$37:$J$1048576,0),MATCH(Tbl_BaselineSummary[[#Headers],[Code Electric Winter Peak Demand (kW)]],Tbl_BaselineSummary[[#Headers],[Baseline Annual Energy Cost (USD)]:[Code Oil Annual Consumption (MMBtu)]],0))</f>
        <v>3.0220517737296261E-2</v>
      </c>
      <c r="AC18" s="152">
        <f>INDEX($K$37:$AF$1048576,MATCH(Tbl_BaselineSummary[[#This Row],[Baseline ID]:[Baseline ID]],$J$37:$J$1048576,0),MATCH(Tbl_BaselineSummary[[#Headers],[Code Electric Summer Peak Demand (kW)]],Tbl_BaselineSummary[[#Headers],[Baseline Annual Energy Cost (USD)]:[Code Oil Annual Consumption (MMBtu)]],0))</f>
        <v>0</v>
      </c>
      <c r="AD18" s="84">
        <f>INDEX($K$37:$AF$1048576,MATCH(Tbl_BaselineSummary[[#This Row],[Baseline ID]:[Baseline ID]],$J$37:$J$1048576,0),MATCH(Tbl_BaselineSummary[[#Headers],[Code Natural Gas Annual Consumption (therms)]],Tbl_BaselineSummary[[#Headers],[Baseline Annual Energy Cost (USD)]:[Code Oil Annual Consumption (MMBtu)]],0))</f>
        <v>0</v>
      </c>
      <c r="AE18" s="153">
        <f>INDEX($K$37:$AF$1048576,MATCH(Tbl_BaselineSummary[[#This Row],[Baseline ID]:[Baseline ID]],$J$37:$J$1048576,0),MATCH(Tbl_BaselineSummary[[#Headers],[Code Propane Annual Consumption (MMBtu)]],Tbl_BaselineSummary[[#Headers],[Baseline Annual Energy Cost (USD)]:[Code Oil Annual Consumption (MMBtu)]],0))</f>
        <v>96.721311475409834</v>
      </c>
      <c r="AF18" s="219">
        <f>INDEX($K$37:$AF$1048576,MATCH(Tbl_BaselineSummary[[#This Row],[Baseline ID]:[Baseline ID]],$J$37:$J$1048576,0),MATCH(Tbl_BaselineSummary[[#Headers],[Code Oil Annual Consumption (MMBtu)]],Tbl_BaselineSummary[[#Headers],[Baseline Annual Energy Cost (USD)]:[Code Oil Annual Consumption (MMBtu)]],0))</f>
        <v>0</v>
      </c>
    </row>
    <row r="19" spans="2:32" x14ac:dyDescent="0.2">
      <c r="B19" s="16"/>
      <c r="C19" s="2" t="s">
        <v>233</v>
      </c>
      <c r="D19" s="3" t="s">
        <v>18</v>
      </c>
      <c r="E19" s="11" t="str">
        <f>INDEX(Tbl_EquipmentDefinitions[Equipment Name],MATCH('Baseline Calculations'!$D19,Tbl_EquipmentDefinitions[Equipment ID],0))</f>
        <v>Electric Baseboard</v>
      </c>
      <c r="F19" s="12" t="str">
        <f>INDEX(Tbl_EquipmentDefinitions[Function],MATCH('Baseline Calculations'!$D19,Tbl_EquipmentDefinitions[Equipment ID],0))</f>
        <v>Heat</v>
      </c>
      <c r="G19" s="291">
        <f t="shared" si="1"/>
        <v>76.7</v>
      </c>
      <c r="H19" s="291">
        <f t="shared" si="0"/>
        <v>13.072800000000001</v>
      </c>
      <c r="I19" s="504">
        <f>ELECTRIC_WATER_HEATING_LOAD</f>
        <v>8</v>
      </c>
      <c r="J19" s="99" t="str">
        <f>INDEX(Tbl_EquipmentDefinitions[Fuel Type],MATCH(Tbl_BaselineSummary[[#This Row],[Equipment ID]],Tbl_EquipmentDefinitions[Equipment ID],0))</f>
        <v>Electric</v>
      </c>
      <c r="K19" s="216">
        <f>INDEX($K$37:$AF$1048576,MATCH(Tbl_BaselineSummary[[#This Row],[Baseline ID]:[Baseline ID]],$J$37:$J$1048576,0),MATCH(Tbl_BaselineSummary[[#Headers],[Baseline Annual Energy Cost (USD)]],Tbl_BaselineSummary[[#Headers],[Baseline Annual Energy Cost (USD)]:[Code Oil Annual Consumption (MMBtu)]],0))</f>
        <v>4446.4419695193437</v>
      </c>
      <c r="L19" s="202">
        <f>INDEX($K$37:$AF$1048576,MATCH(Tbl_BaselineSummary[[#This Row],[Baseline ID]:[Baseline ID]],$J$37:$J$1048576,0),MATCH(Tbl_BaselineSummary[[#Headers],[Baseline Electric Annual Consumption  (kWh)]],Tbl_BaselineSummary[[#Headers],[Baseline Annual Energy Cost (USD)]:[Code Oil Annual Consumption (MMBtu)]],0))</f>
        <v>22479.484173505276</v>
      </c>
      <c r="M19" s="202">
        <f>INDEX($K$37:$AF$1048576,MATCH(Tbl_BaselineSummary[[#This Row],[Baseline ID]:[Baseline ID]],$J$37:$J$1048576,0),MATCH(Tbl_BaselineSummary[[#Headers],[Baseline Electric Winter Consumption (kWh)]],Tbl_BaselineSummary[[#Headers],[Baseline Annual Energy Cost (USD)]:[Code Oil Annual Consumption (MMBtu)]],0))</f>
        <v>22479.484173505276</v>
      </c>
      <c r="N19" s="202">
        <f>INDEX($K$37:$AF$1048576,MATCH(Tbl_BaselineSummary[[#This Row],[Baseline ID]:[Baseline ID]],$J$37:$J$1048576,0),MATCH(Tbl_BaselineSummary[[#Headers],[Baseline Electric Summer Consumption (kWh)]],Tbl_BaselineSummary[[#Headers],[Baseline Annual Energy Cost (USD)]:[Code Oil Annual Consumption (MMBtu)]],0))</f>
        <v>0</v>
      </c>
      <c r="O19" s="152">
        <f>INDEX($K$37:$AF$1048576,MATCH(Tbl_BaselineSummary[[#This Row],[Baseline ID]:[Baseline ID]],$J$37:$J$1048576,0),MATCH(Tbl_BaselineSummary[[#Headers],[Baseline Electric Baseline Winter Peak Demand (kW)]],Tbl_BaselineSummary[[#Headers],[Baseline Annual Energy Cost (USD)]:[Code Oil Annual Consumption (MMBtu)]],0))</f>
        <v>3.75</v>
      </c>
      <c r="P19" s="152">
        <f>INDEX($K$37:$AF$1048576,MATCH(Tbl_BaselineSummary[[#This Row],[Baseline ID]:[Baseline ID]],$J$37:$J$1048576,0),MATCH(Tbl_BaselineSummary[[#Headers],[Baseline Electric Baseline Summer Peak Demand (kW)]],Tbl_BaselineSummary[[#Headers],[Baseline Annual Energy Cost (USD)]:[Code Oil Annual Consumption (MMBtu)]],0))</f>
        <v>0</v>
      </c>
      <c r="Q19" s="27">
        <f>INDEX($K$37:$AF$1048576,MATCH(Tbl_BaselineSummary[[#This Row],[Baseline ID]:[Baseline ID]],$J$37:$J$1048576,0),MATCH(Tbl_BaselineSummary[[#Headers],[Baseline Natural Gas Annual Consumption  (therms)]],Tbl_BaselineSummary[[#Headers],[Baseline Annual Energy Cost (USD)]:[Code Oil Annual Consumption (MMBtu)]],0))</f>
        <v>0</v>
      </c>
      <c r="R19" s="153">
        <f>INDEX($K$37:$AF$1048576,MATCH(Tbl_BaselineSummary[[#This Row],[Baseline ID]:[Baseline ID]],$J$37:$J$1048576,0),MATCH(Tbl_BaselineSummary[[#Headers],[Baseline Propane Annual Consumption  (MMBtu)]],Tbl_BaselineSummary[[#Headers],[Baseline Annual Energy Cost (USD)]:[Code Oil Annual Consumption (MMBtu)]],0))</f>
        <v>0</v>
      </c>
      <c r="S19" s="215">
        <f>INDEX($K$37:$AF$1048576,MATCH(Tbl_BaselineSummary[[#This Row],[Baseline ID]:[Baseline ID]],$J$37:$J$1048576,0),MATCH(Tbl_BaselineSummary[[#Headers],[Baseline Oil Annual Consumption  (MMBtu)]],Tbl_BaselineSummary[[#Headers],[Baseline Annual Energy Cost (USD)]:[Code Oil Annual Consumption (MMBtu)]],0))</f>
        <v>0</v>
      </c>
      <c r="T19" s="216">
        <f>INDEX($K$37:$AF$1048576,MATCH(Tbl_BaselineSummary[[#This Row],[Baseline ID]:[Baseline ID]],$J$37:$J$1048576,0),MATCH(Tbl_BaselineSummary[[#Headers],[Code Annual Energy Cost (USD)]],Tbl_BaselineSummary[[#Headers],[Baseline Annual Energy Cost (USD)]:[Code Oil Annual Consumption (MMBtu)]],0))</f>
        <v>4446.4419695193437</v>
      </c>
      <c r="U19" s="254">
        <f>INDEX($K$37:$AF$1048576,MATCH(Tbl_BaselineSummary[[#This Row],[Baseline ID]:[Baseline ID]],$J$37:$J$1048576,0),MATCH(Tbl_BaselineSummary[[#Headers],[Code Installed Costs (USD)]],Tbl_BaselineSummary[[#Headers],[Baseline Annual Energy Cost (USD)]:[Code Oil Annual Consumption (MMBtu)]],0))</f>
        <v>555</v>
      </c>
      <c r="V19" s="254">
        <f>INDEX($K$37:$AF$1048576,MATCH(Tbl_BaselineSummary[[#This Row],[Baseline ID]:[Baseline ID]],$J$37:$J$1048576,0),MATCH(Tbl_BaselineSummary[[#Headers],[Code A/C-only Installed Cost (USD)]],Tbl_BaselineSummary[[#Headers],[Baseline Annual Energy Cost (USD)]:[Code Oil Annual Consumption (MMBtu)]],0))</f>
        <v>0</v>
      </c>
      <c r="W19" s="201">
        <f>INDEX($K$37:$AF$1048576,MATCH(Tbl_BaselineSummary[[#This Row],[Baseline ID]:[Baseline ID]],$J$37:$J$1048576,0),MATCH(Tbl_BaselineSummary[[#Headers],[Deferred Replacement Credit (USD)]],Tbl_BaselineSummary[[#Headers],[Baseline Annual Energy Cost (USD)]:[Code Oil Annual Consumption (MMBtu)]],0))</f>
        <v>343.57884007217069</v>
      </c>
      <c r="X19" s="201">
        <f>INDEX($K$37:$AF$1048576,MATCH(Tbl_BaselineSummary[[#This Row],[Baseline ID]:[Baseline ID]],$J$37:$J$1048576,0),MATCH(Tbl_BaselineSummary[[#Headers],[A/C-only Deferred Replacement Credit (USD)]],Tbl_BaselineSummary[[#Headers],[Baseline Annual Energy Cost (USD)]:[Code Oil Annual Consumption (MMBtu)]],0))</f>
        <v>0</v>
      </c>
      <c r="Y19" s="202">
        <f>INDEX($K$37:$AF$1048576,MATCH(Tbl_BaselineSummary[[#This Row],[Baseline ID]:[Baseline ID]],$J$37:$J$1048576,0),MATCH(Tbl_BaselineSummary[[#Headers],[Code Electric Annual Consumption (kWh)]],Tbl_BaselineSummary[[#Headers],[Baseline Annual Energy Cost (USD)]:[Code Oil Annual Consumption (MMBtu)]],0))</f>
        <v>22479.484173505276</v>
      </c>
      <c r="Z19" s="202">
        <f>INDEX($K$37:$AF$1048576,MATCH(Tbl_BaselineSummary[[#This Row],[Baseline ID]:[Baseline ID]],$J$37:$J$1048576,0),MATCH(Tbl_BaselineSummary[[#Headers],[Code Electric Winter Consumption (kWh)]],Tbl_BaselineSummary[[#Headers],[Baseline Annual Energy Cost (USD)]:[Code Oil Annual Consumption (MMBtu)]],0))</f>
        <v>22479.484173505276</v>
      </c>
      <c r="AA19" s="202">
        <f>INDEX($K$37:$AF$1048576,MATCH(Tbl_BaselineSummary[[#This Row],[Baseline ID]:[Baseline ID]],$J$37:$J$1048576,0),MATCH(Tbl_BaselineSummary[[#Headers],[Code Electric Summer Consumption (kWh)]],Tbl_BaselineSummary[[#Headers],[Baseline Annual Energy Cost (USD)]:[Code Oil Annual Consumption (MMBtu)]],0))</f>
        <v>0</v>
      </c>
      <c r="AB19" s="152">
        <f>INDEX($K$37:$AF$1048576,MATCH(Tbl_BaselineSummary[[#This Row],[Baseline ID]:[Baseline ID]],$J$37:$J$1048576,0),MATCH(Tbl_BaselineSummary[[#Headers],[Code Electric Winter Peak Demand (kW)]],Tbl_BaselineSummary[[#Headers],[Baseline Annual Energy Cost (USD)]:[Code Oil Annual Consumption (MMBtu)]],0))</f>
        <v>3.75</v>
      </c>
      <c r="AC19" s="152">
        <f>INDEX($K$37:$AF$1048576,MATCH(Tbl_BaselineSummary[[#This Row],[Baseline ID]:[Baseline ID]],$J$37:$J$1048576,0),MATCH(Tbl_BaselineSummary[[#Headers],[Code Electric Summer Peak Demand (kW)]],Tbl_BaselineSummary[[#Headers],[Baseline Annual Energy Cost (USD)]:[Code Oil Annual Consumption (MMBtu)]],0))</f>
        <v>0</v>
      </c>
      <c r="AD19" s="84">
        <f>INDEX($K$37:$AF$1048576,MATCH(Tbl_BaselineSummary[[#This Row],[Baseline ID]:[Baseline ID]],$J$37:$J$1048576,0),MATCH(Tbl_BaselineSummary[[#Headers],[Code Natural Gas Annual Consumption (therms)]],Tbl_BaselineSummary[[#Headers],[Baseline Annual Energy Cost (USD)]:[Code Oil Annual Consumption (MMBtu)]],0))</f>
        <v>0</v>
      </c>
      <c r="AE19" s="153">
        <f>INDEX($K$37:$AF$1048576,MATCH(Tbl_BaselineSummary[[#This Row],[Baseline ID]:[Baseline ID]],$J$37:$J$1048576,0),MATCH(Tbl_BaselineSummary[[#Headers],[Code Propane Annual Consumption (MMBtu)]],Tbl_BaselineSummary[[#Headers],[Baseline Annual Energy Cost (USD)]:[Code Oil Annual Consumption (MMBtu)]],0))</f>
        <v>0</v>
      </c>
      <c r="AF19" s="219">
        <f>INDEX($K$37:$AF$1048576,MATCH(Tbl_BaselineSummary[[#This Row],[Baseline ID]:[Baseline ID]],$J$37:$J$1048576,0),MATCH(Tbl_BaselineSummary[[#Headers],[Code Oil Annual Consumption (MMBtu)]],Tbl_BaselineSummary[[#Headers],[Baseline Annual Energy Cost (USD)]:[Code Oil Annual Consumption (MMBtu)]],0))</f>
        <v>0</v>
      </c>
    </row>
    <row r="20" spans="2:32" x14ac:dyDescent="0.2">
      <c r="B20" s="16"/>
      <c r="C20" s="2" t="s">
        <v>234</v>
      </c>
      <c r="D20" s="3" t="s">
        <v>37</v>
      </c>
      <c r="E20" s="11" t="str">
        <f>INDEX(Tbl_EquipmentDefinitions[Equipment Name],MATCH('Baseline Calculations'!$D20,Tbl_EquipmentDefinitions[Equipment ID],0))</f>
        <v>Tankless Coil WH</v>
      </c>
      <c r="F20" s="12" t="str">
        <f>INDEX(Tbl_EquipmentDefinitions[Function],MATCH('Baseline Calculations'!$D20,Tbl_EquipmentDefinitions[Equipment ID],0))</f>
        <v>HW</v>
      </c>
      <c r="G20" s="291">
        <f t="shared" si="1"/>
        <v>76.7</v>
      </c>
      <c r="H20" s="291">
        <f t="shared" si="0"/>
        <v>13.072800000000001</v>
      </c>
      <c r="I20" s="291">
        <f>GAS_OIL_WATER_HEATING_LOAD</f>
        <v>13.9</v>
      </c>
      <c r="J20" s="99" t="str">
        <f>INDEX(Tbl_EquipmentDefinitions[Fuel Type],MATCH(Tbl_BaselineSummary[[#This Row],[Equipment ID]],Tbl_EquipmentDefinitions[Equipment ID],0))</f>
        <v>Oil</v>
      </c>
      <c r="K20" s="216">
        <f>INDEX($K$37:$AF$1048576,MATCH(Tbl_BaselineSummary[[#This Row],[Baseline ID]:[Baseline ID]],$J$37:$J$1048576,0),MATCH(Tbl_BaselineSummary[[#Headers],[Baseline Annual Energy Cost (USD)]],Tbl_BaselineSummary[[#Headers],[Baseline Annual Energy Cost (USD)]:[Code Oil Annual Consumption (MMBtu)]],0))</f>
        <v>416.26168673540514</v>
      </c>
      <c r="L20" s="202">
        <f>INDEX($K$37:$AF$1048576,MATCH(Tbl_BaselineSummary[[#This Row],[Baseline ID]:[Baseline ID]],$J$37:$J$1048576,0),MATCH(Tbl_BaselineSummary[[#Headers],[Baseline Electric Annual Consumption  (kWh)]],Tbl_BaselineSummary[[#Headers],[Baseline Annual Energy Cost (USD)]:[Code Oil Annual Consumption (MMBtu)]],0))</f>
        <v>0</v>
      </c>
      <c r="M20" s="202" t="str">
        <f>INDEX($K$37:$AF$1048576,MATCH(Tbl_BaselineSummary[[#This Row],[Baseline ID]:[Baseline ID]],$J$37:$J$1048576,0),MATCH(Tbl_BaselineSummary[[#Headers],[Baseline Electric Winter Consumption (kWh)]],Tbl_BaselineSummary[[#Headers],[Baseline Annual Energy Cost (USD)]:[Code Oil Annual Consumption (MMBtu)]],0))</f>
        <v>n/a</v>
      </c>
      <c r="N20" s="202" t="str">
        <f>INDEX($K$37:$AF$1048576,MATCH(Tbl_BaselineSummary[[#This Row],[Baseline ID]:[Baseline ID]],$J$37:$J$1048576,0),MATCH(Tbl_BaselineSummary[[#Headers],[Baseline Electric Summer Consumption (kWh)]],Tbl_BaselineSummary[[#Headers],[Baseline Annual Energy Cost (USD)]:[Code Oil Annual Consumption (MMBtu)]],0))</f>
        <v>n/a</v>
      </c>
      <c r="O20" s="152">
        <f>INDEX($K$37:$AF$1048576,MATCH(Tbl_BaselineSummary[[#This Row],[Baseline ID]:[Baseline ID]],$J$37:$J$1048576,0),MATCH(Tbl_BaselineSummary[[#Headers],[Baseline Electric Baseline Winter Peak Demand (kW)]],Tbl_BaselineSummary[[#Headers],[Baseline Annual Energy Cost (USD)]:[Code Oil Annual Consumption (MMBtu)]],0))</f>
        <v>0</v>
      </c>
      <c r="P20" s="152">
        <f>INDEX($K$37:$AF$1048576,MATCH(Tbl_BaselineSummary[[#This Row],[Baseline ID]:[Baseline ID]],$J$37:$J$1048576,0),MATCH(Tbl_BaselineSummary[[#Headers],[Baseline Electric Baseline Summer Peak Demand (kW)]],Tbl_BaselineSummary[[#Headers],[Baseline Annual Energy Cost (USD)]:[Code Oil Annual Consumption (MMBtu)]],0))</f>
        <v>0</v>
      </c>
      <c r="Q20" s="27">
        <f>INDEX($K$37:$AF$1048576,MATCH(Tbl_BaselineSummary[[#This Row],[Baseline ID]:[Baseline ID]],$J$37:$J$1048576,0),MATCH(Tbl_BaselineSummary[[#Headers],[Baseline Natural Gas Annual Consumption  (therms)]],Tbl_BaselineSummary[[#Headers],[Baseline Annual Energy Cost (USD)]:[Code Oil Annual Consumption (MMBtu)]],0))</f>
        <v>0</v>
      </c>
      <c r="R20" s="153">
        <f>INDEX($K$37:$AF$1048576,MATCH(Tbl_BaselineSummary[[#This Row],[Baseline ID]:[Baseline ID]],$J$37:$J$1048576,0),MATCH(Tbl_BaselineSummary[[#Headers],[Baseline Propane Annual Consumption  (MMBtu)]],Tbl_BaselineSummary[[#Headers],[Baseline Annual Energy Cost (USD)]:[Code Oil Annual Consumption (MMBtu)]],0))</f>
        <v>0</v>
      </c>
      <c r="S20" s="215">
        <f>INDEX($K$37:$AF$1048576,MATCH(Tbl_BaselineSummary[[#This Row],[Baseline ID]:[Baseline ID]],$J$37:$J$1048576,0),MATCH(Tbl_BaselineSummary[[#Headers],[Baseline Oil Annual Consumption  (MMBtu)]],Tbl_BaselineSummary[[#Headers],[Baseline Annual Energy Cost (USD)]:[Code Oil Annual Consumption (MMBtu)]],0))</f>
        <v>18.533333333333335</v>
      </c>
      <c r="T20" s="216">
        <f>INDEX($K$37:$AF$1048576,MATCH(Tbl_BaselineSummary[[#This Row],[Baseline ID]:[Baseline ID]],$J$37:$J$1048576,0),MATCH(Tbl_BaselineSummary[[#Headers],[Code Annual Energy Cost (USD)]],Tbl_BaselineSummary[[#Headers],[Baseline Annual Energy Cost (USD)]:[Code Oil Annual Consumption (MMBtu)]],0))</f>
        <v>371.66222029946886</v>
      </c>
      <c r="U20" s="254">
        <f>INDEX($K$37:$AF$1048576,MATCH(Tbl_BaselineSummary[[#This Row],[Baseline ID]:[Baseline ID]],$J$37:$J$1048576,0),MATCH(Tbl_BaselineSummary[[#Headers],[Code Installed Costs (USD)]],Tbl_BaselineSummary[[#Headers],[Baseline Annual Energy Cost (USD)]:[Code Oil Annual Consumption (MMBtu)]],0))</f>
        <v>600</v>
      </c>
      <c r="V20" s="254">
        <f>INDEX($K$37:$AF$1048576,MATCH(Tbl_BaselineSummary[[#This Row],[Baseline ID]:[Baseline ID]],$J$37:$J$1048576,0),MATCH(Tbl_BaselineSummary[[#Headers],[Code A/C-only Installed Cost (USD)]],Tbl_BaselineSummary[[#Headers],[Baseline Annual Energy Cost (USD)]:[Code Oil Annual Consumption (MMBtu)]],0))</f>
        <v>0</v>
      </c>
      <c r="W20" s="201">
        <f>INDEX($K$37:$AF$1048576,MATCH(Tbl_BaselineSummary[[#This Row],[Baseline ID]:[Baseline ID]],$J$37:$J$1048576,0),MATCH(Tbl_BaselineSummary[[#Headers],[Deferred Replacement Credit (USD)]],Tbl_BaselineSummary[[#Headers],[Baseline Annual Energy Cost (USD)]:[Code Oil Annual Consumption (MMBtu)]],0))</f>
        <v>350.93874836025759</v>
      </c>
      <c r="X20" s="201">
        <f>INDEX($K$37:$AF$1048576,MATCH(Tbl_BaselineSummary[[#This Row],[Baseline ID]:[Baseline ID]],$J$37:$J$1048576,0),MATCH(Tbl_BaselineSummary[[#Headers],[A/C-only Deferred Replacement Credit (USD)]],Tbl_BaselineSummary[[#Headers],[Baseline Annual Energy Cost (USD)]:[Code Oil Annual Consumption (MMBtu)]],0))</f>
        <v>0</v>
      </c>
      <c r="Y20" s="202">
        <f>INDEX($K$37:$AF$1048576,MATCH(Tbl_BaselineSummary[[#This Row],[Baseline ID]:[Baseline ID]],$J$37:$J$1048576,0),MATCH(Tbl_BaselineSummary[[#Headers],[Code Electric Annual Consumption (kWh)]],Tbl_BaselineSummary[[#Headers],[Baseline Annual Energy Cost (USD)]:[Code Oil Annual Consumption (MMBtu)]],0))</f>
        <v>0</v>
      </c>
      <c r="Z20" s="202" t="str">
        <f>INDEX($K$37:$AF$1048576,MATCH(Tbl_BaselineSummary[[#This Row],[Baseline ID]:[Baseline ID]],$J$37:$J$1048576,0),MATCH(Tbl_BaselineSummary[[#Headers],[Code Electric Winter Consumption (kWh)]],Tbl_BaselineSummary[[#Headers],[Baseline Annual Energy Cost (USD)]:[Code Oil Annual Consumption (MMBtu)]],0))</f>
        <v>n/a</v>
      </c>
      <c r="AA20" s="202" t="str">
        <f>INDEX($K$37:$AF$1048576,MATCH(Tbl_BaselineSummary[[#This Row],[Baseline ID]:[Baseline ID]],$J$37:$J$1048576,0),MATCH(Tbl_BaselineSummary[[#Headers],[Code Electric Summer Consumption (kWh)]],Tbl_BaselineSummary[[#Headers],[Baseline Annual Energy Cost (USD)]:[Code Oil Annual Consumption (MMBtu)]],0))</f>
        <v>n/a</v>
      </c>
      <c r="AB20" s="152">
        <f>INDEX($K$37:$AF$1048576,MATCH(Tbl_BaselineSummary[[#This Row],[Baseline ID]:[Baseline ID]],$J$37:$J$1048576,0),MATCH(Tbl_BaselineSummary[[#Headers],[Code Electric Winter Peak Demand (kW)]],Tbl_BaselineSummary[[#Headers],[Baseline Annual Energy Cost (USD)]:[Code Oil Annual Consumption (MMBtu)]],0))</f>
        <v>0</v>
      </c>
      <c r="AC20" s="152">
        <f>INDEX($K$37:$AF$1048576,MATCH(Tbl_BaselineSummary[[#This Row],[Baseline ID]:[Baseline ID]],$J$37:$J$1048576,0),MATCH(Tbl_BaselineSummary[[#Headers],[Code Electric Summer Peak Demand (kW)]],Tbl_BaselineSummary[[#Headers],[Baseline Annual Energy Cost (USD)]:[Code Oil Annual Consumption (MMBtu)]],0))</f>
        <v>0</v>
      </c>
      <c r="AD20" s="84">
        <f>INDEX($K$37:$AF$1048576,MATCH(Tbl_BaselineSummary[[#This Row],[Baseline ID]:[Baseline ID]],$J$37:$J$1048576,0),MATCH(Tbl_BaselineSummary[[#Headers],[Code Natural Gas Annual Consumption (therms)]],Tbl_BaselineSummary[[#Headers],[Baseline Annual Energy Cost (USD)]:[Code Oil Annual Consumption (MMBtu)]],0))</f>
        <v>0</v>
      </c>
      <c r="AE20" s="153">
        <f>INDEX($K$37:$AF$1048576,MATCH(Tbl_BaselineSummary[[#This Row],[Baseline ID]:[Baseline ID]],$J$37:$J$1048576,0),MATCH(Tbl_BaselineSummary[[#Headers],[Code Propane Annual Consumption (MMBtu)]],Tbl_BaselineSummary[[#Headers],[Baseline Annual Energy Cost (USD)]:[Code Oil Annual Consumption (MMBtu)]],0))</f>
        <v>0</v>
      </c>
      <c r="AF20" s="219">
        <f>INDEX($K$37:$AF$1048576,MATCH(Tbl_BaselineSummary[[#This Row],[Baseline ID]:[Baseline ID]],$J$37:$J$1048576,0),MATCH(Tbl_BaselineSummary[[#Headers],[Code Oil Annual Consumption (MMBtu)]],Tbl_BaselineSummary[[#Headers],[Baseline Annual Energy Cost (USD)]:[Code Oil Annual Consumption (MMBtu)]],0))</f>
        <v>16.547619047619047</v>
      </c>
    </row>
    <row r="21" spans="2:32" x14ac:dyDescent="0.2">
      <c r="B21" s="16"/>
      <c r="C21" s="2" t="s">
        <v>235</v>
      </c>
      <c r="D21" s="3" t="s">
        <v>40</v>
      </c>
      <c r="E21" s="11" t="str">
        <f>INDEX(Tbl_EquipmentDefinitions[Equipment Name],MATCH('Baseline Calculations'!$D21,Tbl_EquipmentDefinitions[Equipment ID],0))</f>
        <v>Oil Boiler+Indirect WH</v>
      </c>
      <c r="F21" s="12" t="str">
        <f>INDEX(Tbl_EquipmentDefinitions[Function],MATCH('Baseline Calculations'!$D21,Tbl_EquipmentDefinitions[Equipment ID],0))</f>
        <v>Heat+HW</v>
      </c>
      <c r="G21" s="291">
        <f t="shared" si="1"/>
        <v>76.7</v>
      </c>
      <c r="H21" s="291">
        <f t="shared" si="0"/>
        <v>13.072800000000001</v>
      </c>
      <c r="I21" s="291">
        <f>GAS_OIL_WATER_HEATING_LOAD</f>
        <v>13.9</v>
      </c>
      <c r="J21" s="99" t="str">
        <f>INDEX(Tbl_EquipmentDefinitions[Fuel Type],MATCH(Tbl_BaselineSummary[[#This Row],[Equipment ID]],Tbl_EquipmentDefinitions[Equipment ID],0))</f>
        <v>Oil</v>
      </c>
      <c r="K21" s="216">
        <f>INDEX($K$37:$AF$1048576,MATCH(Tbl_BaselineSummary[[#This Row],[Baseline ID]:[Baseline ID]],$J$37:$J$1048576,0),MATCH(Tbl_BaselineSummary[[#Headers],[Baseline Annual Energy Cost (USD)]],Tbl_BaselineSummary[[#Headers],[Baseline Annual Energy Cost (USD)]:[Code Oil Annual Consumption (MMBtu)]],0))</f>
        <v>2766.9662989400827</v>
      </c>
      <c r="L21" s="202">
        <f>INDEX($K$37:$AF$1048576,MATCH(Tbl_BaselineSummary[[#This Row],[Baseline ID]:[Baseline ID]],$J$37:$J$1048576,0),MATCH(Tbl_BaselineSummary[[#Headers],[Baseline Electric Annual Consumption  (kWh)]],Tbl_BaselineSummary[[#Headers],[Baseline Annual Energy Cost (USD)]:[Code Oil Annual Consumption (MMBtu)]],0))</f>
        <v>230</v>
      </c>
      <c r="M21" s="202" t="str">
        <f>INDEX($K$37:$AF$1048576,MATCH(Tbl_BaselineSummary[[#This Row],[Baseline ID]:[Baseline ID]],$J$37:$J$1048576,0),MATCH(Tbl_BaselineSummary[[#Headers],[Baseline Electric Winter Consumption (kWh)]],Tbl_BaselineSummary[[#Headers],[Baseline Annual Energy Cost (USD)]:[Code Oil Annual Consumption (MMBtu)]],0))</f>
        <v>n/a</v>
      </c>
      <c r="N21" s="202" t="str">
        <f>INDEX($K$37:$AF$1048576,MATCH(Tbl_BaselineSummary[[#This Row],[Baseline ID]:[Baseline ID]],$J$37:$J$1048576,0),MATCH(Tbl_BaselineSummary[[#Headers],[Baseline Electric Summer Consumption (kWh)]],Tbl_BaselineSummary[[#Headers],[Baseline Annual Energy Cost (USD)]:[Code Oil Annual Consumption (MMBtu)]],0))</f>
        <v>n/a</v>
      </c>
      <c r="O21" s="152">
        <f>INDEX($K$37:$AF$1048576,MATCH(Tbl_BaselineSummary[[#This Row],[Baseline ID]:[Baseline ID]],$J$37:$J$1048576,0),MATCH(Tbl_BaselineSummary[[#Headers],[Baseline Electric Baseline Winter Peak Demand (kW)]],Tbl_BaselineSummary[[#Headers],[Baseline Annual Energy Cost (USD)]:[Code Oil Annual Consumption (MMBtu)]],0))</f>
        <v>3.5282837967401733E-2</v>
      </c>
      <c r="P21" s="152">
        <f>INDEX($K$37:$AF$1048576,MATCH(Tbl_BaselineSummary[[#This Row],[Baseline ID]:[Baseline ID]],$J$37:$J$1048576,0),MATCH(Tbl_BaselineSummary[[#Headers],[Baseline Electric Baseline Summer Peak Demand (kW)]],Tbl_BaselineSummary[[#Headers],[Baseline Annual Energy Cost (USD)]:[Code Oil Annual Consumption (MMBtu)]],0))</f>
        <v>0</v>
      </c>
      <c r="Q21" s="27">
        <f>INDEX($K$37:$AF$1048576,MATCH(Tbl_BaselineSummary[[#This Row],[Baseline ID]:[Baseline ID]],$J$37:$J$1048576,0),MATCH(Tbl_BaselineSummary[[#Headers],[Baseline Natural Gas Annual Consumption  (therms)]],Tbl_BaselineSummary[[#Headers],[Baseline Annual Energy Cost (USD)]:[Code Oil Annual Consumption (MMBtu)]],0))</f>
        <v>0</v>
      </c>
      <c r="R21" s="153">
        <f>INDEX($K$37:$AF$1048576,MATCH(Tbl_BaselineSummary[[#This Row],[Baseline ID]:[Baseline ID]],$J$37:$J$1048576,0),MATCH(Tbl_BaselineSummary[[#Headers],[Baseline Propane Annual Consumption  (MMBtu)]],Tbl_BaselineSummary[[#Headers],[Baseline Annual Energy Cost (USD)]:[Code Oil Annual Consumption (MMBtu)]],0))</f>
        <v>0</v>
      </c>
      <c r="S21" s="215">
        <f>INDEX($K$37:$AF$1048576,MATCH(Tbl_BaselineSummary[[#This Row],[Baseline ID]:[Baseline ID]],$J$37:$J$1048576,0),MATCH(Tbl_BaselineSummary[[#Headers],[Baseline Oil Annual Consumption  (MMBtu)]],Tbl_BaselineSummary[[#Headers],[Baseline Annual Energy Cost (USD)]:[Code Oil Annual Consumption (MMBtu)]],0))</f>
        <v>123.19440000000002</v>
      </c>
      <c r="T21" s="216">
        <f>INDEX($K$37:$AF$1048576,MATCH(Tbl_BaselineSummary[[#This Row],[Baseline ID]:[Baseline ID]],$J$37:$J$1048576,0),MATCH(Tbl_BaselineSummary[[#Headers],[Code Annual Energy Cost (USD)]],Tbl_BaselineSummary[[#Headers],[Baseline Annual Energy Cost (USD)]:[Code Oil Annual Consumption (MMBtu)]],0))</f>
        <v>2470.5056240536455</v>
      </c>
      <c r="U21" s="254">
        <f>INDEX($K$37:$AF$1048576,MATCH(Tbl_BaselineSummary[[#This Row],[Baseline ID]:[Baseline ID]],$J$37:$J$1048576,0),MATCH(Tbl_BaselineSummary[[#Headers],[Code Installed Costs (USD)]],Tbl_BaselineSummary[[#Headers],[Baseline Annual Energy Cost (USD)]:[Code Oil Annual Consumption (MMBtu)]],0))</f>
        <v>10452</v>
      </c>
      <c r="V21" s="254">
        <f>INDEX($K$37:$AF$1048576,MATCH(Tbl_BaselineSummary[[#This Row],[Baseline ID]:[Baseline ID]],$J$37:$J$1048576,0),MATCH(Tbl_BaselineSummary[[#Headers],[Code A/C-only Installed Cost (USD)]],Tbl_BaselineSummary[[#Headers],[Baseline Annual Energy Cost (USD)]:[Code Oil Annual Consumption (MMBtu)]],0))</f>
        <v>0</v>
      </c>
      <c r="W21" s="201">
        <f>INDEX($K$37:$AF$1048576,MATCH(Tbl_BaselineSummary[[#This Row],[Baseline ID]:[Baseline ID]],$J$37:$J$1048576,0),MATCH(Tbl_BaselineSummary[[#Headers],[Deferred Replacement Credit (USD)]],Tbl_BaselineSummary[[#Headers],[Baseline Annual Energy Cost (USD)]:[Code Oil Annual Consumption (MMBtu)]],0))</f>
        <v>4498.9953369271116</v>
      </c>
      <c r="X21" s="201">
        <f>INDEX($K$37:$AF$1048576,MATCH(Tbl_BaselineSummary[[#This Row],[Baseline ID]:[Baseline ID]],$J$37:$J$1048576,0),MATCH(Tbl_BaselineSummary[[#Headers],[A/C-only Deferred Replacement Credit (USD)]],Tbl_BaselineSummary[[#Headers],[Baseline Annual Energy Cost (USD)]:[Code Oil Annual Consumption (MMBtu)]],0))</f>
        <v>0</v>
      </c>
      <c r="Y21" s="202">
        <f>INDEX($K$37:$AF$1048576,MATCH(Tbl_BaselineSummary[[#This Row],[Baseline ID]:[Baseline ID]],$J$37:$J$1048576,0),MATCH(Tbl_BaselineSummary[[#Headers],[Code Electric Annual Consumption (kWh)]],Tbl_BaselineSummary[[#Headers],[Baseline Annual Energy Cost (USD)]:[Code Oil Annual Consumption (MMBtu)]],0))</f>
        <v>230</v>
      </c>
      <c r="Z21" s="202" t="str">
        <f>INDEX($K$37:$AF$1048576,MATCH(Tbl_BaselineSummary[[#This Row],[Baseline ID]:[Baseline ID]],$J$37:$J$1048576,0),MATCH(Tbl_BaselineSummary[[#Headers],[Code Electric Winter Consumption (kWh)]],Tbl_BaselineSummary[[#Headers],[Baseline Annual Energy Cost (USD)]:[Code Oil Annual Consumption (MMBtu)]],0))</f>
        <v>n/a</v>
      </c>
      <c r="AA21" s="202" t="str">
        <f>INDEX($K$37:$AF$1048576,MATCH(Tbl_BaselineSummary[[#This Row],[Baseline ID]:[Baseline ID]],$J$37:$J$1048576,0),MATCH(Tbl_BaselineSummary[[#Headers],[Code Electric Summer Consumption (kWh)]],Tbl_BaselineSummary[[#Headers],[Baseline Annual Energy Cost (USD)]:[Code Oil Annual Consumption (MMBtu)]],0))</f>
        <v>n/a</v>
      </c>
      <c r="AB21" s="152">
        <f>INDEX($K$37:$AF$1048576,MATCH(Tbl_BaselineSummary[[#This Row],[Baseline ID]:[Baseline ID]],$J$37:$J$1048576,0),MATCH(Tbl_BaselineSummary[[#Headers],[Code Electric Winter Peak Demand (kW)]],Tbl_BaselineSummary[[#Headers],[Baseline Annual Energy Cost (USD)]:[Code Oil Annual Consumption (MMBtu)]],0))</f>
        <v>3.5282837967401733E-2</v>
      </c>
      <c r="AC21" s="152">
        <f>INDEX($K$37:$AF$1048576,MATCH(Tbl_BaselineSummary[[#This Row],[Baseline ID]:[Baseline ID]],$J$37:$J$1048576,0),MATCH(Tbl_BaselineSummary[[#Headers],[Code Electric Summer Peak Demand (kW)]],Tbl_BaselineSummary[[#Headers],[Baseline Annual Energy Cost (USD)]:[Code Oil Annual Consumption (MMBtu)]],0))</f>
        <v>0</v>
      </c>
      <c r="AD21" s="84">
        <f>INDEX($K$37:$AF$1048576,MATCH(Tbl_BaselineSummary[[#This Row],[Baseline ID]:[Baseline ID]],$J$37:$J$1048576,0),MATCH(Tbl_BaselineSummary[[#Headers],[Code Natural Gas Annual Consumption (therms)]],Tbl_BaselineSummary[[#Headers],[Baseline Annual Energy Cost (USD)]:[Code Oil Annual Consumption (MMBtu)]],0))</f>
        <v>0</v>
      </c>
      <c r="AE21" s="153">
        <f>INDEX($K$37:$AF$1048576,MATCH(Tbl_BaselineSummary[[#This Row],[Baseline ID]:[Baseline ID]],$J$37:$J$1048576,0),MATCH(Tbl_BaselineSummary[[#Headers],[Code Propane Annual Consumption (MMBtu)]],Tbl_BaselineSummary[[#Headers],[Baseline Annual Energy Cost (USD)]:[Code Oil Annual Consumption (MMBtu)]],0))</f>
        <v>0</v>
      </c>
      <c r="AF21" s="219">
        <f>INDEX($K$37:$AF$1048576,MATCH(Tbl_BaselineSummary[[#This Row],[Baseline ID]:[Baseline ID]],$J$37:$J$1048576,0),MATCH(Tbl_BaselineSummary[[#Headers],[Code Oil Annual Consumption (MMBtu)]],Tbl_BaselineSummary[[#Headers],[Baseline Annual Energy Cost (USD)]:[Code Oil Annual Consumption (MMBtu)]],0))</f>
        <v>109.99500000000002</v>
      </c>
    </row>
    <row r="22" spans="2:32" x14ac:dyDescent="0.2">
      <c r="B22" s="16"/>
      <c r="C22" s="2" t="s">
        <v>236</v>
      </c>
      <c r="D22" s="3" t="s">
        <v>41</v>
      </c>
      <c r="E22" s="11" t="str">
        <f>INDEX(Tbl_EquipmentDefinitions[Equipment Name],MATCH('Baseline Calculations'!$D22,Tbl_EquipmentDefinitions[Equipment ID],0))</f>
        <v>Propane Boiler+Indirect WH</v>
      </c>
      <c r="F22" s="12" t="str">
        <f>INDEX(Tbl_EquipmentDefinitions[Function],MATCH('Baseline Calculations'!$D22,Tbl_EquipmentDefinitions[Equipment ID],0))</f>
        <v>Heat+HW</v>
      </c>
      <c r="G22" s="291">
        <f t="shared" si="1"/>
        <v>76.7</v>
      </c>
      <c r="H22" s="291">
        <f t="shared" si="0"/>
        <v>13.072800000000001</v>
      </c>
      <c r="I22" s="503">
        <f>PROPANE_WATER_HEATING_LOAD</f>
        <v>11.3</v>
      </c>
      <c r="J22" s="99" t="str">
        <f>INDEX(Tbl_EquipmentDefinitions[Fuel Type],MATCH(Tbl_BaselineSummary[[#This Row],[Equipment ID]],Tbl_EquipmentDefinitions[Equipment ID],0))</f>
        <v>Propane</v>
      </c>
      <c r="K22" s="216">
        <f>INDEX($K$37:$AF$1048576,MATCH(Tbl_BaselineSummary[[#This Row],[Baseline ID]:[Baseline ID]],$J$37:$J$1048576,0),MATCH(Tbl_BaselineSummary[[#Headers],[Baseline Annual Energy Cost (USD)]],Tbl_BaselineSummary[[#Headers],[Baseline Annual Energy Cost (USD)]:[Code Oil Annual Consumption (MMBtu)]],0))</f>
        <v>4303.6596688309082</v>
      </c>
      <c r="L22" s="202">
        <f>INDEX($K$37:$AF$1048576,MATCH(Tbl_BaselineSummary[[#This Row],[Baseline ID]:[Baseline ID]],$J$37:$J$1048576,0),MATCH(Tbl_BaselineSummary[[#Headers],[Baseline Electric Annual Consumption  (kWh)]],Tbl_BaselineSummary[[#Headers],[Baseline Annual Energy Cost (USD)]:[Code Oil Annual Consumption (MMBtu)]],0))</f>
        <v>197</v>
      </c>
      <c r="M22" s="202" t="str">
        <f>INDEX($K$37:$AF$1048576,MATCH(Tbl_BaselineSummary[[#This Row],[Baseline ID]:[Baseline ID]],$J$37:$J$1048576,0),MATCH(Tbl_BaselineSummary[[#Headers],[Baseline Electric Winter Consumption (kWh)]],Tbl_BaselineSummary[[#Headers],[Baseline Annual Energy Cost (USD)]:[Code Oil Annual Consumption (MMBtu)]],0))</f>
        <v>n/a</v>
      </c>
      <c r="N22" s="202" t="str">
        <f>INDEX($K$37:$AF$1048576,MATCH(Tbl_BaselineSummary[[#This Row],[Baseline ID]:[Baseline ID]],$J$37:$J$1048576,0),MATCH(Tbl_BaselineSummary[[#Headers],[Baseline Electric Summer Consumption (kWh)]],Tbl_BaselineSummary[[#Headers],[Baseline Annual Energy Cost (USD)]:[Code Oil Annual Consumption (MMBtu)]],0))</f>
        <v>n/a</v>
      </c>
      <c r="O22" s="152">
        <f>INDEX($K$37:$AF$1048576,MATCH(Tbl_BaselineSummary[[#This Row],[Baseline ID]:[Baseline ID]],$J$37:$J$1048576,0),MATCH(Tbl_BaselineSummary[[#Headers],[Baseline Electric Baseline Winter Peak Demand (kW)]],Tbl_BaselineSummary[[#Headers],[Baseline Annual Energy Cost (USD)]:[Code Oil Annual Consumption (MMBtu)]],0))</f>
        <v>3.0220517737296261E-2</v>
      </c>
      <c r="P22" s="152">
        <f>INDEX($K$37:$AF$1048576,MATCH(Tbl_BaselineSummary[[#This Row],[Baseline ID]:[Baseline ID]],$J$37:$J$1048576,0),MATCH(Tbl_BaselineSummary[[#Headers],[Baseline Electric Baseline Summer Peak Demand (kW)]],Tbl_BaselineSummary[[#Headers],[Baseline Annual Energy Cost (USD)]:[Code Oil Annual Consumption (MMBtu)]],0))</f>
        <v>0</v>
      </c>
      <c r="Q22" s="27">
        <f>INDEX($K$37:$AF$1048576,MATCH(Tbl_BaselineSummary[[#This Row],[Baseline ID]:[Baseline ID]],$J$37:$J$1048576,0),MATCH(Tbl_BaselineSummary[[#Headers],[Baseline Natural Gas Annual Consumption  (therms)]],Tbl_BaselineSummary[[#Headers],[Baseline Annual Energy Cost (USD)]:[Code Oil Annual Consumption (MMBtu)]],0))</f>
        <v>0</v>
      </c>
      <c r="R22" s="153">
        <f>INDEX($K$37:$AF$1048576,MATCH(Tbl_BaselineSummary[[#This Row],[Baseline ID]:[Baseline ID]],$J$37:$J$1048576,0),MATCH(Tbl_BaselineSummary[[#Headers],[Baseline Propane Annual Consumption  (MMBtu)]],Tbl_BaselineSummary[[#Headers],[Baseline Annual Energy Cost (USD)]:[Code Oil Annual Consumption (MMBtu)]],0))</f>
        <v>119.72773333333333</v>
      </c>
      <c r="S22" s="215">
        <f>INDEX($K$37:$AF$1048576,MATCH(Tbl_BaselineSummary[[#This Row],[Baseline ID]:[Baseline ID]],$J$37:$J$1048576,0),MATCH(Tbl_BaselineSummary[[#Headers],[Baseline Oil Annual Consumption  (MMBtu)]],Tbl_BaselineSummary[[#Headers],[Baseline Annual Energy Cost (USD)]:[Code Oil Annual Consumption (MMBtu)]],0))</f>
        <v>0</v>
      </c>
      <c r="T22" s="216">
        <f>INDEX($K$37:$AF$1048576,MATCH(Tbl_BaselineSummary[[#This Row],[Baseline ID]:[Baseline ID]],$J$37:$J$1048576,0),MATCH(Tbl_BaselineSummary[[#Headers],[Code Annual Energy Cost (USD)]],Tbl_BaselineSummary[[#Headers],[Baseline Annual Energy Cost (USD)]:[Code Oil Annual Consumption (MMBtu)]],0))</f>
        <v>3936.2740873453431</v>
      </c>
      <c r="U22" s="254">
        <f>INDEX($K$37:$AF$1048576,MATCH(Tbl_BaselineSummary[[#This Row],[Baseline ID]:[Baseline ID]],$J$37:$J$1048576,0),MATCH(Tbl_BaselineSummary[[#Headers],[Code Installed Costs (USD)]],Tbl_BaselineSummary[[#Headers],[Baseline Annual Energy Cost (USD)]:[Code Oil Annual Consumption (MMBtu)]],0))</f>
        <v>10181</v>
      </c>
      <c r="V22" s="254">
        <f>INDEX($K$37:$AF$1048576,MATCH(Tbl_BaselineSummary[[#This Row],[Baseline ID]:[Baseline ID]],$J$37:$J$1048576,0),MATCH(Tbl_BaselineSummary[[#Headers],[Code A/C-only Installed Cost (USD)]],Tbl_BaselineSummary[[#Headers],[Baseline Annual Energy Cost (USD)]:[Code Oil Annual Consumption (MMBtu)]],0))</f>
        <v>0</v>
      </c>
      <c r="W22" s="201">
        <f>INDEX($K$37:$AF$1048576,MATCH(Tbl_BaselineSummary[[#This Row],[Baseline ID]:[Baseline ID]],$J$37:$J$1048576,0),MATCH(Tbl_BaselineSummary[[#Headers],[Deferred Replacement Credit (USD)]],Tbl_BaselineSummary[[#Headers],[Baseline Annual Energy Cost (USD)]:[Code Oil Annual Consumption (MMBtu)]],0))</f>
        <v>4382.3451516700088</v>
      </c>
      <c r="X22" s="201">
        <f>INDEX($K$37:$AF$1048576,MATCH(Tbl_BaselineSummary[[#This Row],[Baseline ID]:[Baseline ID]],$J$37:$J$1048576,0),MATCH(Tbl_BaselineSummary[[#Headers],[A/C-only Deferred Replacement Credit (USD)]],Tbl_BaselineSummary[[#Headers],[Baseline Annual Energy Cost (USD)]:[Code Oil Annual Consumption (MMBtu)]],0))</f>
        <v>0</v>
      </c>
      <c r="Y22" s="202">
        <f>INDEX($K$37:$AF$1048576,MATCH(Tbl_BaselineSummary[[#This Row],[Baseline ID]:[Baseline ID]],$J$37:$J$1048576,0),MATCH(Tbl_BaselineSummary[[#Headers],[Code Electric Annual Consumption (kWh)]],Tbl_BaselineSummary[[#Headers],[Baseline Annual Energy Cost (USD)]:[Code Oil Annual Consumption (MMBtu)]],0))</f>
        <v>197</v>
      </c>
      <c r="Z22" s="202" t="str">
        <f>INDEX($K$37:$AF$1048576,MATCH(Tbl_BaselineSummary[[#This Row],[Baseline ID]:[Baseline ID]],$J$37:$J$1048576,0),MATCH(Tbl_BaselineSummary[[#Headers],[Code Electric Winter Consumption (kWh)]],Tbl_BaselineSummary[[#Headers],[Baseline Annual Energy Cost (USD)]:[Code Oil Annual Consumption (MMBtu)]],0))</f>
        <v>n/a</v>
      </c>
      <c r="AA22" s="202" t="str">
        <f>INDEX($K$37:$AF$1048576,MATCH(Tbl_BaselineSummary[[#This Row],[Baseline ID]:[Baseline ID]],$J$37:$J$1048576,0),MATCH(Tbl_BaselineSummary[[#Headers],[Code Electric Summer Consumption (kWh)]],Tbl_BaselineSummary[[#Headers],[Baseline Annual Energy Cost (USD)]:[Code Oil Annual Consumption (MMBtu)]],0))</f>
        <v>n/a</v>
      </c>
      <c r="AB22" s="152">
        <f>INDEX($K$37:$AF$1048576,MATCH(Tbl_BaselineSummary[[#This Row],[Baseline ID]:[Baseline ID]],$J$37:$J$1048576,0),MATCH(Tbl_BaselineSummary[[#Headers],[Code Electric Winter Peak Demand (kW)]],Tbl_BaselineSummary[[#Headers],[Baseline Annual Energy Cost (USD)]:[Code Oil Annual Consumption (MMBtu)]],0))</f>
        <v>3.7430488974113135E-2</v>
      </c>
      <c r="AC22" s="152">
        <f>INDEX($K$37:$AF$1048576,MATCH(Tbl_BaselineSummary[[#This Row],[Baseline ID]:[Baseline ID]],$J$37:$J$1048576,0),MATCH(Tbl_BaselineSummary[[#Headers],[Code Electric Summer Peak Demand (kW)]],Tbl_BaselineSummary[[#Headers],[Baseline Annual Energy Cost (USD)]:[Code Oil Annual Consumption (MMBtu)]],0))</f>
        <v>0</v>
      </c>
      <c r="AD22" s="84">
        <f>INDEX($K$37:$AF$1048576,MATCH(Tbl_BaselineSummary[[#This Row],[Baseline ID]:[Baseline ID]],$J$37:$J$1048576,0),MATCH(Tbl_BaselineSummary[[#Headers],[Code Natural Gas Annual Consumption (therms)]],Tbl_BaselineSummary[[#Headers],[Baseline Annual Energy Cost (USD)]:[Code Oil Annual Consumption (MMBtu)]],0))</f>
        <v>0</v>
      </c>
      <c r="AE22" s="153">
        <f>INDEX($K$37:$AF$1048576,MATCH(Tbl_BaselineSummary[[#This Row],[Baseline ID]:[Baseline ID]],$J$37:$J$1048576,0),MATCH(Tbl_BaselineSummary[[#Headers],[Code Propane Annual Consumption (MMBtu)]],Tbl_BaselineSummary[[#Headers],[Baseline Annual Energy Cost (USD)]:[Code Oil Annual Consumption (MMBtu)]],0))</f>
        <v>109.50707317073172</v>
      </c>
      <c r="AF22" s="219">
        <f>INDEX($K$37:$AF$1048576,MATCH(Tbl_BaselineSummary[[#This Row],[Baseline ID]:[Baseline ID]],$J$37:$J$1048576,0),MATCH(Tbl_BaselineSummary[[#Headers],[Code Oil Annual Consumption (MMBtu)]],Tbl_BaselineSummary[[#Headers],[Baseline Annual Energy Cost (USD)]:[Code Oil Annual Consumption (MMBtu)]],0))</f>
        <v>0</v>
      </c>
    </row>
    <row r="23" spans="2:32" x14ac:dyDescent="0.2">
      <c r="B23" s="16"/>
      <c r="C23" s="2" t="s">
        <v>237</v>
      </c>
      <c r="D23" s="3" t="s">
        <v>44</v>
      </c>
      <c r="E23" s="11" t="str">
        <f>INDEX(Tbl_EquipmentDefinitions[Equipment Name],MATCH('Baseline Calculations'!$D23,Tbl_EquipmentDefinitions[Equipment ID],0))</f>
        <v>Oil Boiler+Tankless Coil WH</v>
      </c>
      <c r="F23" s="12" t="str">
        <f>INDEX(Tbl_EquipmentDefinitions[Function],MATCH('Baseline Calculations'!$D23,Tbl_EquipmentDefinitions[Equipment ID],0))</f>
        <v>Heat+HW</v>
      </c>
      <c r="G23" s="291">
        <f>BOILER_TOTAL_HEATING_LOAD</f>
        <v>76.7</v>
      </c>
      <c r="H23" s="291">
        <f>TOTAL_COOLING_LOAD</f>
        <v>13.072800000000001</v>
      </c>
      <c r="I23" s="291">
        <f>GAS_OIL_WATER_HEATING_LOAD</f>
        <v>13.9</v>
      </c>
      <c r="J23" s="99" t="str">
        <f>INDEX(Tbl_EquipmentDefinitions[Fuel Type],MATCH(Tbl_BaselineSummary[[#This Row],[Equipment ID]],Tbl_EquipmentDefinitions[Equipment ID],0))</f>
        <v>Oil</v>
      </c>
      <c r="K23" s="216">
        <f>INDEX($K$37:$AF$1048576,MATCH(Tbl_BaselineSummary[[#This Row],[Baseline ID]:[Baseline ID]],$J$37:$J$1048576,0),MATCH(Tbl_BaselineSummary[[#Headers],[Baseline Annual Energy Cost (USD)]],Tbl_BaselineSummary[[#Headers],[Baseline Annual Energy Cost (USD)]:[Code Oil Annual Consumption (MMBtu)]],0))</f>
        <v>2758.6816847645832</v>
      </c>
      <c r="L23" s="202">
        <f>INDEX($K$37:$AF$1048576,MATCH(Tbl_BaselineSummary[[#This Row],[Baseline ID]:[Baseline ID]],$J$37:$J$1048576,0),MATCH(Tbl_BaselineSummary[[#Headers],[Baseline Electric Annual Consumption  (kWh)]],Tbl_BaselineSummary[[#Headers],[Baseline Annual Energy Cost (USD)]:[Code Oil Annual Consumption (MMBtu)]],0))</f>
        <v>230</v>
      </c>
      <c r="M23" s="202" t="str">
        <f>INDEX($K$37:$AF$1048576,MATCH(Tbl_BaselineSummary[[#This Row],[Baseline ID]:[Baseline ID]],$J$37:$J$1048576,0),MATCH(Tbl_BaselineSummary[[#Headers],[Baseline Electric Winter Consumption (kWh)]],Tbl_BaselineSummary[[#Headers],[Baseline Annual Energy Cost (USD)]:[Code Oil Annual Consumption (MMBtu)]],0))</f>
        <v>n/a</v>
      </c>
      <c r="N23" s="202" t="str">
        <f>INDEX($K$37:$AF$1048576,MATCH(Tbl_BaselineSummary[[#This Row],[Baseline ID]:[Baseline ID]],$J$37:$J$1048576,0),MATCH(Tbl_BaselineSummary[[#Headers],[Baseline Electric Summer Consumption (kWh)]],Tbl_BaselineSummary[[#Headers],[Baseline Annual Energy Cost (USD)]:[Code Oil Annual Consumption (MMBtu)]],0))</f>
        <v>n/a</v>
      </c>
      <c r="O23" s="152">
        <f>INDEX($K$37:$AF$1048576,MATCH(Tbl_BaselineSummary[[#This Row],[Baseline ID]:[Baseline ID]],$J$37:$J$1048576,0),MATCH(Tbl_BaselineSummary[[#Headers],[Baseline Electric Baseline Winter Peak Demand (kW)]],Tbl_BaselineSummary[[#Headers],[Baseline Annual Energy Cost (USD)]:[Code Oil Annual Consumption (MMBtu)]],0))</f>
        <v>3.5282837967401733E-2</v>
      </c>
      <c r="P23" s="152">
        <f>INDEX($K$37:$AF$1048576,MATCH(Tbl_BaselineSummary[[#This Row],[Baseline ID]:[Baseline ID]],$J$37:$J$1048576,0),MATCH(Tbl_BaselineSummary[[#Headers],[Baseline Electric Baseline Summer Peak Demand (kW)]],Tbl_BaselineSummary[[#Headers],[Baseline Annual Energy Cost (USD)]:[Code Oil Annual Consumption (MMBtu)]],0))</f>
        <v>0</v>
      </c>
      <c r="Q23" s="27">
        <f>INDEX($K$37:$AF$1048576,MATCH(Tbl_BaselineSummary[[#This Row],[Baseline ID]:[Baseline ID]],$J$37:$J$1048576,0),MATCH(Tbl_BaselineSummary[[#Headers],[Baseline Natural Gas Annual Consumption  (therms)]],Tbl_BaselineSummary[[#Headers],[Baseline Annual Energy Cost (USD)]:[Code Oil Annual Consumption (MMBtu)]],0))</f>
        <v>0</v>
      </c>
      <c r="R23" s="153">
        <f>INDEX($K$37:$AF$1048576,MATCH(Tbl_BaselineSummary[[#This Row],[Baseline ID]:[Baseline ID]],$J$37:$J$1048576,0),MATCH(Tbl_BaselineSummary[[#Headers],[Baseline Propane Annual Consumption  (MMBtu)]],Tbl_BaselineSummary[[#Headers],[Baseline Annual Energy Cost (USD)]:[Code Oil Annual Consumption (MMBtu)]],0))</f>
        <v>0</v>
      </c>
      <c r="S23" s="215">
        <f>INDEX($K$37:$AF$1048576,MATCH(Tbl_BaselineSummary[[#This Row],[Baseline ID]:[Baseline ID]],$J$37:$J$1048576,0),MATCH(Tbl_BaselineSummary[[#Headers],[Baseline Oil Annual Consumption  (MMBtu)]],Tbl_BaselineSummary[[#Headers],[Baseline Annual Energy Cost (USD)]:[Code Oil Annual Consumption (MMBtu)]],0))</f>
        <v>120.80000000000001</v>
      </c>
      <c r="T23" s="216">
        <f>INDEX($K$37:$AF$1048576,MATCH(Tbl_BaselineSummary[[#This Row],[Baseline ID]:[Baseline ID]],$J$37:$J$1048576,0),MATCH(Tbl_BaselineSummary[[#Headers],[Code Annual Energy Cost (USD)]],Tbl_BaselineSummary[[#Headers],[Baseline Annual Energy Cost (USD)]:[Code Oil Annual Consumption (MMBtu)]],0))</f>
        <v>2467.9830042540925</v>
      </c>
      <c r="U23" s="254">
        <f>INDEX($K$37:$AF$1048576,MATCH(Tbl_BaselineSummary[[#This Row],[Baseline ID]:[Baseline ID]],$J$37:$J$1048576,0),MATCH(Tbl_BaselineSummary[[#Headers],[Code Installed Costs (USD)]],Tbl_BaselineSummary[[#Headers],[Baseline Annual Energy Cost (USD)]:[Code Oil Annual Consumption (MMBtu)]],0))</f>
        <v>7380.95</v>
      </c>
      <c r="V23" s="254">
        <f>INDEX($K$37:$AF$1048576,MATCH(Tbl_BaselineSummary[[#This Row],[Baseline ID]:[Baseline ID]],$J$37:$J$1048576,0),MATCH(Tbl_BaselineSummary[[#Headers],[Code A/C-only Installed Cost (USD)]],Tbl_BaselineSummary[[#Headers],[Baseline Annual Energy Cost (USD)]:[Code Oil Annual Consumption (MMBtu)]],0))</f>
        <v>0</v>
      </c>
      <c r="W23" s="201">
        <f>INDEX($K$37:$AF$1048576,MATCH(Tbl_BaselineSummary[[#This Row],[Baseline ID]:[Baseline ID]],$J$37:$J$1048576,0),MATCH(Tbl_BaselineSummary[[#Headers],[Deferred Replacement Credit (USD)]],Tbl_BaselineSummary[[#Headers],[Baseline Annual Energy Cost (USD)]:[Code Oil Annual Consumption (MMBtu)]],0))</f>
        <v>3177.0818630015465</v>
      </c>
      <c r="X23" s="201">
        <f>INDEX($K$37:$AF$1048576,MATCH(Tbl_BaselineSummary[[#This Row],[Baseline ID]:[Baseline ID]],$J$37:$J$1048576,0),MATCH(Tbl_BaselineSummary[[#Headers],[A/C-only Deferred Replacement Credit (USD)]],Tbl_BaselineSummary[[#Headers],[Baseline Annual Energy Cost (USD)]:[Code Oil Annual Consumption (MMBtu)]],0))</f>
        <v>0</v>
      </c>
      <c r="Y23" s="202">
        <f>INDEX($K$37:$AF$1048576,MATCH(Tbl_BaselineSummary[[#This Row],[Baseline ID]:[Baseline ID]],$J$37:$J$1048576,0),MATCH(Tbl_BaselineSummary[[#Headers],[Code Electric Annual Consumption (kWh)]],Tbl_BaselineSummary[[#Headers],[Baseline Annual Energy Cost (USD)]:[Code Oil Annual Consumption (MMBtu)]],0))</f>
        <v>230</v>
      </c>
      <c r="Z23" s="202" t="str">
        <f>INDEX($K$37:$AF$1048576,MATCH(Tbl_BaselineSummary[[#This Row],[Baseline ID]:[Baseline ID]],$J$37:$J$1048576,0),MATCH(Tbl_BaselineSummary[[#Headers],[Code Electric Winter Consumption (kWh)]],Tbl_BaselineSummary[[#Headers],[Baseline Annual Energy Cost (USD)]:[Code Oil Annual Consumption (MMBtu)]],0))</f>
        <v>n/a</v>
      </c>
      <c r="AA23" s="202" t="str">
        <f>INDEX($K$37:$AF$1048576,MATCH(Tbl_BaselineSummary[[#This Row],[Baseline ID]:[Baseline ID]],$J$37:$J$1048576,0),MATCH(Tbl_BaselineSummary[[#Headers],[Code Electric Summer Consumption (kWh)]],Tbl_BaselineSummary[[#Headers],[Baseline Annual Energy Cost (USD)]:[Code Oil Annual Consumption (MMBtu)]],0))</f>
        <v>n/a</v>
      </c>
      <c r="AB23" s="152">
        <f>INDEX($K$37:$AF$1048576,MATCH(Tbl_BaselineSummary[[#This Row],[Baseline ID]:[Baseline ID]],$J$37:$J$1048576,0),MATCH(Tbl_BaselineSummary[[#Headers],[Code Electric Winter Peak Demand (kW)]],Tbl_BaselineSummary[[#Headers],[Baseline Annual Energy Cost (USD)]:[Code Oil Annual Consumption (MMBtu)]],0))</f>
        <v>3.5282837967401733E-2</v>
      </c>
      <c r="AC23" s="152">
        <f>INDEX($K$37:$AF$1048576,MATCH(Tbl_BaselineSummary[[#This Row],[Baseline ID]:[Baseline ID]],$J$37:$J$1048576,0),MATCH(Tbl_BaselineSummary[[#Headers],[Code Electric Summer Peak Demand (kW)]],Tbl_BaselineSummary[[#Headers],[Baseline Annual Energy Cost (USD)]:[Code Oil Annual Consumption (MMBtu)]],0))</f>
        <v>0</v>
      </c>
      <c r="AD23" s="84">
        <f>INDEX($K$37:$AF$1048576,MATCH(Tbl_BaselineSummary[[#This Row],[Baseline ID]:[Baseline ID]],$J$37:$J$1048576,0),MATCH(Tbl_BaselineSummary[[#Headers],[Code Natural Gas Annual Consumption (therms)]],Tbl_BaselineSummary[[#Headers],[Baseline Annual Energy Cost (USD)]:[Code Oil Annual Consumption (MMBtu)]],0))</f>
        <v>0</v>
      </c>
      <c r="AE23" s="153">
        <f>INDEX($K$37:$AF$1048576,MATCH(Tbl_BaselineSummary[[#This Row],[Baseline ID]:[Baseline ID]],$J$37:$J$1048576,0),MATCH(Tbl_BaselineSummary[[#Headers],[Code Propane Annual Consumption (MMBtu)]],Tbl_BaselineSummary[[#Headers],[Baseline Annual Energy Cost (USD)]:[Code Oil Annual Consumption (MMBtu)]],0))</f>
        <v>0</v>
      </c>
      <c r="AF23" s="219">
        <f>INDEX($K$37:$AF$1048576,MATCH(Tbl_BaselineSummary[[#This Row],[Baseline ID]:[Baseline ID]],$J$37:$J$1048576,0),MATCH(Tbl_BaselineSummary[[#Headers],[Code Oil Annual Consumption (MMBtu)]],Tbl_BaselineSummary[[#Headers],[Baseline Annual Energy Cost (USD)]:[Code Oil Annual Consumption (MMBtu)]],0))</f>
        <v>107.85714285714288</v>
      </c>
    </row>
    <row r="24" spans="2:32" x14ac:dyDescent="0.2">
      <c r="B24" s="16"/>
      <c r="C24" s="2" t="s">
        <v>238</v>
      </c>
      <c r="D24" s="3" t="s">
        <v>46</v>
      </c>
      <c r="E24" s="11" t="str">
        <f>INDEX(Tbl_EquipmentDefinitions[Equipment Name],MATCH('Baseline Calculations'!$D24,Tbl_EquipmentDefinitions[Equipment ID],0))</f>
        <v>Propane Combination Boiler</v>
      </c>
      <c r="F24" s="12" t="str">
        <f>INDEX(Tbl_EquipmentDefinitions[Function],MATCH('Baseline Calculations'!$D24,Tbl_EquipmentDefinitions[Equipment ID],0))</f>
        <v>Heat+HW</v>
      </c>
      <c r="G24" s="204">
        <f>COMBO_BOILER_HEATING_LOAD</f>
        <v>62.12700000000001</v>
      </c>
      <c r="H24" s="291">
        <f t="shared" si="0"/>
        <v>13.072800000000001</v>
      </c>
      <c r="I24" s="503">
        <f>PROPANE_WATER_HEATING_LOAD</f>
        <v>11.3</v>
      </c>
      <c r="J24" s="99" t="str">
        <f>INDEX(Tbl_EquipmentDefinitions[Fuel Type],MATCH(Tbl_BaselineSummary[[#This Row],[Equipment ID]],Tbl_EquipmentDefinitions[Equipment ID],0))</f>
        <v>Propane</v>
      </c>
      <c r="K24" s="216">
        <f>INDEX($K$37:$AF$1048576,MATCH(Tbl_BaselineSummary[[#This Row],[Baseline ID]:[Baseline ID]],$J$37:$J$1048576,0),MATCH(Tbl_BaselineSummary[[#Headers],[Baseline Annual Energy Cost (USD)]],Tbl_BaselineSummary[[#Headers],[Baseline Annual Energy Cost (USD)]:[Code Oil Annual Consumption (MMBtu)]],0))</f>
        <v>3448.9949028815445</v>
      </c>
      <c r="L24" s="202">
        <f>INDEX($K$37:$AF$1048576,MATCH(Tbl_BaselineSummary[[#This Row],[Baseline ID]:[Baseline ID]],$J$37:$J$1048576,0),MATCH(Tbl_BaselineSummary[[#Headers],[Baseline Electric Annual Consumption  (kWh)]],Tbl_BaselineSummary[[#Headers],[Baseline Annual Energy Cost (USD)]:[Code Oil Annual Consumption (MMBtu)]],0))</f>
        <v>197</v>
      </c>
      <c r="M24" s="202" t="str">
        <f>INDEX($K$37:$AF$1048576,MATCH(Tbl_BaselineSummary[[#This Row],[Baseline ID]:[Baseline ID]],$J$37:$J$1048576,0),MATCH(Tbl_BaselineSummary[[#Headers],[Baseline Electric Winter Consumption (kWh)]],Tbl_BaselineSummary[[#Headers],[Baseline Annual Energy Cost (USD)]:[Code Oil Annual Consumption (MMBtu)]],0))</f>
        <v>n/a</v>
      </c>
      <c r="N24" s="202" t="str">
        <f>INDEX($K$37:$AF$1048576,MATCH(Tbl_BaselineSummary[[#This Row],[Baseline ID]:[Baseline ID]],$J$37:$J$1048576,0),MATCH(Tbl_BaselineSummary[[#Headers],[Baseline Electric Summer Consumption (kWh)]],Tbl_BaselineSummary[[#Headers],[Baseline Annual Energy Cost (USD)]:[Code Oil Annual Consumption (MMBtu)]],0))</f>
        <v>n/a</v>
      </c>
      <c r="O24" s="152">
        <f>INDEX($K$37:$AF$1048576,MATCH(Tbl_BaselineSummary[[#This Row],[Baseline ID]:[Baseline ID]],$J$37:$J$1048576,0),MATCH(Tbl_BaselineSummary[[#Headers],[Baseline Electric Baseline Winter Peak Demand (kW)]],Tbl_BaselineSummary[[#Headers],[Baseline Annual Energy Cost (USD)]:[Code Oil Annual Consumption (MMBtu)]],0))</f>
        <v>3.0220517737296261E-2</v>
      </c>
      <c r="P24" s="152">
        <f>INDEX($K$37:$AF$1048576,MATCH(Tbl_BaselineSummary[[#This Row],[Baseline ID]:[Baseline ID]],$J$37:$J$1048576,0),MATCH(Tbl_BaselineSummary[[#Headers],[Baseline Electric Baseline Summer Peak Demand (kW)]],Tbl_BaselineSummary[[#Headers],[Baseline Annual Energy Cost (USD)]:[Code Oil Annual Consumption (MMBtu)]],0))</f>
        <v>0</v>
      </c>
      <c r="Q24" s="27">
        <f>INDEX($K$37:$AF$1048576,MATCH(Tbl_BaselineSummary[[#This Row],[Baseline ID]:[Baseline ID]],$J$37:$J$1048576,0),MATCH(Tbl_BaselineSummary[[#Headers],[Baseline Natural Gas Annual Consumption  (therms)]],Tbl_BaselineSummary[[#Headers],[Baseline Annual Energy Cost (USD)]:[Code Oil Annual Consumption (MMBtu)]],0))</f>
        <v>0</v>
      </c>
      <c r="R24" s="153">
        <f>INDEX($K$37:$AF$1048576,MATCH(Tbl_BaselineSummary[[#This Row],[Baseline ID]:[Baseline ID]],$J$37:$J$1048576,0),MATCH(Tbl_BaselineSummary[[#Headers],[Baseline Propane Annual Consumption  (MMBtu)]],Tbl_BaselineSummary[[#Headers],[Baseline Annual Energy Cost (USD)]:[Code Oil Annual Consumption (MMBtu)]],0))</f>
        <v>94.866925064599485</v>
      </c>
      <c r="S24" s="215">
        <f>INDEX($K$37:$AF$1048576,MATCH(Tbl_BaselineSummary[[#This Row],[Baseline ID]:[Baseline ID]],$J$37:$J$1048576,0),MATCH(Tbl_BaselineSummary[[#Headers],[Baseline Oil Annual Consumption  (MMBtu)]],Tbl_BaselineSummary[[#Headers],[Baseline Annual Energy Cost (USD)]:[Code Oil Annual Consumption (MMBtu)]],0))</f>
        <v>0</v>
      </c>
      <c r="T24" s="216">
        <f>INDEX($K$37:$AF$1048576,MATCH(Tbl_BaselineSummary[[#This Row],[Baseline ID]:[Baseline ID]],$J$37:$J$1048576,0),MATCH(Tbl_BaselineSummary[[#Headers],[Code Annual Energy Cost (USD)]],Tbl_BaselineSummary[[#Headers],[Baseline Annual Energy Cost (USD)]:[Code Oil Annual Consumption (MMBtu)]],0))</f>
        <v>2971.5909404781287</v>
      </c>
      <c r="U24" s="254">
        <f>INDEX($K$37:$AF$1048576,MATCH(Tbl_BaselineSummary[[#This Row],[Baseline ID]:[Baseline ID]],$J$37:$J$1048576,0),MATCH(Tbl_BaselineSummary[[#Headers],[Code Installed Costs (USD)]],Tbl_BaselineSummary[[#Headers],[Baseline Annual Energy Cost (USD)]:[Code Oil Annual Consumption (MMBtu)]],0))</f>
        <v>10631</v>
      </c>
      <c r="V24" s="254">
        <f>INDEX($K$37:$AF$1048576,MATCH(Tbl_BaselineSummary[[#This Row],[Baseline ID]:[Baseline ID]],$J$37:$J$1048576,0),MATCH(Tbl_BaselineSummary[[#Headers],[Code A/C-only Installed Cost (USD)]],Tbl_BaselineSummary[[#Headers],[Baseline Annual Energy Cost (USD)]:[Code Oil Annual Consumption (MMBtu)]],0))</f>
        <v>0</v>
      </c>
      <c r="W24" s="201">
        <f>INDEX($K$37:$AF$1048576,MATCH(Tbl_BaselineSummary[[#This Row],[Baseline ID]:[Baseline ID]],$J$37:$J$1048576,0),MATCH(Tbl_BaselineSummary[[#Headers],[Deferred Replacement Credit (USD)]],Tbl_BaselineSummary[[#Headers],[Baseline Annual Energy Cost (USD)]:[Code Oil Annual Consumption (MMBtu)]],0))</f>
        <v>6218.0497230298324</v>
      </c>
      <c r="X24" s="201">
        <f>INDEX($K$37:$AF$1048576,MATCH(Tbl_BaselineSummary[[#This Row],[Baseline ID]:[Baseline ID]],$J$37:$J$1048576,0),MATCH(Tbl_BaselineSummary[[#Headers],[A/C-only Deferred Replacement Credit (USD)]],Tbl_BaselineSummary[[#Headers],[Baseline Annual Energy Cost (USD)]:[Code Oil Annual Consumption (MMBtu)]],0))</f>
        <v>0</v>
      </c>
      <c r="Y24" s="202">
        <f>INDEX($K$37:$AF$1048576,MATCH(Tbl_BaselineSummary[[#This Row],[Baseline ID]:[Baseline ID]],$J$37:$J$1048576,0),MATCH(Tbl_BaselineSummary[[#Headers],[Code Electric Annual Consumption (kWh)]],Tbl_BaselineSummary[[#Headers],[Baseline Annual Energy Cost (USD)]:[Code Oil Annual Consumption (MMBtu)]],0))</f>
        <v>197</v>
      </c>
      <c r="Z24" s="202" t="str">
        <f>INDEX($K$37:$AF$1048576,MATCH(Tbl_BaselineSummary[[#This Row],[Baseline ID]:[Baseline ID]],$J$37:$J$1048576,0),MATCH(Tbl_BaselineSummary[[#Headers],[Code Electric Winter Consumption (kWh)]],Tbl_BaselineSummary[[#Headers],[Baseline Annual Energy Cost (USD)]:[Code Oil Annual Consumption (MMBtu)]],0))</f>
        <v>n/a</v>
      </c>
      <c r="AA24" s="202" t="str">
        <f>INDEX($K$37:$AF$1048576,MATCH(Tbl_BaselineSummary[[#This Row],[Baseline ID]:[Baseline ID]],$J$37:$J$1048576,0),MATCH(Tbl_BaselineSummary[[#Headers],[Code Electric Summer Consumption (kWh)]],Tbl_BaselineSummary[[#Headers],[Baseline Annual Energy Cost (USD)]:[Code Oil Annual Consumption (MMBtu)]],0))</f>
        <v>n/a</v>
      </c>
      <c r="AB24" s="152">
        <f>INDEX($K$37:$AF$1048576,MATCH(Tbl_BaselineSummary[[#This Row],[Baseline ID]:[Baseline ID]],$J$37:$J$1048576,0),MATCH(Tbl_BaselineSummary[[#Headers],[Code Electric Winter Peak Demand (kW)]],Tbl_BaselineSummary[[#Headers],[Baseline Annual Energy Cost (USD)]:[Code Oil Annual Consumption (MMBtu)]],0))</f>
        <v>3.0220517737296261E-2</v>
      </c>
      <c r="AC24" s="152">
        <f>INDEX($K$37:$AF$1048576,MATCH(Tbl_BaselineSummary[[#This Row],[Baseline ID]:[Baseline ID]],$J$37:$J$1048576,0),MATCH(Tbl_BaselineSummary[[#Headers],[Code Electric Summer Peak Demand (kW)]],Tbl_BaselineSummary[[#Headers],[Baseline Annual Energy Cost (USD)]:[Code Oil Annual Consumption (MMBtu)]],0))</f>
        <v>0</v>
      </c>
      <c r="AD24" s="84">
        <f>INDEX($K$37:$AF$1048576,MATCH(Tbl_BaselineSummary[[#This Row],[Baseline ID]:[Baseline ID]],$J$37:$J$1048576,0),MATCH(Tbl_BaselineSummary[[#Headers],[Code Natural Gas Annual Consumption (therms)]],Tbl_BaselineSummary[[#Headers],[Baseline Annual Energy Cost (USD)]:[Code Oil Annual Consumption (MMBtu)]],0))</f>
        <v>0</v>
      </c>
      <c r="AE24" s="153">
        <f>INDEX($K$37:$AF$1048576,MATCH(Tbl_BaselineSummary[[#This Row],[Baseline ID]:[Baseline ID]],$J$37:$J$1048576,0),MATCH(Tbl_BaselineSummary[[#Headers],[Code Propane Annual Consumption (MMBtu)]],Tbl_BaselineSummary[[#Headers],[Baseline Annual Energy Cost (USD)]:[Code Oil Annual Consumption (MMBtu)]],0))</f>
        <v>81.585555555555558</v>
      </c>
      <c r="AF24" s="219">
        <f>INDEX($K$37:$AF$1048576,MATCH(Tbl_BaselineSummary[[#This Row],[Baseline ID]:[Baseline ID]],$J$37:$J$1048576,0),MATCH(Tbl_BaselineSummary[[#Headers],[Code Oil Annual Consumption (MMBtu)]],Tbl_BaselineSummary[[#Headers],[Baseline Annual Energy Cost (USD)]:[Code Oil Annual Consumption (MMBtu)]],0))</f>
        <v>0</v>
      </c>
    </row>
    <row r="25" spans="2:32" x14ac:dyDescent="0.2">
      <c r="B25" s="16"/>
      <c r="C25" s="2" t="s">
        <v>239</v>
      </c>
      <c r="D25" s="3" t="s">
        <v>47</v>
      </c>
      <c r="E25" s="11" t="str">
        <f>INDEX(Tbl_EquipmentDefinitions[Equipment Name],MATCH('Baseline Calculations'!$D25,Tbl_EquipmentDefinitions[Equipment ID],0))</f>
        <v>Oil Boiler+Storage WH</v>
      </c>
      <c r="F25" s="12" t="str">
        <f>INDEX(Tbl_EquipmentDefinitions[Function],MATCH('Baseline Calculations'!$D25,Tbl_EquipmentDefinitions[Equipment ID],0))</f>
        <v>Heat+HW</v>
      </c>
      <c r="G25" s="291">
        <f t="shared" si="1"/>
        <v>76.7</v>
      </c>
      <c r="H25" s="291">
        <f t="shared" si="0"/>
        <v>13.072800000000001</v>
      </c>
      <c r="I25" s="291">
        <f>GAS_OIL_WATER_HEATING_LOAD</f>
        <v>13.9</v>
      </c>
      <c r="J25" s="99" t="str">
        <f>INDEX(Tbl_EquipmentDefinitions[Fuel Type],MATCH(Tbl_BaselineSummary[[#This Row],[Equipment ID]],Tbl_EquipmentDefinitions[Equipment ID],0))</f>
        <v>Oil</v>
      </c>
      <c r="K25" s="216">
        <f>INDEX($K$37:$AF$1048576,MATCH(Tbl_BaselineSummary[[#This Row],[Baseline ID]:[Baseline ID]],$J$37:$J$1048576,0),MATCH(Tbl_BaselineSummary[[#Headers],[Baseline Annual Energy Cost (USD)]],Tbl_BaselineSummary[[#Headers],[Baseline Annual Energy Cost (USD)]:[Code Oil Annual Consumption (MMBtu)]],0))</f>
        <v>2880.6894205318572</v>
      </c>
      <c r="L25" s="202">
        <f>INDEX($K$37:$AF$1048576,MATCH(Tbl_BaselineSummary[[#This Row],[Baseline ID]:[Baseline ID]],$J$37:$J$1048576,0),MATCH(Tbl_BaselineSummary[[#Headers],[Baseline Electric Annual Consumption  (kWh)]],Tbl_BaselineSummary[[#Headers],[Baseline Annual Energy Cost (USD)]:[Code Oil Annual Consumption (MMBtu)]],0))</f>
        <v>230</v>
      </c>
      <c r="M25" s="202" t="str">
        <f>INDEX($K$37:$AF$1048576,MATCH(Tbl_BaselineSummary[[#This Row],[Baseline ID]:[Baseline ID]],$J$37:$J$1048576,0),MATCH(Tbl_BaselineSummary[[#Headers],[Baseline Electric Winter Consumption (kWh)]],Tbl_BaselineSummary[[#Headers],[Baseline Annual Energy Cost (USD)]:[Code Oil Annual Consumption (MMBtu)]],0))</f>
        <v>n/a</v>
      </c>
      <c r="N25" s="202" t="str">
        <f>INDEX($K$37:$AF$1048576,MATCH(Tbl_BaselineSummary[[#This Row],[Baseline ID]:[Baseline ID]],$J$37:$J$1048576,0),MATCH(Tbl_BaselineSummary[[#Headers],[Baseline Electric Summer Consumption (kWh)]],Tbl_BaselineSummary[[#Headers],[Baseline Annual Energy Cost (USD)]:[Code Oil Annual Consumption (MMBtu)]],0))</f>
        <v>n/a</v>
      </c>
      <c r="O25" s="152">
        <f>INDEX($K$37:$AF$1048576,MATCH(Tbl_BaselineSummary[[#This Row],[Baseline ID]:[Baseline ID]],$J$37:$J$1048576,0),MATCH(Tbl_BaselineSummary[[#Headers],[Baseline Electric Baseline Winter Peak Demand (kW)]],Tbl_BaselineSummary[[#Headers],[Baseline Annual Energy Cost (USD)]:[Code Oil Annual Consumption (MMBtu)]],0))</f>
        <v>3.5282837967401733E-2</v>
      </c>
      <c r="P25" s="152">
        <f>INDEX($K$37:$AF$1048576,MATCH(Tbl_BaselineSummary[[#This Row],[Baseline ID]:[Baseline ID]],$J$37:$J$1048576,0),MATCH(Tbl_BaselineSummary[[#Headers],[Baseline Electric Baseline Summer Peak Demand (kW)]],Tbl_BaselineSummary[[#Headers],[Baseline Annual Energy Cost (USD)]:[Code Oil Annual Consumption (MMBtu)]],0))</f>
        <v>0</v>
      </c>
      <c r="Q25" s="27">
        <f>INDEX($K$37:$AF$1048576,MATCH(Tbl_BaselineSummary[[#This Row],[Baseline ID]:[Baseline ID]],$J$37:$J$1048576,0),MATCH(Tbl_BaselineSummary[[#Headers],[Baseline Natural Gas Annual Consumption  (therms)]],Tbl_BaselineSummary[[#Headers],[Baseline Annual Energy Cost (USD)]:[Code Oil Annual Consumption (MMBtu)]],0))</f>
        <v>0</v>
      </c>
      <c r="R25" s="153">
        <f>INDEX($K$37:$AF$1048576,MATCH(Tbl_BaselineSummary[[#This Row],[Baseline ID]:[Baseline ID]],$J$37:$J$1048576,0),MATCH(Tbl_BaselineSummary[[#Headers],[Baseline Propane Annual Consumption  (MMBtu)]],Tbl_BaselineSummary[[#Headers],[Baseline Annual Energy Cost (USD)]:[Code Oil Annual Consumption (MMBtu)]],0))</f>
        <v>0</v>
      </c>
      <c r="S25" s="215">
        <f>INDEX($K$37:$AF$1048576,MATCH(Tbl_BaselineSummary[[#This Row],[Baseline ID]:[Baseline ID]],$J$37:$J$1048576,0),MATCH(Tbl_BaselineSummary[[#Headers],[Baseline Oil Annual Consumption  (MMBtu)]],Tbl_BaselineSummary[[#Headers],[Baseline Annual Energy Cost (USD)]:[Code Oil Annual Consumption (MMBtu)]],0))</f>
        <v>126.23218390804598</v>
      </c>
      <c r="T25" s="216">
        <f>INDEX($K$37:$AF$1048576,MATCH(Tbl_BaselineSummary[[#This Row],[Baseline ID]:[Baseline ID]],$J$37:$J$1048576,0),MATCH(Tbl_BaselineSummary[[#Headers],[Code Annual Energy Cost (USD)]],Tbl_BaselineSummary[[#Headers],[Baseline Annual Energy Cost (USD)]:[Code Oil Annual Consumption (MMBtu)]],0))</f>
        <v>2599.8631469410007</v>
      </c>
      <c r="U25" s="254">
        <f>INDEX($K$37:$AF$1048576,MATCH(Tbl_BaselineSummary[[#This Row],[Baseline ID]:[Baseline ID]],$J$37:$J$1048576,0),MATCH(Tbl_BaselineSummary[[#Headers],[Code Installed Costs (USD)]],Tbl_BaselineSummary[[#Headers],[Baseline Annual Energy Cost (USD)]:[Code Oil Annual Consumption (MMBtu)]],0))</f>
        <v>8616</v>
      </c>
      <c r="V25" s="254">
        <f>INDEX($K$37:$AF$1048576,MATCH(Tbl_BaselineSummary[[#This Row],[Baseline ID]:[Baseline ID]],$J$37:$J$1048576,0),MATCH(Tbl_BaselineSummary[[#Headers],[Code A/C-only Installed Cost (USD)]],Tbl_BaselineSummary[[#Headers],[Baseline Annual Energy Cost (USD)]:[Code Oil Annual Consumption (MMBtu)]],0))</f>
        <v>0</v>
      </c>
      <c r="W25" s="201">
        <f>INDEX($K$37:$AF$1048576,MATCH(Tbl_BaselineSummary[[#This Row],[Baseline ID]:[Baseline ID]],$J$37:$J$1048576,0),MATCH(Tbl_BaselineSummary[[#Headers],[Deferred Replacement Credit (USD)]],Tbl_BaselineSummary[[#Headers],[Baseline Annual Energy Cost (USD)]:[Code Oil Annual Consumption (MMBtu)]],0))</f>
        <v>3708.7010928974355</v>
      </c>
      <c r="X25" s="201">
        <f>INDEX($K$37:$AF$1048576,MATCH(Tbl_BaselineSummary[[#This Row],[Baseline ID]:[Baseline ID]],$J$37:$J$1048576,0),MATCH(Tbl_BaselineSummary[[#Headers],[A/C-only Deferred Replacement Credit (USD)]],Tbl_BaselineSummary[[#Headers],[Baseline Annual Energy Cost (USD)]:[Code Oil Annual Consumption (MMBtu)]],0))</f>
        <v>0</v>
      </c>
      <c r="Y25" s="202">
        <f>INDEX($K$37:$AF$1048576,MATCH(Tbl_BaselineSummary[[#This Row],[Baseline ID]:[Baseline ID]],$J$37:$J$1048576,0),MATCH(Tbl_BaselineSummary[[#Headers],[Code Electric Annual Consumption (kWh)]],Tbl_BaselineSummary[[#Headers],[Baseline Annual Energy Cost (USD)]:[Code Oil Annual Consumption (MMBtu)]],0))</f>
        <v>230</v>
      </c>
      <c r="Z25" s="202" t="str">
        <f>INDEX($K$37:$AF$1048576,MATCH(Tbl_BaselineSummary[[#This Row],[Baseline ID]:[Baseline ID]],$J$37:$J$1048576,0),MATCH(Tbl_BaselineSummary[[#Headers],[Code Electric Winter Consumption (kWh)]],Tbl_BaselineSummary[[#Headers],[Baseline Annual Energy Cost (USD)]:[Code Oil Annual Consumption (MMBtu)]],0))</f>
        <v>n/a</v>
      </c>
      <c r="AA25" s="202" t="str">
        <f>INDEX($K$37:$AF$1048576,MATCH(Tbl_BaselineSummary[[#This Row],[Baseline ID]:[Baseline ID]],$J$37:$J$1048576,0),MATCH(Tbl_BaselineSummary[[#Headers],[Code Electric Summer Consumption (kWh)]],Tbl_BaselineSummary[[#Headers],[Baseline Annual Energy Cost (USD)]:[Code Oil Annual Consumption (MMBtu)]],0))</f>
        <v>n/a</v>
      </c>
      <c r="AB25" s="152">
        <f>INDEX($K$37:$AF$1048576,MATCH(Tbl_BaselineSummary[[#This Row],[Baseline ID]:[Baseline ID]],$J$37:$J$1048576,0),MATCH(Tbl_BaselineSummary[[#Headers],[Code Electric Winter Peak Demand (kW)]],Tbl_BaselineSummary[[#Headers],[Baseline Annual Energy Cost (USD)]:[Code Oil Annual Consumption (MMBtu)]],0))</f>
        <v>3.5282837967401733E-2</v>
      </c>
      <c r="AC25" s="152">
        <f>INDEX($K$37:$AF$1048576,MATCH(Tbl_BaselineSummary[[#This Row],[Baseline ID]:[Baseline ID]],$J$37:$J$1048576,0),MATCH(Tbl_BaselineSummary[[#Headers],[Code Electric Summer Peak Demand (kW)]],Tbl_BaselineSummary[[#Headers],[Baseline Annual Energy Cost (USD)]:[Code Oil Annual Consumption (MMBtu)]],0))</f>
        <v>0</v>
      </c>
      <c r="AD25" s="84">
        <f>INDEX($K$37:$AF$1048576,MATCH(Tbl_BaselineSummary[[#This Row],[Baseline ID]:[Baseline ID]],$J$37:$J$1048576,0),MATCH(Tbl_BaselineSummary[[#Headers],[Code Natural Gas Annual Consumption (therms)]],Tbl_BaselineSummary[[#Headers],[Baseline Annual Energy Cost (USD)]:[Code Oil Annual Consumption (MMBtu)]],0))</f>
        <v>0</v>
      </c>
      <c r="AE25" s="153">
        <f>INDEX($K$37:$AF$1048576,MATCH(Tbl_BaselineSummary[[#This Row],[Baseline ID]:[Baseline ID]],$J$37:$J$1048576,0),MATCH(Tbl_BaselineSummary[[#Headers],[Code Propane Annual Consumption (MMBtu)]],Tbl_BaselineSummary[[#Headers],[Baseline Annual Energy Cost (USD)]:[Code Oil Annual Consumption (MMBtu)]],0))</f>
        <v>0</v>
      </c>
      <c r="AF25" s="219">
        <f>INDEX($K$37:$AF$1048576,MATCH(Tbl_BaselineSummary[[#This Row],[Baseline ID]:[Baseline ID]],$J$37:$J$1048576,0),MATCH(Tbl_BaselineSummary[[#Headers],[Code Oil Annual Consumption (MMBtu)]],Tbl_BaselineSummary[[#Headers],[Baseline Annual Energy Cost (USD)]:[Code Oil Annual Consumption (MMBtu)]],0))</f>
        <v>113.72887864823349</v>
      </c>
    </row>
    <row r="26" spans="2:32" x14ac:dyDescent="0.2">
      <c r="B26" s="16"/>
      <c r="C26" s="2" t="s">
        <v>240</v>
      </c>
      <c r="D26" s="3" t="s">
        <v>48</v>
      </c>
      <c r="E26" s="11" t="str">
        <f>INDEX(Tbl_EquipmentDefinitions[Equipment Name],MATCH('Baseline Calculations'!$D26,Tbl_EquipmentDefinitions[Equipment ID],0))</f>
        <v>Propane Boiler+Storage WH</v>
      </c>
      <c r="F26" s="12" t="str">
        <f>INDEX(Tbl_EquipmentDefinitions[Function],MATCH('Baseline Calculations'!$D26,Tbl_EquipmentDefinitions[Equipment ID],0))</f>
        <v>Heat+HW</v>
      </c>
      <c r="G26" s="291">
        <f t="shared" si="1"/>
        <v>76.7</v>
      </c>
      <c r="H26" s="291">
        <f t="shared" si="0"/>
        <v>13.072800000000001</v>
      </c>
      <c r="I26" s="503">
        <f>PROPANE_WATER_HEATING_LOAD</f>
        <v>11.3</v>
      </c>
      <c r="J26" s="99" t="str">
        <f>INDEX(Tbl_EquipmentDefinitions[Fuel Type],MATCH(Tbl_BaselineSummary[[#This Row],[Equipment ID]],Tbl_EquipmentDefinitions[Equipment ID],0))</f>
        <v>Propane</v>
      </c>
      <c r="K26" s="216">
        <f>INDEX($K$37:$AF$1048576,MATCH(Tbl_BaselineSummary[[#This Row],[Baseline ID]:[Baseline ID]],$J$37:$J$1048576,0),MATCH(Tbl_BaselineSummary[[#Headers],[Baseline Annual Energy Cost (USD)]],Tbl_BaselineSummary[[#Headers],[Baseline Annual Energy Cost (USD)]:[Code Oil Annual Consumption (MMBtu)]],0))</f>
        <v>4415.2967678297091</v>
      </c>
      <c r="L26" s="202">
        <f>INDEX($K$37:$AF$1048576,MATCH(Tbl_BaselineSummary[[#This Row],[Baseline ID]:[Baseline ID]],$J$37:$J$1048576,0),MATCH(Tbl_BaselineSummary[[#Headers],[Baseline Electric Annual Consumption  (kWh)]],Tbl_BaselineSummary[[#Headers],[Baseline Annual Energy Cost (USD)]:[Code Oil Annual Consumption (MMBtu)]],0))</f>
        <v>197</v>
      </c>
      <c r="M26" s="202" t="str">
        <f>INDEX($K$37:$AF$1048576,MATCH(Tbl_BaselineSummary[[#This Row],[Baseline ID]:[Baseline ID]],$J$37:$J$1048576,0),MATCH(Tbl_BaselineSummary[[#Headers],[Baseline Electric Winter Consumption (kWh)]],Tbl_BaselineSummary[[#Headers],[Baseline Annual Energy Cost (USD)]:[Code Oil Annual Consumption (MMBtu)]],0))</f>
        <v>n/a</v>
      </c>
      <c r="N26" s="202" t="str">
        <f>INDEX($K$37:$AF$1048576,MATCH(Tbl_BaselineSummary[[#This Row],[Baseline ID]:[Baseline ID]],$J$37:$J$1048576,0),MATCH(Tbl_BaselineSummary[[#Headers],[Baseline Electric Summer Consumption (kWh)]],Tbl_BaselineSummary[[#Headers],[Baseline Annual Energy Cost (USD)]:[Code Oil Annual Consumption (MMBtu)]],0))</f>
        <v>n/a</v>
      </c>
      <c r="O26" s="152">
        <f>INDEX($K$37:$AF$1048576,MATCH(Tbl_BaselineSummary[[#This Row],[Baseline ID]:[Baseline ID]],$J$37:$J$1048576,0),MATCH(Tbl_BaselineSummary[[#Headers],[Baseline Electric Baseline Winter Peak Demand (kW)]],Tbl_BaselineSummary[[#Headers],[Baseline Annual Energy Cost (USD)]:[Code Oil Annual Consumption (MMBtu)]],0))</f>
        <v>3.0220517737296261E-2</v>
      </c>
      <c r="P26" s="152">
        <f>INDEX($K$37:$AF$1048576,MATCH(Tbl_BaselineSummary[[#This Row],[Baseline ID]:[Baseline ID]],$J$37:$J$1048576,0),MATCH(Tbl_BaselineSummary[[#Headers],[Baseline Electric Baseline Summer Peak Demand (kW)]],Tbl_BaselineSummary[[#Headers],[Baseline Annual Energy Cost (USD)]:[Code Oil Annual Consumption (MMBtu)]],0))</f>
        <v>0</v>
      </c>
      <c r="Q26" s="27">
        <f>INDEX($K$37:$AF$1048576,MATCH(Tbl_BaselineSummary[[#This Row],[Baseline ID]:[Baseline ID]],$J$37:$J$1048576,0),MATCH(Tbl_BaselineSummary[[#Headers],[Baseline Natural Gas Annual Consumption  (therms)]],Tbl_BaselineSummary[[#Headers],[Baseline Annual Energy Cost (USD)]:[Code Oil Annual Consumption (MMBtu)]],0))</f>
        <v>0</v>
      </c>
      <c r="R26" s="153">
        <f>INDEX($K$37:$AF$1048576,MATCH(Tbl_BaselineSummary[[#This Row],[Baseline ID]:[Baseline ID]],$J$37:$J$1048576,0),MATCH(Tbl_BaselineSummary[[#Headers],[Baseline Propane Annual Consumption  (MMBtu)]],Tbl_BaselineSummary[[#Headers],[Baseline Annual Energy Cost (USD)]:[Code Oil Annual Consumption (MMBtu)]],0))</f>
        <v>121.74942528735633</v>
      </c>
      <c r="S26" s="215">
        <f>INDEX($K$37:$AF$1048576,MATCH(Tbl_BaselineSummary[[#This Row],[Baseline ID]:[Baseline ID]],$J$37:$J$1048576,0),MATCH(Tbl_BaselineSummary[[#Headers],[Baseline Oil Annual Consumption  (MMBtu)]],Tbl_BaselineSummary[[#Headers],[Baseline Annual Energy Cost (USD)]:[Code Oil Annual Consumption (MMBtu)]],0))</f>
        <v>0</v>
      </c>
      <c r="T26" s="216">
        <f>INDEX($K$37:$AF$1048576,MATCH(Tbl_BaselineSummary[[#This Row],[Baseline ID]:[Baseline ID]],$J$37:$J$1048576,0),MATCH(Tbl_BaselineSummary[[#Headers],[Code Annual Energy Cost (USD)]],Tbl_BaselineSummary[[#Headers],[Baseline Annual Energy Cost (USD)]:[Code Oil Annual Consumption (MMBtu)]],0))</f>
        <v>4170.7851995687824</v>
      </c>
      <c r="U26" s="254">
        <f>INDEX($K$37:$AF$1048576,MATCH(Tbl_BaselineSummary[[#This Row],[Baseline ID]:[Baseline ID]],$J$37:$J$1048576,0),MATCH(Tbl_BaselineSummary[[#Headers],[Code Installed Costs (USD)]],Tbl_BaselineSummary[[#Headers],[Baseline Annual Energy Cost (USD)]:[Code Oil Annual Consumption (MMBtu)]],0))</f>
        <v>8248</v>
      </c>
      <c r="V26" s="254">
        <f>INDEX($K$37:$AF$1048576,MATCH(Tbl_BaselineSummary[[#This Row],[Baseline ID]:[Baseline ID]],$J$37:$J$1048576,0),MATCH(Tbl_BaselineSummary[[#Headers],[Code A/C-only Installed Cost (USD)]],Tbl_BaselineSummary[[#Headers],[Baseline Annual Energy Cost (USD)]:[Code Oil Annual Consumption (MMBtu)]],0))</f>
        <v>0</v>
      </c>
      <c r="W26" s="201">
        <f>INDEX($K$37:$AF$1048576,MATCH(Tbl_BaselineSummary[[#This Row],[Baseline ID]:[Baseline ID]],$J$37:$J$1048576,0),MATCH(Tbl_BaselineSummary[[#Headers],[Deferred Replacement Credit (USD)]],Tbl_BaselineSummary[[#Headers],[Baseline Annual Energy Cost (USD)]:[Code Oil Annual Consumption (MMBtu)]],0))</f>
        <v>3550.2978893010736</v>
      </c>
      <c r="X26" s="201">
        <f>INDEX($K$37:$AF$1048576,MATCH(Tbl_BaselineSummary[[#This Row],[Baseline ID]:[Baseline ID]],$J$37:$J$1048576,0),MATCH(Tbl_BaselineSummary[[#Headers],[A/C-only Deferred Replacement Credit (USD)]],Tbl_BaselineSummary[[#Headers],[Baseline Annual Energy Cost (USD)]:[Code Oil Annual Consumption (MMBtu)]],0))</f>
        <v>0</v>
      </c>
      <c r="Y26" s="202">
        <f>INDEX($K$37:$AF$1048576,MATCH(Tbl_BaselineSummary[[#This Row],[Baseline ID]:[Baseline ID]],$J$37:$J$1048576,0),MATCH(Tbl_BaselineSummary[[#Headers],[Code Electric Annual Consumption (kWh)]],Tbl_BaselineSummary[[#Headers],[Baseline Annual Energy Cost (USD)]:[Code Oil Annual Consumption (MMBtu)]],0))</f>
        <v>197</v>
      </c>
      <c r="Z26" s="202" t="str">
        <f>INDEX($K$37:$AF$1048576,MATCH(Tbl_BaselineSummary[[#This Row],[Baseline ID]:[Baseline ID]],$J$37:$J$1048576,0),MATCH(Tbl_BaselineSummary[[#Headers],[Code Electric Winter Consumption (kWh)]],Tbl_BaselineSummary[[#Headers],[Baseline Annual Energy Cost (USD)]:[Code Oil Annual Consumption (MMBtu)]],0))</f>
        <v>n/a</v>
      </c>
      <c r="AA26" s="202" t="str">
        <f>INDEX($K$37:$AF$1048576,MATCH(Tbl_BaselineSummary[[#This Row],[Baseline ID]:[Baseline ID]],$J$37:$J$1048576,0),MATCH(Tbl_BaselineSummary[[#Headers],[Code Electric Summer Consumption (kWh)]],Tbl_BaselineSummary[[#Headers],[Baseline Annual Energy Cost (USD)]:[Code Oil Annual Consumption (MMBtu)]],0))</f>
        <v>n/a</v>
      </c>
      <c r="AB26" s="152">
        <f>INDEX($K$37:$AF$1048576,MATCH(Tbl_BaselineSummary[[#This Row],[Baseline ID]:[Baseline ID]],$J$37:$J$1048576,0),MATCH(Tbl_BaselineSummary[[#Headers],[Code Electric Winter Peak Demand (kW)]],Tbl_BaselineSummary[[#Headers],[Baseline Annual Energy Cost (USD)]:[Code Oil Annual Consumption (MMBtu)]],0))</f>
        <v>3.0220517737296261E-2</v>
      </c>
      <c r="AC26" s="152">
        <f>INDEX($K$37:$AF$1048576,MATCH(Tbl_BaselineSummary[[#This Row],[Baseline ID]:[Baseline ID]],$J$37:$J$1048576,0),MATCH(Tbl_BaselineSummary[[#Headers],[Code Electric Summer Peak Demand (kW)]],Tbl_BaselineSummary[[#Headers],[Baseline Annual Energy Cost (USD)]:[Code Oil Annual Consumption (MMBtu)]],0))</f>
        <v>0</v>
      </c>
      <c r="AD26" s="84">
        <f>INDEX($K$37:$AF$1048576,MATCH(Tbl_BaselineSummary[[#This Row],[Baseline ID]:[Baseline ID]],$J$37:$J$1048576,0),MATCH(Tbl_BaselineSummary[[#Headers],[Code Natural Gas Annual Consumption (therms)]],Tbl_BaselineSummary[[#Headers],[Baseline Annual Energy Cost (USD)]:[Code Oil Annual Consumption (MMBtu)]],0))</f>
        <v>0</v>
      </c>
      <c r="AE26" s="153">
        <f>INDEX($K$37:$AF$1048576,MATCH(Tbl_BaselineSummary[[#This Row],[Baseline ID]:[Baseline ID]],$J$37:$J$1048576,0),MATCH(Tbl_BaselineSummary[[#Headers],[Code Propane Annual Consumption (MMBtu)]],Tbl_BaselineSummary[[#Headers],[Baseline Annual Energy Cost (USD)]:[Code Oil Annual Consumption (MMBtu)]],0))</f>
        <v>114.94711792702273</v>
      </c>
      <c r="AF26" s="219">
        <f>INDEX($K$37:$AF$1048576,MATCH(Tbl_BaselineSummary[[#This Row],[Baseline ID]:[Baseline ID]],$J$37:$J$1048576,0),MATCH(Tbl_BaselineSummary[[#Headers],[Code Oil Annual Consumption (MMBtu)]],Tbl_BaselineSummary[[#Headers],[Baseline Annual Energy Cost (USD)]:[Code Oil Annual Consumption (MMBtu)]],0))</f>
        <v>0</v>
      </c>
    </row>
    <row r="27" spans="2:32" x14ac:dyDescent="0.2">
      <c r="B27" s="16"/>
      <c r="C27" s="2" t="s">
        <v>241</v>
      </c>
      <c r="D27" s="3" t="s">
        <v>49</v>
      </c>
      <c r="E27" s="11" t="str">
        <f>INDEX(Tbl_EquipmentDefinitions[Equipment Name],MATCH('Baseline Calculations'!$D27,Tbl_EquipmentDefinitions[Equipment ID],0))</f>
        <v>Oil Storage WH</v>
      </c>
      <c r="F27" s="12" t="str">
        <f>INDEX(Tbl_EquipmentDefinitions[Function],MATCH('Baseline Calculations'!$D27,Tbl_EquipmentDefinitions[Equipment ID],0))</f>
        <v>HW</v>
      </c>
      <c r="G27" s="291">
        <f t="shared" si="1"/>
        <v>76.7</v>
      </c>
      <c r="H27" s="291">
        <f t="shared" si="0"/>
        <v>13.072800000000001</v>
      </c>
      <c r="I27" s="291">
        <f>GAS_OIL_WATER_HEATING_LOAD</f>
        <v>13.9</v>
      </c>
      <c r="J27" s="99" t="str">
        <f>INDEX(Tbl_EquipmentDefinitions[Fuel Type],MATCH(Tbl_BaselineSummary[[#This Row],[Equipment ID]],Tbl_EquipmentDefinitions[Equipment ID],0))</f>
        <v>Oil</v>
      </c>
      <c r="K27" s="216">
        <f>INDEX($K$37:$AF$1048576,MATCH(Tbl_BaselineSummary[[#This Row],[Baseline ID]:[Baseline ID]],$J$37:$J$1048576,0),MATCH(Tbl_BaselineSummary[[#Headers],[Baseline Annual Energy Cost (USD)]],Tbl_BaselineSummary[[#Headers],[Baseline Annual Energy Cost (USD)]:[Code Oil Annual Consumption (MMBtu)]],0))</f>
        <v>538.26942250267905</v>
      </c>
      <c r="L27" s="202">
        <f>INDEX($K$37:$AF$1048576,MATCH(Tbl_BaselineSummary[[#This Row],[Baseline ID]:[Baseline ID]],$J$37:$J$1048576,0),MATCH(Tbl_BaselineSummary[[#Headers],[Baseline Electric Annual Consumption  (kWh)]],Tbl_BaselineSummary[[#Headers],[Baseline Annual Energy Cost (USD)]:[Code Oil Annual Consumption (MMBtu)]],0))</f>
        <v>0</v>
      </c>
      <c r="M27" s="202" t="str">
        <f>INDEX($K$37:$AF$1048576,MATCH(Tbl_BaselineSummary[[#This Row],[Baseline ID]:[Baseline ID]],$J$37:$J$1048576,0),MATCH(Tbl_BaselineSummary[[#Headers],[Baseline Electric Winter Consumption (kWh)]],Tbl_BaselineSummary[[#Headers],[Baseline Annual Energy Cost (USD)]:[Code Oil Annual Consumption (MMBtu)]],0))</f>
        <v>n/a</v>
      </c>
      <c r="N27" s="202" t="str">
        <f>INDEX($K$37:$AF$1048576,MATCH(Tbl_BaselineSummary[[#This Row],[Baseline ID]:[Baseline ID]],$J$37:$J$1048576,0),MATCH(Tbl_BaselineSummary[[#Headers],[Baseline Electric Summer Consumption (kWh)]],Tbl_BaselineSummary[[#Headers],[Baseline Annual Energy Cost (USD)]:[Code Oil Annual Consumption (MMBtu)]],0))</f>
        <v>n/a</v>
      </c>
      <c r="O27" s="152">
        <f>INDEX($K$37:$AF$1048576,MATCH(Tbl_BaselineSummary[[#This Row],[Baseline ID]:[Baseline ID]],$J$37:$J$1048576,0),MATCH(Tbl_BaselineSummary[[#Headers],[Baseline Electric Baseline Winter Peak Demand (kW)]],Tbl_BaselineSummary[[#Headers],[Baseline Annual Energy Cost (USD)]:[Code Oil Annual Consumption (MMBtu)]],0))</f>
        <v>0</v>
      </c>
      <c r="P27" s="152">
        <f>INDEX($K$37:$AF$1048576,MATCH(Tbl_BaselineSummary[[#This Row],[Baseline ID]:[Baseline ID]],$J$37:$J$1048576,0),MATCH(Tbl_BaselineSummary[[#Headers],[Baseline Electric Baseline Summer Peak Demand (kW)]],Tbl_BaselineSummary[[#Headers],[Baseline Annual Energy Cost (USD)]:[Code Oil Annual Consumption (MMBtu)]],0))</f>
        <v>0</v>
      </c>
      <c r="Q27" s="27">
        <f>INDEX($K$37:$AF$1048576,MATCH(Tbl_BaselineSummary[[#This Row],[Baseline ID]:[Baseline ID]],$J$37:$J$1048576,0),MATCH(Tbl_BaselineSummary[[#Headers],[Baseline Natural Gas Annual Consumption  (therms)]],Tbl_BaselineSummary[[#Headers],[Baseline Annual Energy Cost (USD)]:[Code Oil Annual Consumption (MMBtu)]],0))</f>
        <v>0</v>
      </c>
      <c r="R27" s="153">
        <f>INDEX($K$37:$AF$1048576,MATCH(Tbl_BaselineSummary[[#This Row],[Baseline ID]:[Baseline ID]],$J$37:$J$1048576,0),MATCH(Tbl_BaselineSummary[[#Headers],[Baseline Propane Annual Consumption  (MMBtu)]],Tbl_BaselineSummary[[#Headers],[Baseline Annual Energy Cost (USD)]:[Code Oil Annual Consumption (MMBtu)]],0))</f>
        <v>0</v>
      </c>
      <c r="S27" s="215">
        <f>INDEX($K$37:$AF$1048576,MATCH(Tbl_BaselineSummary[[#This Row],[Baseline ID]:[Baseline ID]],$J$37:$J$1048576,0),MATCH(Tbl_BaselineSummary[[#Headers],[Baseline Oil Annual Consumption  (MMBtu)]],Tbl_BaselineSummary[[#Headers],[Baseline Annual Energy Cost (USD)]:[Code Oil Annual Consumption (MMBtu)]],0))</f>
        <v>23.965517241379313</v>
      </c>
      <c r="T27" s="216">
        <f>INDEX($K$37:$AF$1048576,MATCH(Tbl_BaselineSummary[[#This Row],[Baseline ID]:[Baseline ID]],$J$37:$J$1048576,0),MATCH(Tbl_BaselineSummary[[#Headers],[Code Annual Energy Cost (USD)]],Tbl_BaselineSummary[[#Headers],[Baseline Annual Energy Cost (USD)]:[Code Oil Annual Consumption (MMBtu)]],0))</f>
        <v>503.54236298637721</v>
      </c>
      <c r="U27" s="254">
        <f>INDEX($K$37:$AF$1048576,MATCH(Tbl_BaselineSummary[[#This Row],[Baseline ID]:[Baseline ID]],$J$37:$J$1048576,0),MATCH(Tbl_BaselineSummary[[#Headers],[Code Installed Costs (USD)]],Tbl_BaselineSummary[[#Headers],[Baseline Annual Energy Cost (USD)]:[Code Oil Annual Consumption (MMBtu)]],0))</f>
        <v>1750</v>
      </c>
      <c r="V27" s="254">
        <f>INDEX($K$37:$AF$1048576,MATCH(Tbl_BaselineSummary[[#This Row],[Baseline ID]:[Baseline ID]],$J$37:$J$1048576,0),MATCH(Tbl_BaselineSummary[[#Headers],[Code A/C-only Installed Cost (USD)]],Tbl_BaselineSummary[[#Headers],[Baseline Annual Energy Cost (USD)]:[Code Oil Annual Consumption (MMBtu)]],0))</f>
        <v>0</v>
      </c>
      <c r="W27" s="201">
        <f>INDEX($K$37:$AF$1048576,MATCH(Tbl_BaselineSummary[[#This Row],[Baseline ID]:[Baseline ID]],$J$37:$J$1048576,0),MATCH(Tbl_BaselineSummary[[#Headers],[Deferred Replacement Credit (USD)]],Tbl_BaselineSummary[[#Headers],[Baseline Annual Energy Cost (USD)]:[Code Oil Annual Consumption (MMBtu)]],0))</f>
        <v>1142.2634464766872</v>
      </c>
      <c r="X27" s="201">
        <f>INDEX($K$37:$AF$1048576,MATCH(Tbl_BaselineSummary[[#This Row],[Baseline ID]:[Baseline ID]],$J$37:$J$1048576,0),MATCH(Tbl_BaselineSummary[[#Headers],[A/C-only Deferred Replacement Credit (USD)]],Tbl_BaselineSummary[[#Headers],[Baseline Annual Energy Cost (USD)]:[Code Oil Annual Consumption (MMBtu)]],0))</f>
        <v>0</v>
      </c>
      <c r="Y27" s="202">
        <f>INDEX($K$37:$AF$1048576,MATCH(Tbl_BaselineSummary[[#This Row],[Baseline ID]:[Baseline ID]],$J$37:$J$1048576,0),MATCH(Tbl_BaselineSummary[[#Headers],[Code Electric Annual Consumption (kWh)]],Tbl_BaselineSummary[[#Headers],[Baseline Annual Energy Cost (USD)]:[Code Oil Annual Consumption (MMBtu)]],0))</f>
        <v>0</v>
      </c>
      <c r="Z27" s="202" t="str">
        <f>INDEX($K$37:$AF$1048576,MATCH(Tbl_BaselineSummary[[#This Row],[Baseline ID]:[Baseline ID]],$J$37:$J$1048576,0),MATCH(Tbl_BaselineSummary[[#Headers],[Code Electric Winter Consumption (kWh)]],Tbl_BaselineSummary[[#Headers],[Baseline Annual Energy Cost (USD)]:[Code Oil Annual Consumption (MMBtu)]],0))</f>
        <v>n/a</v>
      </c>
      <c r="AA27" s="202" t="str">
        <f>INDEX($K$37:$AF$1048576,MATCH(Tbl_BaselineSummary[[#This Row],[Baseline ID]:[Baseline ID]],$J$37:$J$1048576,0),MATCH(Tbl_BaselineSummary[[#Headers],[Code Electric Summer Consumption (kWh)]],Tbl_BaselineSummary[[#Headers],[Baseline Annual Energy Cost (USD)]:[Code Oil Annual Consumption (MMBtu)]],0))</f>
        <v>n/a</v>
      </c>
      <c r="AB27" s="152">
        <f>INDEX($K$37:$AF$1048576,MATCH(Tbl_BaselineSummary[[#This Row],[Baseline ID]:[Baseline ID]],$J$37:$J$1048576,0),MATCH(Tbl_BaselineSummary[[#Headers],[Code Electric Winter Peak Demand (kW)]],Tbl_BaselineSummary[[#Headers],[Baseline Annual Energy Cost (USD)]:[Code Oil Annual Consumption (MMBtu)]],0))</f>
        <v>0</v>
      </c>
      <c r="AC27" s="152">
        <f>INDEX($K$37:$AF$1048576,MATCH(Tbl_BaselineSummary[[#This Row],[Baseline ID]:[Baseline ID]],$J$37:$J$1048576,0),MATCH(Tbl_BaselineSummary[[#Headers],[Code Electric Summer Peak Demand (kW)]],Tbl_BaselineSummary[[#Headers],[Baseline Annual Energy Cost (USD)]:[Code Oil Annual Consumption (MMBtu)]],0))</f>
        <v>0</v>
      </c>
      <c r="AD27" s="84">
        <f>INDEX($K$37:$AF$1048576,MATCH(Tbl_BaselineSummary[[#This Row],[Baseline ID]:[Baseline ID]],$J$37:$J$1048576,0),MATCH(Tbl_BaselineSummary[[#Headers],[Code Natural Gas Annual Consumption (therms)]],Tbl_BaselineSummary[[#Headers],[Baseline Annual Energy Cost (USD)]:[Code Oil Annual Consumption (MMBtu)]],0))</f>
        <v>0</v>
      </c>
      <c r="AE27" s="153">
        <f>INDEX($K$37:$AF$1048576,MATCH(Tbl_BaselineSummary[[#This Row],[Baseline ID]:[Baseline ID]],$J$37:$J$1048576,0),MATCH(Tbl_BaselineSummary[[#Headers],[Code Propane Annual Consumption (MMBtu)]],Tbl_BaselineSummary[[#Headers],[Baseline Annual Energy Cost (USD)]:[Code Oil Annual Consumption (MMBtu)]],0))</f>
        <v>0</v>
      </c>
      <c r="AF27" s="219">
        <f>INDEX($K$37:$AF$1048576,MATCH(Tbl_BaselineSummary[[#This Row],[Baseline ID]:[Baseline ID]],$J$37:$J$1048576,0),MATCH(Tbl_BaselineSummary[[#Headers],[Code Oil Annual Consumption (MMBtu)]],Tbl_BaselineSummary[[#Headers],[Baseline Annual Energy Cost (USD)]:[Code Oil Annual Consumption (MMBtu)]],0))</f>
        <v>22.41935483870968</v>
      </c>
    </row>
    <row r="28" spans="2:32" x14ac:dyDescent="0.2">
      <c r="B28" s="16"/>
      <c r="C28" s="2" t="s">
        <v>242</v>
      </c>
      <c r="D28" s="3" t="s">
        <v>50</v>
      </c>
      <c r="E28" s="11" t="str">
        <f>INDEX(Tbl_EquipmentDefinitions[Equipment Name],MATCH('Baseline Calculations'!$D28,Tbl_EquipmentDefinitions[Equipment ID],0))</f>
        <v>Propane Storage WH</v>
      </c>
      <c r="F28" s="12" t="str">
        <f>INDEX(Tbl_EquipmentDefinitions[Function],MATCH('Baseline Calculations'!$D28,Tbl_EquipmentDefinitions[Equipment ID],0))</f>
        <v>HW</v>
      </c>
      <c r="G28" s="291">
        <f t="shared" si="1"/>
        <v>76.7</v>
      </c>
      <c r="H28" s="291">
        <f t="shared" si="0"/>
        <v>13.072800000000001</v>
      </c>
      <c r="I28" s="503">
        <f>PROPANE_WATER_HEATING_LOAD</f>
        <v>11.3</v>
      </c>
      <c r="J28" s="99" t="str">
        <f>INDEX(Tbl_EquipmentDefinitions[Fuel Type],MATCH(Tbl_BaselineSummary[[#This Row],[Equipment ID]],Tbl_EquipmentDefinitions[Equipment ID],0))</f>
        <v>Propane</v>
      </c>
      <c r="K28" s="216">
        <f>INDEX($K$37:$AF$1048576,MATCH(Tbl_BaselineSummary[[#This Row],[Baseline ID]:[Baseline ID]],$J$37:$J$1048576,0),MATCH(Tbl_BaselineSummary[[#Headers],[Baseline Annual Energy Cost (USD)]],Tbl_BaselineSummary[[#Headers],[Baseline Annual Energy Cost (USD)]:[Code Oil Annual Consumption (MMBtu)]],0))</f>
        <v>700.31529186300838</v>
      </c>
      <c r="L28" s="202">
        <f>INDEX($K$37:$AF$1048576,MATCH(Tbl_BaselineSummary[[#This Row],[Baseline ID]:[Baseline ID]],$J$37:$J$1048576,0),MATCH(Tbl_BaselineSummary[[#Headers],[Baseline Electric Annual Consumption  (kWh)]],Tbl_BaselineSummary[[#Headers],[Baseline Annual Energy Cost (USD)]:[Code Oil Annual Consumption (MMBtu)]],0))</f>
        <v>0</v>
      </c>
      <c r="M28" s="202" t="str">
        <f>INDEX($K$37:$AF$1048576,MATCH(Tbl_BaselineSummary[[#This Row],[Baseline ID]:[Baseline ID]],$J$37:$J$1048576,0),MATCH(Tbl_BaselineSummary[[#Headers],[Baseline Electric Winter Consumption (kWh)]],Tbl_BaselineSummary[[#Headers],[Baseline Annual Energy Cost (USD)]:[Code Oil Annual Consumption (MMBtu)]],0))</f>
        <v>n/a</v>
      </c>
      <c r="N28" s="202" t="str">
        <f>INDEX($K$37:$AF$1048576,MATCH(Tbl_BaselineSummary[[#This Row],[Baseline ID]:[Baseline ID]],$J$37:$J$1048576,0),MATCH(Tbl_BaselineSummary[[#Headers],[Baseline Electric Summer Consumption (kWh)]],Tbl_BaselineSummary[[#Headers],[Baseline Annual Energy Cost (USD)]:[Code Oil Annual Consumption (MMBtu)]],0))</f>
        <v>n/a</v>
      </c>
      <c r="O28" s="152">
        <f>INDEX($K$37:$AF$1048576,MATCH(Tbl_BaselineSummary[[#This Row],[Baseline ID]:[Baseline ID]],$J$37:$J$1048576,0),MATCH(Tbl_BaselineSummary[[#Headers],[Baseline Electric Baseline Winter Peak Demand (kW)]],Tbl_BaselineSummary[[#Headers],[Baseline Annual Energy Cost (USD)]:[Code Oil Annual Consumption (MMBtu)]],0))</f>
        <v>0</v>
      </c>
      <c r="P28" s="152">
        <f>INDEX($K$37:$AF$1048576,MATCH(Tbl_BaselineSummary[[#This Row],[Baseline ID]:[Baseline ID]],$J$37:$J$1048576,0),MATCH(Tbl_BaselineSummary[[#Headers],[Baseline Electric Baseline Summer Peak Demand (kW)]],Tbl_BaselineSummary[[#Headers],[Baseline Annual Energy Cost (USD)]:[Code Oil Annual Consumption (MMBtu)]],0))</f>
        <v>0</v>
      </c>
      <c r="Q28" s="27">
        <f>INDEX($K$37:$AF$1048576,MATCH(Tbl_BaselineSummary[[#This Row],[Baseline ID]:[Baseline ID]],$J$37:$J$1048576,0),MATCH(Tbl_BaselineSummary[[#Headers],[Baseline Natural Gas Annual Consumption  (therms)]],Tbl_BaselineSummary[[#Headers],[Baseline Annual Energy Cost (USD)]:[Code Oil Annual Consumption (MMBtu)]],0))</f>
        <v>0</v>
      </c>
      <c r="R28" s="153">
        <f>INDEX($K$37:$AF$1048576,MATCH(Tbl_BaselineSummary[[#This Row],[Baseline ID]:[Baseline ID]],$J$37:$J$1048576,0),MATCH(Tbl_BaselineSummary[[#Headers],[Baseline Propane Annual Consumption  (MMBtu)]],Tbl_BaselineSummary[[#Headers],[Baseline Annual Energy Cost (USD)]:[Code Oil Annual Consumption (MMBtu)]],0))</f>
        <v>19.482758620689658</v>
      </c>
      <c r="S28" s="215">
        <f>INDEX($K$37:$AF$1048576,MATCH(Tbl_BaselineSummary[[#This Row],[Baseline ID]:[Baseline ID]],$J$37:$J$1048576,0),MATCH(Tbl_BaselineSummary[[#Headers],[Baseline Oil Annual Consumption  (MMBtu)]],Tbl_BaselineSummary[[#Headers],[Baseline Annual Energy Cost (USD)]:[Code Oil Annual Consumption (MMBtu)]],0))</f>
        <v>0</v>
      </c>
      <c r="T28" s="216">
        <f>INDEX($K$37:$AF$1048576,MATCH(Tbl_BaselineSummary[[#This Row],[Baseline ID]:[Baseline ID]],$J$37:$J$1048576,0),MATCH(Tbl_BaselineSummary[[#Headers],[Code Annual Energy Cost (USD)]],Tbl_BaselineSummary[[#Headers],[Baseline Annual Energy Cost (USD)]:[Code Oil Annual Consumption (MMBtu)]],0))</f>
        <v>644.73471314372193</v>
      </c>
      <c r="U28" s="254">
        <f>INDEX($K$37:$AF$1048576,MATCH(Tbl_BaselineSummary[[#This Row],[Baseline ID]:[Baseline ID]],$J$37:$J$1048576,0),MATCH(Tbl_BaselineSummary[[#Headers],[Code Installed Costs (USD)]],Tbl_BaselineSummary[[#Headers],[Baseline Annual Energy Cost (USD)]:[Code Oil Annual Consumption (MMBtu)]],0))</f>
        <v>1653</v>
      </c>
      <c r="V28" s="254">
        <f>INDEX($K$37:$AF$1048576,MATCH(Tbl_BaselineSummary[[#This Row],[Baseline ID]:[Baseline ID]],$J$37:$J$1048576,0),MATCH(Tbl_BaselineSummary[[#Headers],[Code A/C-only Installed Cost (USD)]],Tbl_BaselineSummary[[#Headers],[Baseline Annual Energy Cost (USD)]:[Code Oil Annual Consumption (MMBtu)]],0))</f>
        <v>0</v>
      </c>
      <c r="W28" s="201">
        <f>INDEX($K$37:$AF$1048576,MATCH(Tbl_BaselineSummary[[#This Row],[Baseline ID]:[Baseline ID]],$J$37:$J$1048576,0),MATCH(Tbl_BaselineSummary[[#Headers],[Deferred Replacement Credit (USD)]],Tbl_BaselineSummary[[#Headers],[Baseline Annual Energy Cost (USD)]:[Code Oil Annual Consumption (MMBtu)]],0))</f>
        <v>1078.9494154434083</v>
      </c>
      <c r="X28" s="201">
        <f>INDEX($K$37:$AF$1048576,MATCH(Tbl_BaselineSummary[[#This Row],[Baseline ID]:[Baseline ID]],$J$37:$J$1048576,0),MATCH(Tbl_BaselineSummary[[#Headers],[A/C-only Deferred Replacement Credit (USD)]],Tbl_BaselineSummary[[#Headers],[Baseline Annual Energy Cost (USD)]:[Code Oil Annual Consumption (MMBtu)]],0))</f>
        <v>0</v>
      </c>
      <c r="Y28" s="202">
        <f>INDEX($K$37:$AF$1048576,MATCH(Tbl_BaselineSummary[[#This Row],[Baseline ID]:[Baseline ID]],$J$37:$J$1048576,0),MATCH(Tbl_BaselineSummary[[#Headers],[Code Electric Annual Consumption (kWh)]],Tbl_BaselineSummary[[#Headers],[Baseline Annual Energy Cost (USD)]:[Code Oil Annual Consumption (MMBtu)]],0))</f>
        <v>0</v>
      </c>
      <c r="Z28" s="202" t="str">
        <f>INDEX($K$37:$AF$1048576,MATCH(Tbl_BaselineSummary[[#This Row],[Baseline ID]:[Baseline ID]],$J$37:$J$1048576,0),MATCH(Tbl_BaselineSummary[[#Headers],[Code Electric Winter Consumption (kWh)]],Tbl_BaselineSummary[[#Headers],[Baseline Annual Energy Cost (USD)]:[Code Oil Annual Consumption (MMBtu)]],0))</f>
        <v>n/a</v>
      </c>
      <c r="AA28" s="202" t="str">
        <f>INDEX($K$37:$AF$1048576,MATCH(Tbl_BaselineSummary[[#This Row],[Baseline ID]:[Baseline ID]],$J$37:$J$1048576,0),MATCH(Tbl_BaselineSummary[[#Headers],[Code Electric Summer Consumption (kWh)]],Tbl_BaselineSummary[[#Headers],[Baseline Annual Energy Cost (USD)]:[Code Oil Annual Consumption (MMBtu)]],0))</f>
        <v>n/a</v>
      </c>
      <c r="AB28" s="152">
        <f>INDEX($K$37:$AF$1048576,MATCH(Tbl_BaselineSummary[[#This Row],[Baseline ID]:[Baseline ID]],$J$37:$J$1048576,0),MATCH(Tbl_BaselineSummary[[#Headers],[Code Electric Winter Peak Demand (kW)]],Tbl_BaselineSummary[[#Headers],[Baseline Annual Energy Cost (USD)]:[Code Oil Annual Consumption (MMBtu)]],0))</f>
        <v>0</v>
      </c>
      <c r="AC28" s="152">
        <f>INDEX($K$37:$AF$1048576,MATCH(Tbl_BaselineSummary[[#This Row],[Baseline ID]:[Baseline ID]],$J$37:$J$1048576,0),MATCH(Tbl_BaselineSummary[[#Headers],[Code Electric Summer Peak Demand (kW)]],Tbl_BaselineSummary[[#Headers],[Baseline Annual Energy Cost (USD)]:[Code Oil Annual Consumption (MMBtu)]],0))</f>
        <v>0</v>
      </c>
      <c r="AD28" s="84">
        <f>INDEX($K$37:$AF$1048576,MATCH(Tbl_BaselineSummary[[#This Row],[Baseline ID]:[Baseline ID]],$J$37:$J$1048576,0),MATCH(Tbl_BaselineSummary[[#Headers],[Code Natural Gas Annual Consumption (therms)]],Tbl_BaselineSummary[[#Headers],[Baseline Annual Energy Cost (USD)]:[Code Oil Annual Consumption (MMBtu)]],0))</f>
        <v>0</v>
      </c>
      <c r="AE28" s="153">
        <f>INDEX($K$37:$AF$1048576,MATCH(Tbl_BaselineSummary[[#This Row],[Baseline ID]:[Baseline ID]],$J$37:$J$1048576,0),MATCH(Tbl_BaselineSummary[[#Headers],[Code Propane Annual Consumption (MMBtu)]],Tbl_BaselineSummary[[#Headers],[Baseline Annual Energy Cost (USD)]:[Code Oil Annual Consumption (MMBtu)]],0))</f>
        <v>17.936507936507937</v>
      </c>
      <c r="AF28" s="219">
        <f>INDEX($K$37:$AF$1048576,MATCH(Tbl_BaselineSummary[[#This Row],[Baseline ID]:[Baseline ID]],$J$37:$J$1048576,0),MATCH(Tbl_BaselineSummary[[#Headers],[Code Oil Annual Consumption (MMBtu)]],Tbl_BaselineSummary[[#Headers],[Baseline Annual Energy Cost (USD)]:[Code Oil Annual Consumption (MMBtu)]],0))</f>
        <v>0</v>
      </c>
    </row>
    <row r="29" spans="2:32" x14ac:dyDescent="0.2">
      <c r="B29" s="16"/>
      <c r="C29" s="2" t="s">
        <v>243</v>
      </c>
      <c r="D29" s="3" t="s">
        <v>70</v>
      </c>
      <c r="E29" s="11" t="str">
        <f>INDEX(Tbl_EquipmentDefinitions[Equipment Name],MATCH('Baseline Calculations'!$D29,Tbl_EquipmentDefinitions[Equipment ID],0))</f>
        <v>Propane On-Demand WH</v>
      </c>
      <c r="F29" s="12" t="str">
        <f>INDEX(Tbl_EquipmentDefinitions[Function],MATCH('Baseline Calculations'!$D29,Tbl_EquipmentDefinitions[Equipment ID],0))</f>
        <v>HW</v>
      </c>
      <c r="G29" s="291">
        <f t="shared" si="1"/>
        <v>76.7</v>
      </c>
      <c r="H29" s="291">
        <f t="shared" si="0"/>
        <v>13.072800000000001</v>
      </c>
      <c r="I29" s="503">
        <f>PROPANE_WATER_HEATING_LOAD</f>
        <v>11.3</v>
      </c>
      <c r="J29" s="99" t="str">
        <f>INDEX(Tbl_EquipmentDefinitions[Fuel Type],MATCH(Tbl_BaselineSummary[[#This Row],[Equipment ID]],Tbl_EquipmentDefinitions[Equipment ID],0))</f>
        <v>Propane</v>
      </c>
      <c r="K29" s="216">
        <f>INDEX($K$37:$AF$1048576,MATCH(Tbl_BaselineSummary[[#This Row],[Baseline ID]:[Baseline ID]],$J$37:$J$1048576,0),MATCH(Tbl_BaselineSummary[[#Headers],[Baseline Annual Energy Cost (USD)]],Tbl_BaselineSummary[[#Headers],[Baseline Annual Energy Cost (USD)]:[Code Oil Annual Consumption (MMBtu)]],0))</f>
        <v>576.40694303874102</v>
      </c>
      <c r="L29" s="202">
        <f>INDEX($K$37:$AF$1048576,MATCH(Tbl_BaselineSummary[[#This Row],[Baseline ID]:[Baseline ID]],$J$37:$J$1048576,0),MATCH(Tbl_BaselineSummary[[#Headers],[Baseline Electric Annual Consumption  (kWh)]],Tbl_BaselineSummary[[#Headers],[Baseline Annual Energy Cost (USD)]:[Code Oil Annual Consumption (MMBtu)]],0))</f>
        <v>25.9</v>
      </c>
      <c r="M29" s="202" t="str">
        <f>INDEX($K$37:$AF$1048576,MATCH(Tbl_BaselineSummary[[#This Row],[Baseline ID]:[Baseline ID]],$J$37:$J$1048576,0),MATCH(Tbl_BaselineSummary[[#Headers],[Baseline Electric Winter Consumption (kWh)]],Tbl_BaselineSummary[[#Headers],[Baseline Annual Energy Cost (USD)]:[Code Oil Annual Consumption (MMBtu)]],0))</f>
        <v>n/a</v>
      </c>
      <c r="N29" s="202" t="str">
        <f>INDEX($K$37:$AF$1048576,MATCH(Tbl_BaselineSummary[[#This Row],[Baseline ID]:[Baseline ID]],$J$37:$J$1048576,0),MATCH(Tbl_BaselineSummary[[#Headers],[Baseline Electric Summer Consumption (kWh)]],Tbl_BaselineSummary[[#Headers],[Baseline Annual Energy Cost (USD)]:[Code Oil Annual Consumption (MMBtu)]],0))</f>
        <v>n/a</v>
      </c>
      <c r="O29" s="152">
        <f>INDEX($K$37:$AF$1048576,MATCH(Tbl_BaselineSummary[[#This Row],[Baseline ID]:[Baseline ID]],$J$37:$J$1048576,0),MATCH(Tbl_BaselineSummary[[#Headers],[Baseline Electric Baseline Winter Peak Demand (kW)]],Tbl_BaselineSummary[[#Headers],[Baseline Annual Energy Cost (USD)]:[Code Oil Annual Consumption (MMBtu)]],0))</f>
        <v>1.02250296091591E-2</v>
      </c>
      <c r="P29" s="152">
        <f>INDEX($K$37:$AF$1048576,MATCH(Tbl_BaselineSummary[[#This Row],[Baseline ID]:[Baseline ID]],$J$37:$J$1048576,0),MATCH(Tbl_BaselineSummary[[#Headers],[Baseline Electric Baseline Summer Peak Demand (kW)]],Tbl_BaselineSummary[[#Headers],[Baseline Annual Energy Cost (USD)]:[Code Oil Annual Consumption (MMBtu)]],0))</f>
        <v>4.8057639163047762E-3</v>
      </c>
      <c r="Q29" s="27">
        <f>INDEX($K$37:$AF$1048576,MATCH(Tbl_BaselineSummary[[#This Row],[Baseline ID]:[Baseline ID]],$J$37:$J$1048576,0),MATCH(Tbl_BaselineSummary[[#Headers],[Baseline Natural Gas Annual Consumption  (therms)]],Tbl_BaselineSummary[[#Headers],[Baseline Annual Energy Cost (USD)]:[Code Oil Annual Consumption (MMBtu)]],0))</f>
        <v>0</v>
      </c>
      <c r="R29" s="153">
        <f>INDEX($K$37:$AF$1048576,MATCH(Tbl_BaselineSummary[[#This Row],[Baseline ID]:[Baseline ID]],$J$37:$J$1048576,0),MATCH(Tbl_BaselineSummary[[#Headers],[Baseline Propane Annual Consumption  (MMBtu)]],Tbl_BaselineSummary[[#Headers],[Baseline Annual Energy Cost (USD)]:[Code Oil Annual Consumption (MMBtu)]],0))</f>
        <v>15.89310829817159</v>
      </c>
      <c r="S29" s="215">
        <f>INDEX($K$37:$AF$1048576,MATCH(Tbl_BaselineSummary[[#This Row],[Baseline ID]:[Baseline ID]],$J$37:$J$1048576,0),MATCH(Tbl_BaselineSummary[[#Headers],[Baseline Oil Annual Consumption  (MMBtu)]],Tbl_BaselineSummary[[#Headers],[Baseline Annual Energy Cost (USD)]:[Code Oil Annual Consumption (MMBtu)]],0))</f>
        <v>0</v>
      </c>
      <c r="T29" s="216">
        <f>INDEX($K$37:$AF$1048576,MATCH(Tbl_BaselineSummary[[#This Row],[Baseline ID]:[Baseline ID]],$J$37:$J$1048576,0),MATCH(Tbl_BaselineSummary[[#Headers],[Code Annual Energy Cost (USD)]],Tbl_BaselineSummary[[#Headers],[Baseline Annual Energy Cost (USD)]:[Code Oil Annual Consumption (MMBtu)]],0))</f>
        <v>513.50434660068106</v>
      </c>
      <c r="U29" s="254">
        <f>INDEX($K$37:$AF$1048576,MATCH(Tbl_BaselineSummary[[#This Row],[Baseline ID]:[Baseline ID]],$J$37:$J$1048576,0),MATCH(Tbl_BaselineSummary[[#Headers],[Code Installed Costs (USD)]],Tbl_BaselineSummary[[#Headers],[Baseline Annual Energy Cost (USD)]:[Code Oil Annual Consumption (MMBtu)]],0))</f>
        <v>2874</v>
      </c>
      <c r="V29" s="254">
        <f>INDEX($K$37:$AF$1048576,MATCH(Tbl_BaselineSummary[[#This Row],[Baseline ID]:[Baseline ID]],$J$37:$J$1048576,0),MATCH(Tbl_BaselineSummary[[#Headers],[Code A/C-only Installed Cost (USD)]],Tbl_BaselineSummary[[#Headers],[Baseline Annual Energy Cost (USD)]:[Code Oil Annual Consumption (MMBtu)]],0))</f>
        <v>0</v>
      </c>
      <c r="W29" s="201">
        <f>INDEX($K$37:$AF$1048576,MATCH(Tbl_BaselineSummary[[#This Row],[Baseline ID]:[Baseline ID]],$J$37:$J$1048576,0),MATCH(Tbl_BaselineSummary[[#Headers],[Deferred Replacement Credit (USD)]],Tbl_BaselineSummary[[#Headers],[Baseline Annual Energy Cost (USD)]:[Code Oil Annual Consumption (MMBtu)]],0))</f>
        <v>1680.9966046456341</v>
      </c>
      <c r="X29" s="201">
        <f>INDEX($K$37:$AF$1048576,MATCH(Tbl_BaselineSummary[[#This Row],[Baseline ID]:[Baseline ID]],$J$37:$J$1048576,0),MATCH(Tbl_BaselineSummary[[#Headers],[A/C-only Deferred Replacement Credit (USD)]],Tbl_BaselineSummary[[#Headers],[Baseline Annual Energy Cost (USD)]:[Code Oil Annual Consumption (MMBtu)]],0))</f>
        <v>0</v>
      </c>
      <c r="Y29" s="202">
        <f>INDEX($K$37:$AF$1048576,MATCH(Tbl_BaselineSummary[[#This Row],[Baseline ID]:[Baseline ID]],$J$37:$J$1048576,0),MATCH(Tbl_BaselineSummary[[#Headers],[Code Electric Annual Consumption (kWh)]],Tbl_BaselineSummary[[#Headers],[Baseline Annual Energy Cost (USD)]:[Code Oil Annual Consumption (MMBtu)]],0))</f>
        <v>29.2</v>
      </c>
      <c r="Z29" s="202" t="str">
        <f>INDEX($K$37:$AF$1048576,MATCH(Tbl_BaselineSummary[[#This Row],[Baseline ID]:[Baseline ID]],$J$37:$J$1048576,0),MATCH(Tbl_BaselineSummary[[#Headers],[Code Electric Winter Consumption (kWh)]],Tbl_BaselineSummary[[#Headers],[Baseline Annual Energy Cost (USD)]:[Code Oil Annual Consumption (MMBtu)]],0))</f>
        <v>n/a</v>
      </c>
      <c r="AA29" s="202" t="str">
        <f>INDEX($K$37:$AF$1048576,MATCH(Tbl_BaselineSummary[[#This Row],[Baseline ID]:[Baseline ID]],$J$37:$J$1048576,0),MATCH(Tbl_BaselineSummary[[#Headers],[Code Electric Summer Consumption (kWh)]],Tbl_BaselineSummary[[#Headers],[Baseline Annual Energy Cost (USD)]:[Code Oil Annual Consumption (MMBtu)]],0))</f>
        <v>n/a</v>
      </c>
      <c r="AB29" s="152">
        <f>INDEX($K$37:$AF$1048576,MATCH(Tbl_BaselineSummary[[#This Row],[Baseline ID]:[Baseline ID]],$J$37:$J$1048576,0),MATCH(Tbl_BaselineSummary[[#Headers],[Code Electric Winter Peak Demand (kW)]],Tbl_BaselineSummary[[#Headers],[Baseline Annual Energy Cost (USD)]:[Code Oil Annual Consumption (MMBtu)]],0))</f>
        <v>1.1527832609553888E-2</v>
      </c>
      <c r="AC29" s="152">
        <f>INDEX($K$37:$AF$1048576,MATCH(Tbl_BaselineSummary[[#This Row],[Baseline ID]:[Baseline ID]],$J$37:$J$1048576,0),MATCH(Tbl_BaselineSummary[[#Headers],[Code Electric Summer Peak Demand (kW)]],Tbl_BaselineSummary[[#Headers],[Baseline Annual Energy Cost (USD)]:[Code Oil Annual Consumption (MMBtu)]],0))</f>
        <v>5.4180813264903269E-3</v>
      </c>
      <c r="AD29" s="84">
        <f>INDEX($K$37:$AF$1048576,MATCH(Tbl_BaselineSummary[[#This Row],[Baseline ID]:[Baseline ID]],$J$37:$J$1048576,0),MATCH(Tbl_BaselineSummary[[#Headers],[Code Natural Gas Annual Consumption (therms)]],Tbl_BaselineSummary[[#Headers],[Baseline Annual Energy Cost (USD)]:[Code Oil Annual Consumption (MMBtu)]],0))</f>
        <v>0</v>
      </c>
      <c r="AE29" s="153">
        <f>INDEX($K$37:$AF$1048576,MATCH(Tbl_BaselineSummary[[#This Row],[Baseline ID]:[Baseline ID]],$J$37:$J$1048576,0),MATCH(Tbl_BaselineSummary[[#Headers],[Code Propane Annual Consumption (MMBtu)]],Tbl_BaselineSummary[[#Headers],[Baseline Annual Energy Cost (USD)]:[Code Oil Annual Consumption (MMBtu)]],0))</f>
        <v>14.125</v>
      </c>
      <c r="AF29" s="219">
        <f>INDEX($K$37:$AF$1048576,MATCH(Tbl_BaselineSummary[[#This Row],[Baseline ID]:[Baseline ID]],$J$37:$J$1048576,0),MATCH(Tbl_BaselineSummary[[#Headers],[Code Oil Annual Consumption (MMBtu)]],Tbl_BaselineSummary[[#Headers],[Baseline Annual Energy Cost (USD)]:[Code Oil Annual Consumption (MMBtu)]],0))</f>
        <v>0</v>
      </c>
    </row>
    <row r="30" spans="2:32" x14ac:dyDescent="0.2">
      <c r="B30" s="16"/>
      <c r="C30" s="363" t="s">
        <v>843</v>
      </c>
      <c r="D30" s="364" t="s">
        <v>837</v>
      </c>
      <c r="E30" s="342" t="str">
        <f>INDEX(Tbl_EquipmentDefinitions[Equipment Name],MATCH('Baseline Calculations'!$D30,Tbl_EquipmentDefinitions[Equipment ID],0))</f>
        <v>Central A/C+Oil Boiler</v>
      </c>
      <c r="F30" s="365" t="str">
        <f>INDEX(Tbl_EquipmentDefinitions[Function],MATCH('Baseline Calculations'!$D30,Tbl_EquipmentDefinitions[Equipment ID],0))</f>
        <v>Cool+Heat</v>
      </c>
      <c r="G30" s="366">
        <f>BOILER_TOTAL_HEATING_LOAD</f>
        <v>76.7</v>
      </c>
      <c r="H30" s="366">
        <f t="shared" ref="H30:H34" si="2">TOTAL_COOLING_LOAD</f>
        <v>13.072800000000001</v>
      </c>
      <c r="I30" s="291">
        <f>GAS_OIL_WATER_HEATING_LOAD</f>
        <v>13.9</v>
      </c>
      <c r="J30" s="367" t="str">
        <f>INDEX(Tbl_EquipmentDefinitions[Fuel Type],MATCH(Tbl_BaselineSummary[[#This Row],[Equipment ID]],Tbl_EquipmentDefinitions[Equipment ID],0))</f>
        <v>Electric+Oil</v>
      </c>
      <c r="K30" s="216">
        <f>INDEX($K$37:$AF$1048576,MATCH(Tbl_BaselineSummary[[#This Row],[Baseline ID]:[Baseline ID]],$J$37:$J$1048576,0),MATCH(Tbl_BaselineSummary[[#Headers],[Baseline Annual Energy Cost (USD)]],Tbl_BaselineSummary[[#Headers],[Baseline Annual Energy Cost (USD)]:[Code Oil Annual Consumption (MMBtu)]],0))</f>
        <v>2600.9999820291782</v>
      </c>
      <c r="L30" s="202">
        <f>INDEX($K$37:$AF$1048576,MATCH(Tbl_BaselineSummary[[#This Row],[Baseline ID]:[Baseline ID]],$J$37:$J$1048576,0),MATCH(Tbl_BaselineSummary[[#Headers],[Baseline Electric Annual Consumption  (kWh)]],Tbl_BaselineSummary[[#Headers],[Baseline Annual Energy Cost (USD)]:[Code Oil Annual Consumption (MMBtu)]],0))</f>
        <v>1537.2800000000002</v>
      </c>
      <c r="M30" s="202">
        <f>INDEX($K$37:$AF$1048576,MATCH(Tbl_BaselineSummary[[#This Row],[Baseline ID]:[Baseline ID]],$J$37:$J$1048576,0),MATCH(Tbl_BaselineSummary[[#Headers],[Baseline Electric Winter Consumption (kWh)]],Tbl_BaselineSummary[[#Headers],[Baseline Annual Energy Cost (USD)]:[Code Oil Annual Consumption (MMBtu)]],0))</f>
        <v>230</v>
      </c>
      <c r="N30" s="202">
        <f>INDEX($K$37:$AF$1048576,MATCH(Tbl_BaselineSummary[[#This Row],[Baseline ID]:[Baseline ID]],$J$37:$J$1048576,0),MATCH(Tbl_BaselineSummary[[#Headers],[Baseline Electric Summer Consumption (kWh)]],Tbl_BaselineSummary[[#Headers],[Baseline Annual Energy Cost (USD)]:[Code Oil Annual Consumption (MMBtu)]],0))</f>
        <v>1307.2800000000002</v>
      </c>
      <c r="O30" s="152">
        <f>INDEX($K$37:$AF$1048576,MATCH(Tbl_BaselineSummary[[#This Row],[Baseline ID]:[Baseline ID]],$J$37:$J$1048576,0),MATCH(Tbl_BaselineSummary[[#Headers],[Baseline Electric Baseline Winter Peak Demand (kW)]],Tbl_BaselineSummary[[#Headers],[Baseline Annual Energy Cost (USD)]:[Code Oil Annual Consumption (MMBtu)]],0))</f>
        <v>3.5282837967401733E-2</v>
      </c>
      <c r="P30" s="152">
        <f>INDEX($K$37:$AF$1048576,MATCH(Tbl_BaselineSummary[[#This Row],[Baseline ID]:[Baseline ID]],$J$37:$J$1048576,0),MATCH(Tbl_BaselineSummary[[#Headers],[Baseline Electric Baseline Summer Peak Demand (kW)]],Tbl_BaselineSummary[[#Headers],[Baseline Annual Energy Cost (USD)]:[Code Oil Annual Consumption (MMBtu)]],0))</f>
        <v>1.835294117647059</v>
      </c>
      <c r="Q30" s="27">
        <f>INDEX($K$37:$AF$1048576,MATCH(Tbl_BaselineSummary[[#This Row],[Baseline ID]:[Baseline ID]],$J$37:$J$1048576,0),MATCH(Tbl_BaselineSummary[[#Headers],[Baseline Natural Gas Annual Consumption  (therms)]],Tbl_BaselineSummary[[#Headers],[Baseline Annual Energy Cost (USD)]:[Code Oil Annual Consumption (MMBtu)]],0))</f>
        <v>0</v>
      </c>
      <c r="R30" s="153">
        <f>INDEX($K$37:$AF$1048576,MATCH(Tbl_BaselineSummary[[#This Row],[Baseline ID]:[Baseline ID]],$J$37:$J$1048576,0),MATCH(Tbl_BaselineSummary[[#Headers],[Baseline Propane Annual Consumption  (MMBtu)]],Tbl_BaselineSummary[[#Headers],[Baseline Annual Energy Cost (USD)]:[Code Oil Annual Consumption (MMBtu)]],0))</f>
        <v>0</v>
      </c>
      <c r="S30" s="215">
        <f>INDEX($K$37:$AF$1048576,MATCH(Tbl_BaselineSummary[[#This Row],[Baseline ID]:[Baseline ID]],$J$37:$J$1048576,0),MATCH(Tbl_BaselineSummary[[#Headers],[Baseline Oil Annual Consumption  (MMBtu)]],Tbl_BaselineSummary[[#Headers],[Baseline Annual Energy Cost (USD)]:[Code Oil Annual Consumption (MMBtu)]],0))</f>
        <v>102.26666666666667</v>
      </c>
      <c r="T30" s="216">
        <f>INDEX($K$37:$AF$1048576,MATCH(Tbl_BaselineSummary[[#This Row],[Baseline ID]:[Baseline ID]],$J$37:$J$1048576,0),MATCH(Tbl_BaselineSummary[[#Headers],[Code Annual Energy Cost (USD)]],Tbl_BaselineSummary[[#Headers],[Baseline Annual Energy Cost (USD)]:[Code Oil Annual Consumption (MMBtu)]],0))</f>
        <v>2295.2284639546233</v>
      </c>
      <c r="U30" s="254">
        <f>INDEX($K$37:$AF$1048576,MATCH(Tbl_BaselineSummary[[#This Row],[Baseline ID]:[Baseline ID]],$J$37:$J$1048576,0),MATCH(Tbl_BaselineSummary[[#Headers],[Code Installed Costs (USD)]],Tbl_BaselineSummary[[#Headers],[Baseline Annual Energy Cost (USD)]:[Code Oil Annual Consumption (MMBtu)]],0))</f>
        <v>17458.400000000001</v>
      </c>
      <c r="V30" s="254">
        <f>INDEX($K$37:$AF$1048576,MATCH(Tbl_BaselineSummary[[#This Row],[Baseline ID]:[Baseline ID]],$J$37:$J$1048576,0),MATCH(Tbl_BaselineSummary[[#Headers],[Code A/C-only Installed Cost (USD)]],Tbl_BaselineSummary[[#Headers],[Baseline Annual Energy Cost (USD)]:[Code Oil Annual Consumption (MMBtu)]],0))</f>
        <v>10592.4</v>
      </c>
      <c r="W30" s="201">
        <f>INDEX($K$37:$AF$1048576,MATCH(Tbl_BaselineSummary[[#This Row],[Baseline ID]:[Baseline ID]],$J$37:$J$1048576,0),MATCH(Tbl_BaselineSummary[[#Headers],[Deferred Replacement Credit (USD)]],Tbl_BaselineSummary[[#Headers],[Baseline Annual Energy Cost (USD)]:[Code Oil Annual Consumption (MMBtu)]],0))</f>
        <v>7514.8545914856777</v>
      </c>
      <c r="X30" s="201">
        <f>INDEX($K$37:$AF$1048576,MATCH(Tbl_BaselineSummary[[#This Row],[Baseline ID]:[Baseline ID]],$J$37:$J$1048576,0),MATCH(Tbl_BaselineSummary[[#Headers],[A/C-only Deferred Replacement Credit (USD)]],Tbl_BaselineSummary[[#Headers],[Baseline Annual Energy Cost (USD)]:[Code Oil Annual Consumption (MMBtu)]],0))</f>
        <v>6760.0638096312941</v>
      </c>
      <c r="Y30" s="202">
        <f>INDEX($K$37:$AF$1048576,MATCH(Tbl_BaselineSummary[[#This Row],[Baseline ID]:[Baseline ID]],$J$37:$J$1048576,0),MATCH(Tbl_BaselineSummary[[#Headers],[Code Electric Annual Consumption (kWh)]],Tbl_BaselineSummary[[#Headers],[Baseline Annual Energy Cost (USD)]:[Code Oil Annual Consumption (MMBtu)]],0))</f>
        <v>1235.6000000000001</v>
      </c>
      <c r="Z30" s="202">
        <f>INDEX($K$37:$AF$1048576,MATCH(Tbl_BaselineSummary[[#This Row],[Baseline ID]:[Baseline ID]],$J$37:$J$1048576,0),MATCH(Tbl_BaselineSummary[[#Headers],[Code Electric Winter Consumption (kWh)]],Tbl_BaselineSummary[[#Headers],[Baseline Annual Energy Cost (USD)]:[Code Oil Annual Consumption (MMBtu)]],0))</f>
        <v>230</v>
      </c>
      <c r="AA30" s="202">
        <f>INDEX($K$37:$AF$1048576,MATCH(Tbl_BaselineSummary[[#This Row],[Baseline ID]:[Baseline ID]],$J$37:$J$1048576,0),MATCH(Tbl_BaselineSummary[[#Headers],[Code Electric Summer Consumption (kWh)]],Tbl_BaselineSummary[[#Headers],[Baseline Annual Energy Cost (USD)]:[Code Oil Annual Consumption (MMBtu)]],0))</f>
        <v>1005.6000000000001</v>
      </c>
      <c r="AB30" s="152">
        <f>INDEX($K$37:$AF$1048576,MATCH(Tbl_BaselineSummary[[#This Row],[Baseline ID]:[Baseline ID]],$J$37:$J$1048576,0),MATCH(Tbl_BaselineSummary[[#Headers],[Code Electric Winter Peak Demand (kW)]],Tbl_BaselineSummary[[#Headers],[Baseline Annual Energy Cost (USD)]:[Code Oil Annual Consumption (MMBtu)]],0))</f>
        <v>3.5282837967401733E-2</v>
      </c>
      <c r="AC30" s="152">
        <f>INDEX($K$37:$AF$1048576,MATCH(Tbl_BaselineSummary[[#This Row],[Baseline ID]:[Baseline ID]],$J$37:$J$1048576,0),MATCH(Tbl_BaselineSummary[[#Headers],[Code Electric Summer Peak Demand (kW)]],Tbl_BaselineSummary[[#Headers],[Baseline Annual Energy Cost (USD)]:[Code Oil Annual Consumption (MMBtu)]],0))</f>
        <v>1.4181818181818182</v>
      </c>
      <c r="AD30" s="84">
        <f>INDEX($K$37:$AF$1048576,MATCH(Tbl_BaselineSummary[[#This Row],[Baseline ID]:[Baseline ID]],$J$37:$J$1048576,0),MATCH(Tbl_BaselineSummary[[#Headers],[Code Natural Gas Annual Consumption (therms)]],Tbl_BaselineSummary[[#Headers],[Baseline Annual Energy Cost (USD)]:[Code Oil Annual Consumption (MMBtu)]],0))</f>
        <v>0</v>
      </c>
      <c r="AE30" s="153">
        <f>INDEX($K$37:$AF$1048576,MATCH(Tbl_BaselineSummary[[#This Row],[Baseline ID]:[Baseline ID]],$J$37:$J$1048576,0),MATCH(Tbl_BaselineSummary[[#Headers],[Code Propane Annual Consumption (MMBtu)]],Tbl_BaselineSummary[[#Headers],[Baseline Annual Energy Cost (USD)]:[Code Oil Annual Consumption (MMBtu)]],0))</f>
        <v>0</v>
      </c>
      <c r="AF30" s="219">
        <f>INDEX($K$37:$AF$1048576,MATCH(Tbl_BaselineSummary[[#This Row],[Baseline ID]:[Baseline ID]],$J$37:$J$1048576,0),MATCH(Tbl_BaselineSummary[[#Headers],[Code Oil Annual Consumption (MMBtu)]],Tbl_BaselineSummary[[#Headers],[Baseline Annual Energy Cost (USD)]:[Code Oil Annual Consumption (MMBtu)]],0))</f>
        <v>91.30952380952381</v>
      </c>
    </row>
    <row r="31" spans="2:32" x14ac:dyDescent="0.2">
      <c r="B31" s="16"/>
      <c r="C31" s="363" t="s">
        <v>844</v>
      </c>
      <c r="D31" s="364" t="s">
        <v>839</v>
      </c>
      <c r="E31" s="342" t="str">
        <f>INDEX(Tbl_EquipmentDefinitions[Equipment Name],MATCH('Baseline Calculations'!$D31,Tbl_EquipmentDefinitions[Equipment ID],0))</f>
        <v>Central A/C+Propane Boiler</v>
      </c>
      <c r="F31" s="365" t="str">
        <f>INDEX(Tbl_EquipmentDefinitions[Function],MATCH('Baseline Calculations'!$D31,Tbl_EquipmentDefinitions[Equipment ID],0))</f>
        <v>Cool+Heat</v>
      </c>
      <c r="G31" s="366">
        <f>BOILER_TOTAL_HEATING_LOAD</f>
        <v>76.7</v>
      </c>
      <c r="H31" s="366">
        <f t="shared" si="2"/>
        <v>13.072800000000001</v>
      </c>
      <c r="I31" s="503">
        <f>PROPANE_WATER_HEATING_LOAD</f>
        <v>11.3</v>
      </c>
      <c r="J31" s="367" t="str">
        <f>INDEX(Tbl_EquipmentDefinitions[Fuel Type],MATCH(Tbl_BaselineSummary[[#This Row],[Equipment ID]],Tbl_EquipmentDefinitions[Equipment ID],0))</f>
        <v>Electric+Propane</v>
      </c>
      <c r="K31" s="216">
        <f>INDEX($K$37:$AF$1048576,MATCH(Tbl_BaselineSummary[[#This Row],[Baseline ID]:[Baseline ID]],$J$37:$J$1048576,0),MATCH(Tbl_BaselineSummary[[#Headers],[Baseline Annual Energy Cost (USD)]],Tbl_BaselineSummary[[#Headers],[Baseline Annual Energy Cost (USD)]:[Code Oil Annual Consumption (MMBtu)]],0))</f>
        <v>3973.5614599667006</v>
      </c>
      <c r="L31" s="202">
        <f>INDEX($K$37:$AF$1048576,MATCH(Tbl_BaselineSummary[[#This Row],[Baseline ID]:[Baseline ID]],$J$37:$J$1048576,0),MATCH(Tbl_BaselineSummary[[#Headers],[Baseline Electric Annual Consumption  (kWh)]],Tbl_BaselineSummary[[#Headers],[Baseline Annual Energy Cost (USD)]:[Code Oil Annual Consumption (MMBtu)]],0))</f>
        <v>1504.2800000000002</v>
      </c>
      <c r="M31" s="202">
        <f>INDEX($K$37:$AF$1048576,MATCH(Tbl_BaselineSummary[[#This Row],[Baseline ID]:[Baseline ID]],$J$37:$J$1048576,0),MATCH(Tbl_BaselineSummary[[#Headers],[Baseline Electric Winter Consumption (kWh)]],Tbl_BaselineSummary[[#Headers],[Baseline Annual Energy Cost (USD)]:[Code Oil Annual Consumption (MMBtu)]],0))</f>
        <v>197</v>
      </c>
      <c r="N31" s="202">
        <f>INDEX($K$37:$AF$1048576,MATCH(Tbl_BaselineSummary[[#This Row],[Baseline ID]:[Baseline ID]],$J$37:$J$1048576,0),MATCH(Tbl_BaselineSummary[[#Headers],[Baseline Electric Summer Consumption (kWh)]],Tbl_BaselineSummary[[#Headers],[Baseline Annual Energy Cost (USD)]:[Code Oil Annual Consumption (MMBtu)]],0))</f>
        <v>1307.2800000000002</v>
      </c>
      <c r="O31" s="152">
        <f>INDEX($K$37:$AF$1048576,MATCH(Tbl_BaselineSummary[[#This Row],[Baseline ID]:[Baseline ID]],$J$37:$J$1048576,0),MATCH(Tbl_BaselineSummary[[#Headers],[Baseline Electric Baseline Winter Peak Demand (kW)]],Tbl_BaselineSummary[[#Headers],[Baseline Annual Energy Cost (USD)]:[Code Oil Annual Consumption (MMBtu)]],0))</f>
        <v>3.0220517737296261E-2</v>
      </c>
      <c r="P31" s="152">
        <f>INDEX($K$37:$AF$1048576,MATCH(Tbl_BaselineSummary[[#This Row],[Baseline ID]:[Baseline ID]],$J$37:$J$1048576,0),MATCH(Tbl_BaselineSummary[[#Headers],[Baseline Electric Baseline Summer Peak Demand (kW)]],Tbl_BaselineSummary[[#Headers],[Baseline Annual Energy Cost (USD)]:[Code Oil Annual Consumption (MMBtu)]],0))</f>
        <v>1.835294117647059</v>
      </c>
      <c r="Q31" s="27">
        <f>INDEX($K$37:$AF$1048576,MATCH(Tbl_BaselineSummary[[#This Row],[Baseline ID]:[Baseline ID]],$J$37:$J$1048576,0),MATCH(Tbl_BaselineSummary[[#Headers],[Baseline Natural Gas Annual Consumption  (therms)]],Tbl_BaselineSummary[[#Headers],[Baseline Annual Energy Cost (USD)]:[Code Oil Annual Consumption (MMBtu)]],0))</f>
        <v>0</v>
      </c>
      <c r="R31" s="153">
        <f>INDEX($K$37:$AF$1048576,MATCH(Tbl_BaselineSummary[[#This Row],[Baseline ID]:[Baseline ID]],$J$37:$J$1048576,0),MATCH(Tbl_BaselineSummary[[#Headers],[Baseline Propane Annual Consumption  (MMBtu)]],Tbl_BaselineSummary[[#Headers],[Baseline Annual Energy Cost (USD)]:[Code Oil Annual Consumption (MMBtu)]],0))</f>
        <v>102.26666666666667</v>
      </c>
      <c r="S31" s="215">
        <f>INDEX($K$37:$AF$1048576,MATCH(Tbl_BaselineSummary[[#This Row],[Baseline ID]:[Baseline ID]],$J$37:$J$1048576,0),MATCH(Tbl_BaselineSummary[[#Headers],[Baseline Oil Annual Consumption  (MMBtu)]],Tbl_BaselineSummary[[#Headers],[Baseline Annual Energy Cost (USD)]:[Code Oil Annual Consumption (MMBtu)]],0))</f>
        <v>0</v>
      </c>
      <c r="T31" s="216">
        <f>INDEX($K$37:$AF$1048576,MATCH(Tbl_BaselineSummary[[#This Row],[Baseline ID]:[Baseline ID]],$J$37:$J$1048576,0),MATCH(Tbl_BaselineSummary[[#Headers],[Code Annual Energy Cost (USD)]],Tbl_BaselineSummary[[#Headers],[Baseline Annual Energy Cost (USD)]:[Code Oil Annual Consumption (MMBtu)]],0))</f>
        <v>3714.5592194388719</v>
      </c>
      <c r="U31" s="254">
        <f>INDEX($K$37:$AF$1048576,MATCH(Tbl_BaselineSummary[[#This Row],[Baseline ID]:[Baseline ID]],$J$37:$J$1048576,0),MATCH(Tbl_BaselineSummary[[#Headers],[Code Installed Costs (USD)]],Tbl_BaselineSummary[[#Headers],[Baseline Annual Energy Cost (USD)]:[Code Oil Annual Consumption (MMBtu)]],0))</f>
        <v>17187.400000000001</v>
      </c>
      <c r="V31" s="254">
        <f>INDEX($K$37:$AF$1048576,MATCH(Tbl_BaselineSummary[[#This Row],[Baseline ID]:[Baseline ID]],$J$37:$J$1048576,0),MATCH(Tbl_BaselineSummary[[#Headers],[Code A/C-only Installed Cost (USD)]],Tbl_BaselineSummary[[#Headers],[Baseline Annual Energy Cost (USD)]:[Code Oil Annual Consumption (MMBtu)]],0))</f>
        <v>10592.4</v>
      </c>
      <c r="W31" s="201">
        <f>INDEX($K$37:$AF$1048576,MATCH(Tbl_BaselineSummary[[#This Row],[Baseline ID]:[Baseline ID]],$J$37:$J$1048576,0),MATCH(Tbl_BaselineSummary[[#Headers],[Deferred Replacement Credit (USD)]],Tbl_BaselineSummary[[#Headers],[Baseline Annual Energy Cost (USD)]:[Code Oil Annual Consumption (MMBtu)]],0))</f>
        <v>7398.2044062285731</v>
      </c>
      <c r="X31" s="201">
        <f>INDEX($K$37:$AF$1048576,MATCH(Tbl_BaselineSummary[[#This Row],[Baseline ID]:[Baseline ID]],$J$37:$J$1048576,0),MATCH(Tbl_BaselineSummary[[#Headers],[A/C-only Deferred Replacement Credit (USD)]],Tbl_BaselineSummary[[#Headers],[Baseline Annual Energy Cost (USD)]:[Code Oil Annual Consumption (MMBtu)]],0))</f>
        <v>6760.0638096312941</v>
      </c>
      <c r="Y31" s="202">
        <f>INDEX($K$37:$AF$1048576,MATCH(Tbl_BaselineSummary[[#This Row],[Baseline ID]:[Baseline ID]],$J$37:$J$1048576,0),MATCH(Tbl_BaselineSummary[[#Headers],[Code Electric Annual Consumption (kWh)]],Tbl_BaselineSummary[[#Headers],[Baseline Annual Energy Cost (USD)]:[Code Oil Annual Consumption (MMBtu)]],0))</f>
        <v>1202.6000000000001</v>
      </c>
      <c r="Z31" s="202">
        <f>INDEX($K$37:$AF$1048576,MATCH(Tbl_BaselineSummary[[#This Row],[Baseline ID]:[Baseline ID]],$J$37:$J$1048576,0),MATCH(Tbl_BaselineSummary[[#Headers],[Code Electric Winter Consumption (kWh)]],Tbl_BaselineSummary[[#Headers],[Baseline Annual Energy Cost (USD)]:[Code Oil Annual Consumption (MMBtu)]],0))</f>
        <v>197</v>
      </c>
      <c r="AA31" s="202">
        <f>INDEX($K$37:$AF$1048576,MATCH(Tbl_BaselineSummary[[#This Row],[Baseline ID]:[Baseline ID]],$J$37:$J$1048576,0),MATCH(Tbl_BaselineSummary[[#Headers],[Code Electric Summer Consumption (kWh)]],Tbl_BaselineSummary[[#Headers],[Baseline Annual Energy Cost (USD)]:[Code Oil Annual Consumption (MMBtu)]],0))</f>
        <v>1005.6000000000001</v>
      </c>
      <c r="AB31" s="152">
        <f>INDEX($K$37:$AF$1048576,MATCH(Tbl_BaselineSummary[[#This Row],[Baseline ID]:[Baseline ID]],$J$37:$J$1048576,0),MATCH(Tbl_BaselineSummary[[#Headers],[Code Electric Winter Peak Demand (kW)]],Tbl_BaselineSummary[[#Headers],[Baseline Annual Energy Cost (USD)]:[Code Oil Annual Consumption (MMBtu)]],0))</f>
        <v>3.0220517737296261E-2</v>
      </c>
      <c r="AC31" s="152">
        <f>INDEX($K$37:$AF$1048576,MATCH(Tbl_BaselineSummary[[#This Row],[Baseline ID]:[Baseline ID]],$J$37:$J$1048576,0),MATCH(Tbl_BaselineSummary[[#Headers],[Code Electric Summer Peak Demand (kW)]],Tbl_BaselineSummary[[#Headers],[Baseline Annual Energy Cost (USD)]:[Code Oil Annual Consumption (MMBtu)]],0))</f>
        <v>1.4181818181818182</v>
      </c>
      <c r="AD31" s="84">
        <f>INDEX($K$37:$AF$1048576,MATCH(Tbl_BaselineSummary[[#This Row],[Baseline ID]:[Baseline ID]],$J$37:$J$1048576,0),MATCH(Tbl_BaselineSummary[[#Headers],[Code Natural Gas Annual Consumption (therms)]],Tbl_BaselineSummary[[#Headers],[Baseline Annual Energy Cost (USD)]:[Code Oil Annual Consumption (MMBtu)]],0))</f>
        <v>0</v>
      </c>
      <c r="AE31" s="153">
        <f>INDEX($K$37:$AF$1048576,MATCH(Tbl_BaselineSummary[[#This Row],[Baseline ID]:[Baseline ID]],$J$37:$J$1048576,0),MATCH(Tbl_BaselineSummary[[#Headers],[Code Propane Annual Consumption (MMBtu)]],Tbl_BaselineSummary[[#Headers],[Baseline Annual Energy Cost (USD)]:[Code Oil Annual Consumption (MMBtu)]],0))</f>
        <v>96.721311475409834</v>
      </c>
      <c r="AF31" s="219">
        <f>INDEX($K$37:$AF$1048576,MATCH(Tbl_BaselineSummary[[#This Row],[Baseline ID]:[Baseline ID]],$J$37:$J$1048576,0),MATCH(Tbl_BaselineSummary[[#Headers],[Code Oil Annual Consumption (MMBtu)]],Tbl_BaselineSummary[[#Headers],[Baseline Annual Energy Cost (USD)]:[Code Oil Annual Consumption (MMBtu)]],0))</f>
        <v>0</v>
      </c>
    </row>
    <row r="32" spans="2:32" x14ac:dyDescent="0.2">
      <c r="B32" s="16"/>
      <c r="C32" s="363" t="s">
        <v>936</v>
      </c>
      <c r="D32" s="364" t="s">
        <v>939</v>
      </c>
      <c r="E32" s="342" t="str">
        <f>INDEX(Tbl_EquipmentDefinitions[Equipment Name],MATCH('Baseline Calculations'!$D32,Tbl_EquipmentDefinitions[Equipment ID],0))</f>
        <v>Room AC/No AC Blend+Oil Boiler</v>
      </c>
      <c r="F32" s="365" t="str">
        <f>INDEX(Tbl_EquipmentDefinitions[Function],MATCH('Baseline Calculations'!$D32,Tbl_EquipmentDefinitions[Equipment ID],0))</f>
        <v>Cool+Heat</v>
      </c>
      <c r="G32" s="366">
        <f>BOILER_TOTAL_HEATING_LOAD</f>
        <v>76.7</v>
      </c>
      <c r="H32" s="366">
        <f t="shared" si="2"/>
        <v>13.072800000000001</v>
      </c>
      <c r="I32" s="291">
        <f>GAS_OIL_WATER_HEATING_LOAD</f>
        <v>13.9</v>
      </c>
      <c r="J32" s="367" t="str">
        <f>INDEX(Tbl_EquipmentDefinitions[Fuel Type],MATCH(Tbl_BaselineSummary[[#This Row],[Equipment ID]],Tbl_EquipmentDefinitions[Equipment ID],0))</f>
        <v>Electric+Oil</v>
      </c>
      <c r="K32" s="216">
        <f>INDEX($K$37:$AF$1048576,MATCH(Tbl_BaselineSummary[[#This Row],[Baseline ID]:[Baseline ID]],$J$37:$J$1048576,0),MATCH(Tbl_BaselineSummary[[#Headers],[Baseline Annual Energy Cost (USD)]],Tbl_BaselineSummary[[#Headers],[Baseline Annual Energy Cost (USD)]:[Code Oil Annual Consumption (MMBtu)]],0))</f>
        <v>2629.7287980291785</v>
      </c>
      <c r="L32" s="202">
        <f>INDEX($K$37:$AF$1048576,MATCH(Tbl_BaselineSummary[[#This Row],[Baseline ID]:[Baseline ID]],$J$37:$J$1048576,0),MATCH(Tbl_BaselineSummary[[#Headers],[Baseline Electric Annual Consumption  (kWh)]],Tbl_BaselineSummary[[#Headers],[Baseline Annual Energy Cost (USD)]:[Code Oil Annual Consumption (MMBtu)]],0))</f>
        <v>1682.521739130435</v>
      </c>
      <c r="M32" s="202">
        <f>INDEX($K$37:$AF$1048576,MATCH(Tbl_BaselineSummary[[#This Row],[Baseline ID]:[Baseline ID]],$J$37:$J$1048576,0),MATCH(Tbl_BaselineSummary[[#Headers],[Baseline Electric Winter Consumption (kWh)]],Tbl_BaselineSummary[[#Headers],[Baseline Annual Energy Cost (USD)]:[Code Oil Annual Consumption (MMBtu)]],0))</f>
        <v>230</v>
      </c>
      <c r="N32" s="202">
        <f>INDEX($K$37:$AF$1048576,MATCH(Tbl_BaselineSummary[[#This Row],[Baseline ID]:[Baseline ID]],$J$37:$J$1048576,0),MATCH(Tbl_BaselineSummary[[#Headers],[Baseline Electric Summer Consumption (kWh)]],Tbl_BaselineSummary[[#Headers],[Baseline Annual Energy Cost (USD)]:[Code Oil Annual Consumption (MMBtu)]],0))</f>
        <v>1452.521739130435</v>
      </c>
      <c r="O32" s="152">
        <f>INDEX($K$37:$AF$1048576,MATCH(Tbl_BaselineSummary[[#This Row],[Baseline ID]:[Baseline ID]],$J$37:$J$1048576,0),MATCH(Tbl_BaselineSummary[[#Headers],[Baseline Electric Baseline Winter Peak Demand (kW)]],Tbl_BaselineSummary[[#Headers],[Baseline Annual Energy Cost (USD)]:[Code Oil Annual Consumption (MMBtu)]],0))</f>
        <v>3.5282837967401733E-2</v>
      </c>
      <c r="P32" s="152">
        <f>INDEX($K$37:$AF$1048576,MATCH(Tbl_BaselineSummary[[#This Row],[Baseline ID]:[Baseline ID]],$J$37:$J$1048576,0),MATCH(Tbl_BaselineSummary[[#Headers],[Baseline Electric Baseline Summer Peak Demand (kW)]],Tbl_BaselineSummary[[#Headers],[Baseline Annual Energy Cost (USD)]:[Code Oil Annual Consumption (MMBtu)]],0))</f>
        <v>1.9200000000000002</v>
      </c>
      <c r="Q32" s="27">
        <f>INDEX($K$37:$AF$1048576,MATCH(Tbl_BaselineSummary[[#This Row],[Baseline ID]:[Baseline ID]],$J$37:$J$1048576,0),MATCH(Tbl_BaselineSummary[[#Headers],[Baseline Natural Gas Annual Consumption  (therms)]],Tbl_BaselineSummary[[#Headers],[Baseline Annual Energy Cost (USD)]:[Code Oil Annual Consumption (MMBtu)]],0))</f>
        <v>0</v>
      </c>
      <c r="R32" s="153">
        <f>INDEX($K$37:$AF$1048576,MATCH(Tbl_BaselineSummary[[#This Row],[Baseline ID]:[Baseline ID]],$J$37:$J$1048576,0),MATCH(Tbl_BaselineSummary[[#Headers],[Baseline Propane Annual Consumption  (MMBtu)]],Tbl_BaselineSummary[[#Headers],[Baseline Annual Energy Cost (USD)]:[Code Oil Annual Consumption (MMBtu)]],0))</f>
        <v>0</v>
      </c>
      <c r="S32" s="215">
        <f>INDEX($K$37:$AF$1048576,MATCH(Tbl_BaselineSummary[[#This Row],[Baseline ID]:[Baseline ID]],$J$37:$J$1048576,0),MATCH(Tbl_BaselineSummary[[#Headers],[Baseline Oil Annual Consumption  (MMBtu)]],Tbl_BaselineSummary[[#Headers],[Baseline Annual Energy Cost (USD)]:[Code Oil Annual Consumption (MMBtu)]],0))</f>
        <v>102.26666666666667</v>
      </c>
      <c r="T32" s="216">
        <f>INDEX($K$37:$AF$1048576,MATCH(Tbl_BaselineSummary[[#This Row],[Baseline ID]:[Baseline ID]],$J$37:$J$1048576,0),MATCH(Tbl_BaselineSummary[[#Headers],[Code Annual Energy Cost (USD)]],Tbl_BaselineSummary[[#Headers],[Baseline Annual Energy Cost (USD)]:[Code Oil Annual Consumption (MMBtu)]],0))</f>
        <v>2326.1678239546236</v>
      </c>
      <c r="U32" s="254">
        <f>INDEX($K$37:$AF$1048576,MATCH(Tbl_BaselineSummary[[#This Row],[Baseline ID]:[Baseline ID]],$J$37:$J$1048576,0),MATCH(Tbl_BaselineSummary[[#Headers],[Code Installed Costs (USD)]],Tbl_BaselineSummary[[#Headers],[Baseline Annual Energy Cost (USD)]:[Code Oil Annual Consumption (MMBtu)]],0))</f>
        <v>7700.782608695652</v>
      </c>
      <c r="V32" s="254">
        <f>INDEX($K$37:$AF$1048576,MATCH(Tbl_BaselineSummary[[#This Row],[Baseline ID]:[Baseline ID]],$J$37:$J$1048576,0),MATCH(Tbl_BaselineSummary[[#Headers],[Code A/C-only Installed Cost (USD)]],Tbl_BaselineSummary[[#Headers],[Baseline Annual Energy Cost (USD)]:[Code Oil Annual Consumption (MMBtu)]],0))</f>
        <v>834.78260869565224</v>
      </c>
      <c r="W32" s="201">
        <f>INDEX($K$37:$AF$1048576,MATCH(Tbl_BaselineSummary[[#This Row],[Baseline ID]:[Baseline ID]],$J$37:$J$1048576,0),MATCH(Tbl_BaselineSummary[[#Headers],[Deferred Replacement Credit (USD)]],Tbl_BaselineSummary[[#Headers],[Baseline Annual Energy Cost (USD)]:[Code Oil Annual Consumption (MMBtu)]],0))</f>
        <v>3496.2245592483241</v>
      </c>
      <c r="X32" s="201">
        <f>INDEX($K$37:$AF$1048576,MATCH(Tbl_BaselineSummary[[#This Row],[Baseline ID]:[Baseline ID]],$J$37:$J$1048576,0),MATCH(Tbl_BaselineSummary[[#Headers],[A/C-only Deferred Replacement Credit (USD)]],Tbl_BaselineSummary[[#Headers],[Baseline Annual Energy Cost (USD)]:[Code Oil Annual Consumption (MMBtu)]],0))</f>
        <v>540.79957040967588</v>
      </c>
      <c r="Y32" s="202">
        <f>INDEX($K$37:$AF$1048576,MATCH(Tbl_BaselineSummary[[#This Row],[Baseline ID]:[Baseline ID]],$J$37:$J$1048576,0),MATCH(Tbl_BaselineSummary[[#Headers],[Code Electric Annual Consumption (kWh)]],Tbl_BaselineSummary[[#Headers],[Baseline Annual Energy Cost (USD)]:[Code Oil Annual Consumption (MMBtu)]],0))</f>
        <v>1392.0173913043479</v>
      </c>
      <c r="Z32" s="202">
        <f>INDEX($K$37:$AF$1048576,MATCH(Tbl_BaselineSummary[[#This Row],[Baseline ID]:[Baseline ID]],$J$37:$J$1048576,0),MATCH(Tbl_BaselineSummary[[#Headers],[Code Electric Winter Consumption (kWh)]],Tbl_BaselineSummary[[#Headers],[Baseline Annual Energy Cost (USD)]:[Code Oil Annual Consumption (MMBtu)]],0))</f>
        <v>230</v>
      </c>
      <c r="AA32" s="202">
        <f>INDEX($K$37:$AF$1048576,MATCH(Tbl_BaselineSummary[[#This Row],[Baseline ID]:[Baseline ID]],$J$37:$J$1048576,0),MATCH(Tbl_BaselineSummary[[#Headers],[Code Electric Summer Consumption (kWh)]],Tbl_BaselineSummary[[#Headers],[Baseline Annual Energy Cost (USD)]:[Code Oil Annual Consumption (MMBtu)]],0))</f>
        <v>1162.0173913043479</v>
      </c>
      <c r="AB32" s="152">
        <f>INDEX($K$37:$AF$1048576,MATCH(Tbl_BaselineSummary[[#This Row],[Baseline ID]:[Baseline ID]],$J$37:$J$1048576,0),MATCH(Tbl_BaselineSummary[[#Headers],[Code Electric Winter Peak Demand (kW)]],Tbl_BaselineSummary[[#Headers],[Baseline Annual Energy Cost (USD)]:[Code Oil Annual Consumption (MMBtu)]],0))</f>
        <v>3.5282837967401733E-2</v>
      </c>
      <c r="AC32" s="152">
        <f>INDEX($K$37:$AF$1048576,MATCH(Tbl_BaselineSummary[[#This Row],[Baseline ID]:[Baseline ID]],$J$37:$J$1048576,0),MATCH(Tbl_BaselineSummary[[#Headers],[Code Electric Summer Peak Demand (kW)]],Tbl_BaselineSummary[[#Headers],[Baseline Annual Energy Cost (USD)]:[Code Oil Annual Consumption (MMBtu)]],0))</f>
        <v>1.5360000000000005</v>
      </c>
      <c r="AD32" s="84">
        <f>INDEX($K$37:$AF$1048576,MATCH(Tbl_BaselineSummary[[#This Row],[Baseline ID]:[Baseline ID]],$J$37:$J$1048576,0),MATCH(Tbl_BaselineSummary[[#Headers],[Code Natural Gas Annual Consumption (therms)]],Tbl_BaselineSummary[[#Headers],[Baseline Annual Energy Cost (USD)]:[Code Oil Annual Consumption (MMBtu)]],0))</f>
        <v>0</v>
      </c>
      <c r="AE32" s="153">
        <f>INDEX($K$37:$AF$1048576,MATCH(Tbl_BaselineSummary[[#This Row],[Baseline ID]:[Baseline ID]],$J$37:$J$1048576,0),MATCH(Tbl_BaselineSummary[[#Headers],[Code Propane Annual Consumption (MMBtu)]],Tbl_BaselineSummary[[#Headers],[Baseline Annual Energy Cost (USD)]:[Code Oil Annual Consumption (MMBtu)]],0))</f>
        <v>0</v>
      </c>
      <c r="AF32" s="219">
        <f>INDEX($K$37:$AF$1048576,MATCH(Tbl_BaselineSummary[[#This Row],[Baseline ID]:[Baseline ID]],$J$37:$J$1048576,0),MATCH(Tbl_BaselineSummary[[#Headers],[Code Oil Annual Consumption (MMBtu)]],Tbl_BaselineSummary[[#Headers],[Baseline Annual Energy Cost (USD)]:[Code Oil Annual Consumption (MMBtu)]],0))</f>
        <v>91.30952380952381</v>
      </c>
    </row>
    <row r="33" spans="2:35" x14ac:dyDescent="0.2">
      <c r="B33" s="16"/>
      <c r="C33" s="363" t="s">
        <v>937</v>
      </c>
      <c r="D33" s="364" t="s">
        <v>940</v>
      </c>
      <c r="E33" s="342" t="str">
        <f>INDEX(Tbl_EquipmentDefinitions[Equipment Name],MATCH('Baseline Calculations'!$D33,Tbl_EquipmentDefinitions[Equipment ID],0))</f>
        <v>Room AC/No AC Blend+Propane Boiler</v>
      </c>
      <c r="F33" s="365" t="str">
        <f>INDEX(Tbl_EquipmentDefinitions[Function],MATCH('Baseline Calculations'!$D33,Tbl_EquipmentDefinitions[Equipment ID],0))</f>
        <v>Cool+Heat</v>
      </c>
      <c r="G33" s="366">
        <f>BOILER_TOTAL_HEATING_LOAD</f>
        <v>76.7</v>
      </c>
      <c r="H33" s="366">
        <f t="shared" si="2"/>
        <v>13.072800000000001</v>
      </c>
      <c r="I33" s="503">
        <f>PROPANE_WATER_HEATING_LOAD</f>
        <v>11.3</v>
      </c>
      <c r="J33" s="367" t="str">
        <f>INDEX(Tbl_EquipmentDefinitions[Fuel Type],MATCH(Tbl_BaselineSummary[[#This Row],[Equipment ID]],Tbl_EquipmentDefinitions[Equipment ID],0))</f>
        <v>Electric+Propane</v>
      </c>
      <c r="K33" s="216">
        <f>INDEX($K$37:$AF$1048576,MATCH(Tbl_BaselineSummary[[#This Row],[Baseline ID]:[Baseline ID]],$J$37:$J$1048576,0),MATCH(Tbl_BaselineSummary[[#Headers],[Baseline Annual Energy Cost (USD)]],Tbl_BaselineSummary[[#Headers],[Baseline Annual Energy Cost (USD)]:[Code Oil Annual Consumption (MMBtu)]],0))</f>
        <v>4002.2902759667004</v>
      </c>
      <c r="L33" s="202">
        <f>INDEX($K$37:$AF$1048576,MATCH(Tbl_BaselineSummary[[#This Row],[Baseline ID]:[Baseline ID]],$J$37:$J$1048576,0),MATCH(Tbl_BaselineSummary[[#Headers],[Baseline Electric Annual Consumption  (kWh)]],Tbl_BaselineSummary[[#Headers],[Baseline Annual Energy Cost (USD)]:[Code Oil Annual Consumption (MMBtu)]],0))</f>
        <v>1649.521739130435</v>
      </c>
      <c r="M33" s="202">
        <f>INDEX($K$37:$AF$1048576,MATCH(Tbl_BaselineSummary[[#This Row],[Baseline ID]:[Baseline ID]],$J$37:$J$1048576,0),MATCH(Tbl_BaselineSummary[[#Headers],[Baseline Electric Winter Consumption (kWh)]],Tbl_BaselineSummary[[#Headers],[Baseline Annual Energy Cost (USD)]:[Code Oil Annual Consumption (MMBtu)]],0))</f>
        <v>197</v>
      </c>
      <c r="N33" s="202">
        <f>INDEX($K$37:$AF$1048576,MATCH(Tbl_BaselineSummary[[#This Row],[Baseline ID]:[Baseline ID]],$J$37:$J$1048576,0),MATCH(Tbl_BaselineSummary[[#Headers],[Baseline Electric Summer Consumption (kWh)]],Tbl_BaselineSummary[[#Headers],[Baseline Annual Energy Cost (USD)]:[Code Oil Annual Consumption (MMBtu)]],0))</f>
        <v>1452.521739130435</v>
      </c>
      <c r="O33" s="152">
        <f>INDEX($K$37:$AF$1048576,MATCH(Tbl_BaselineSummary[[#This Row],[Baseline ID]:[Baseline ID]],$J$37:$J$1048576,0),MATCH(Tbl_BaselineSummary[[#Headers],[Baseline Electric Baseline Winter Peak Demand (kW)]],Tbl_BaselineSummary[[#Headers],[Baseline Annual Energy Cost (USD)]:[Code Oil Annual Consumption (MMBtu)]],0))</f>
        <v>3.0220517737296261E-2</v>
      </c>
      <c r="P33" s="152">
        <f>INDEX($K$37:$AF$1048576,MATCH(Tbl_BaselineSummary[[#This Row],[Baseline ID]:[Baseline ID]],$J$37:$J$1048576,0),MATCH(Tbl_BaselineSummary[[#Headers],[Baseline Electric Baseline Summer Peak Demand (kW)]],Tbl_BaselineSummary[[#Headers],[Baseline Annual Energy Cost (USD)]:[Code Oil Annual Consumption (MMBtu)]],0))</f>
        <v>1.9200000000000002</v>
      </c>
      <c r="Q33" s="27">
        <f>INDEX($K$37:$AF$1048576,MATCH(Tbl_BaselineSummary[[#This Row],[Baseline ID]:[Baseline ID]],$J$37:$J$1048576,0),MATCH(Tbl_BaselineSummary[[#Headers],[Baseline Natural Gas Annual Consumption  (therms)]],Tbl_BaselineSummary[[#Headers],[Baseline Annual Energy Cost (USD)]:[Code Oil Annual Consumption (MMBtu)]],0))</f>
        <v>0</v>
      </c>
      <c r="R33" s="153">
        <f>INDEX($K$37:$AF$1048576,MATCH(Tbl_BaselineSummary[[#This Row],[Baseline ID]:[Baseline ID]],$J$37:$J$1048576,0),MATCH(Tbl_BaselineSummary[[#Headers],[Baseline Propane Annual Consumption  (MMBtu)]],Tbl_BaselineSummary[[#Headers],[Baseline Annual Energy Cost (USD)]:[Code Oil Annual Consumption (MMBtu)]],0))</f>
        <v>102.26666666666667</v>
      </c>
      <c r="S33" s="215">
        <f>INDEX($K$37:$AF$1048576,MATCH(Tbl_BaselineSummary[[#This Row],[Baseline ID]:[Baseline ID]],$J$37:$J$1048576,0),MATCH(Tbl_BaselineSummary[[#Headers],[Baseline Oil Annual Consumption  (MMBtu)]],Tbl_BaselineSummary[[#Headers],[Baseline Annual Energy Cost (USD)]:[Code Oil Annual Consumption (MMBtu)]],0))</f>
        <v>0</v>
      </c>
      <c r="T33" s="216">
        <f>INDEX($K$37:$AF$1048576,MATCH(Tbl_BaselineSummary[[#This Row],[Baseline ID]:[Baseline ID]],$J$37:$J$1048576,0),MATCH(Tbl_BaselineSummary[[#Headers],[Code Annual Energy Cost (USD)]],Tbl_BaselineSummary[[#Headers],[Baseline Annual Energy Cost (USD)]:[Code Oil Annual Consumption (MMBtu)]],0))</f>
        <v>3745.4985794388722</v>
      </c>
      <c r="U33" s="254">
        <f>INDEX($K$37:$AF$1048576,MATCH(Tbl_BaselineSummary[[#This Row],[Baseline ID]:[Baseline ID]],$J$37:$J$1048576,0),MATCH(Tbl_BaselineSummary[[#Headers],[Code Installed Costs (USD)]],Tbl_BaselineSummary[[#Headers],[Baseline Annual Energy Cost (USD)]:[Code Oil Annual Consumption (MMBtu)]],0))</f>
        <v>7429.782608695652</v>
      </c>
      <c r="V33" s="254">
        <f>INDEX($K$37:$AF$1048576,MATCH(Tbl_BaselineSummary[[#This Row],[Baseline ID]:[Baseline ID]],$J$37:$J$1048576,0),MATCH(Tbl_BaselineSummary[[#Headers],[Code A/C-only Installed Cost (USD)]],Tbl_BaselineSummary[[#Headers],[Baseline Annual Energy Cost (USD)]:[Code Oil Annual Consumption (MMBtu)]],0))</f>
        <v>834.78260869565224</v>
      </c>
      <c r="W33" s="201">
        <f>INDEX($K$37:$AF$1048576,MATCH(Tbl_BaselineSummary[[#This Row],[Baseline ID]:[Baseline ID]],$J$37:$J$1048576,0),MATCH(Tbl_BaselineSummary[[#Headers],[Deferred Replacement Credit (USD)]],Tbl_BaselineSummary[[#Headers],[Baseline Annual Energy Cost (USD)]:[Code Oil Annual Consumption (MMBtu)]],0))</f>
        <v>3379.5743739912205</v>
      </c>
      <c r="X33" s="201">
        <f>INDEX($K$37:$AF$1048576,MATCH(Tbl_BaselineSummary[[#This Row],[Baseline ID]:[Baseline ID]],$J$37:$J$1048576,0),MATCH(Tbl_BaselineSummary[[#Headers],[A/C-only Deferred Replacement Credit (USD)]],Tbl_BaselineSummary[[#Headers],[Baseline Annual Energy Cost (USD)]:[Code Oil Annual Consumption (MMBtu)]],0))</f>
        <v>540.79957040967588</v>
      </c>
      <c r="Y33" s="202">
        <f>INDEX($K$37:$AF$1048576,MATCH(Tbl_BaselineSummary[[#This Row],[Baseline ID]:[Baseline ID]],$J$37:$J$1048576,0),MATCH(Tbl_BaselineSummary[[#Headers],[Code Electric Annual Consumption (kWh)]],Tbl_BaselineSummary[[#Headers],[Baseline Annual Energy Cost (USD)]:[Code Oil Annual Consumption (MMBtu)]],0))</f>
        <v>1359.0173913043479</v>
      </c>
      <c r="Z33" s="202">
        <f>INDEX($K$37:$AF$1048576,MATCH(Tbl_BaselineSummary[[#This Row],[Baseline ID]:[Baseline ID]],$J$37:$J$1048576,0),MATCH(Tbl_BaselineSummary[[#Headers],[Code Electric Winter Consumption (kWh)]],Tbl_BaselineSummary[[#Headers],[Baseline Annual Energy Cost (USD)]:[Code Oil Annual Consumption (MMBtu)]],0))</f>
        <v>197</v>
      </c>
      <c r="AA33" s="202">
        <f>INDEX($K$37:$AF$1048576,MATCH(Tbl_BaselineSummary[[#This Row],[Baseline ID]:[Baseline ID]],$J$37:$J$1048576,0),MATCH(Tbl_BaselineSummary[[#Headers],[Code Electric Summer Consumption (kWh)]],Tbl_BaselineSummary[[#Headers],[Baseline Annual Energy Cost (USD)]:[Code Oil Annual Consumption (MMBtu)]],0))</f>
        <v>1162.0173913043479</v>
      </c>
      <c r="AB33" s="152">
        <f>INDEX($K$37:$AF$1048576,MATCH(Tbl_BaselineSummary[[#This Row],[Baseline ID]:[Baseline ID]],$J$37:$J$1048576,0),MATCH(Tbl_BaselineSummary[[#Headers],[Code Electric Winter Peak Demand (kW)]],Tbl_BaselineSummary[[#Headers],[Baseline Annual Energy Cost (USD)]:[Code Oil Annual Consumption (MMBtu)]],0))</f>
        <v>3.0220517737296261E-2</v>
      </c>
      <c r="AC33" s="152">
        <f>INDEX($K$37:$AF$1048576,MATCH(Tbl_BaselineSummary[[#This Row],[Baseline ID]:[Baseline ID]],$J$37:$J$1048576,0),MATCH(Tbl_BaselineSummary[[#Headers],[Code Electric Summer Peak Demand (kW)]],Tbl_BaselineSummary[[#Headers],[Baseline Annual Energy Cost (USD)]:[Code Oil Annual Consumption (MMBtu)]],0))</f>
        <v>1.5360000000000005</v>
      </c>
      <c r="AD33" s="84">
        <f>INDEX($K$37:$AF$1048576,MATCH(Tbl_BaselineSummary[[#This Row],[Baseline ID]:[Baseline ID]],$J$37:$J$1048576,0),MATCH(Tbl_BaselineSummary[[#Headers],[Code Natural Gas Annual Consumption (therms)]],Tbl_BaselineSummary[[#Headers],[Baseline Annual Energy Cost (USD)]:[Code Oil Annual Consumption (MMBtu)]],0))</f>
        <v>0</v>
      </c>
      <c r="AE33" s="153">
        <f>INDEX($K$37:$AF$1048576,MATCH(Tbl_BaselineSummary[[#This Row],[Baseline ID]:[Baseline ID]],$J$37:$J$1048576,0),MATCH(Tbl_BaselineSummary[[#Headers],[Code Propane Annual Consumption (MMBtu)]],Tbl_BaselineSummary[[#Headers],[Baseline Annual Energy Cost (USD)]:[Code Oil Annual Consumption (MMBtu)]],0))</f>
        <v>96.721311475409834</v>
      </c>
      <c r="AF33" s="219">
        <f>INDEX($K$37:$AF$1048576,MATCH(Tbl_BaselineSummary[[#This Row],[Baseline ID]:[Baseline ID]],$J$37:$J$1048576,0),MATCH(Tbl_BaselineSummary[[#Headers],[Code Oil Annual Consumption (MMBtu)]],Tbl_BaselineSummary[[#Headers],[Baseline Annual Energy Cost (USD)]:[Code Oil Annual Consumption (MMBtu)]],0))</f>
        <v>0</v>
      </c>
    </row>
    <row r="34" spans="2:35" x14ac:dyDescent="0.2">
      <c r="B34" s="16"/>
      <c r="C34" s="363" t="s">
        <v>938</v>
      </c>
      <c r="D34" s="364" t="s">
        <v>941</v>
      </c>
      <c r="E34" s="342" t="str">
        <f>INDEX(Tbl_EquipmentDefinitions[Equipment Name],MATCH('Baseline Calculations'!$D34,Tbl_EquipmentDefinitions[Equipment ID],0))</f>
        <v>Room AC/No AC Blend+Electric Baseboard</v>
      </c>
      <c r="F34" s="365" t="str">
        <f>INDEX(Tbl_EquipmentDefinitions[Function],MATCH('Baseline Calculations'!$D34,Tbl_EquipmentDefinitions[Equipment ID],0))</f>
        <v>Cool+Heat</v>
      </c>
      <c r="G34" s="366">
        <f>BOILER_TOTAL_HEATING_LOAD</f>
        <v>76.7</v>
      </c>
      <c r="H34" s="366">
        <f t="shared" si="2"/>
        <v>13.072800000000001</v>
      </c>
      <c r="I34" s="504">
        <f>ELECTRIC_WATER_HEATING_LOAD</f>
        <v>8</v>
      </c>
      <c r="J34" s="367" t="str">
        <f>INDEX(Tbl_EquipmentDefinitions[Fuel Type],MATCH(Tbl_BaselineSummary[[#This Row],[Equipment ID]],Tbl_EquipmentDefinitions[Equipment ID],0))</f>
        <v>Electric+Electric</v>
      </c>
      <c r="K34" s="216">
        <f>INDEX($K$37:$AF$1048576,MATCH(Tbl_BaselineSummary[[#This Row],[Baseline ID]:[Baseline ID]],$J$37:$J$1048576,0),MATCH(Tbl_BaselineSummary[[#Headers],[Baseline Annual Energy Cost (USD)]],Tbl_BaselineSummary[[#Headers],[Baseline Annual Energy Cost (USD)]:[Code Oil Annual Consumption (MMBtu)]],0))</f>
        <v>4733.7507695193435</v>
      </c>
      <c r="L34" s="202">
        <f>INDEX($K$37:$AF$1048576,MATCH(Tbl_BaselineSummary[[#This Row],[Baseline ID]:[Baseline ID]],$J$37:$J$1048576,0),MATCH(Tbl_BaselineSummary[[#Headers],[Baseline Electric Annual Consumption  (kWh)]],Tbl_BaselineSummary[[#Headers],[Baseline Annual Energy Cost (USD)]:[Code Oil Annual Consumption (MMBtu)]],0))</f>
        <v>23932.005912635712</v>
      </c>
      <c r="M34" s="202">
        <f>INDEX($K$37:$AF$1048576,MATCH(Tbl_BaselineSummary[[#This Row],[Baseline ID]:[Baseline ID]],$J$37:$J$1048576,0),MATCH(Tbl_BaselineSummary[[#Headers],[Baseline Electric Winter Consumption (kWh)]],Tbl_BaselineSummary[[#Headers],[Baseline Annual Energy Cost (USD)]:[Code Oil Annual Consumption (MMBtu)]],0))</f>
        <v>22479.484173505276</v>
      </c>
      <c r="N34" s="202">
        <f>INDEX($K$37:$AF$1048576,MATCH(Tbl_BaselineSummary[[#This Row],[Baseline ID]:[Baseline ID]],$J$37:$J$1048576,0),MATCH(Tbl_BaselineSummary[[#Headers],[Baseline Electric Summer Consumption (kWh)]],Tbl_BaselineSummary[[#Headers],[Baseline Annual Energy Cost (USD)]:[Code Oil Annual Consumption (MMBtu)]],0))</f>
        <v>1452.521739130435</v>
      </c>
      <c r="O34" s="152">
        <f>INDEX($K$37:$AF$1048576,MATCH(Tbl_BaselineSummary[[#This Row],[Baseline ID]:[Baseline ID]],$J$37:$J$1048576,0),MATCH(Tbl_BaselineSummary[[#Headers],[Baseline Electric Baseline Winter Peak Demand (kW)]],Tbl_BaselineSummary[[#Headers],[Baseline Annual Energy Cost (USD)]:[Code Oil Annual Consumption (MMBtu)]],0))</f>
        <v>3.75</v>
      </c>
      <c r="P34" s="152">
        <f>INDEX($K$37:$AF$1048576,MATCH(Tbl_BaselineSummary[[#This Row],[Baseline ID]:[Baseline ID]],$J$37:$J$1048576,0),MATCH(Tbl_BaselineSummary[[#Headers],[Baseline Electric Baseline Summer Peak Demand (kW)]],Tbl_BaselineSummary[[#Headers],[Baseline Annual Energy Cost (USD)]:[Code Oil Annual Consumption (MMBtu)]],0))</f>
        <v>1.9200000000000002</v>
      </c>
      <c r="Q34" s="27">
        <f>INDEX($K$37:$AF$1048576,MATCH(Tbl_BaselineSummary[[#This Row],[Baseline ID]:[Baseline ID]],$J$37:$J$1048576,0),MATCH(Tbl_BaselineSummary[[#Headers],[Baseline Natural Gas Annual Consumption  (therms)]],Tbl_BaselineSummary[[#Headers],[Baseline Annual Energy Cost (USD)]:[Code Oil Annual Consumption (MMBtu)]],0))</f>
        <v>0</v>
      </c>
      <c r="R34" s="153">
        <f>INDEX($K$37:$AF$1048576,MATCH(Tbl_BaselineSummary[[#This Row],[Baseline ID]:[Baseline ID]],$J$37:$J$1048576,0),MATCH(Tbl_BaselineSummary[[#Headers],[Baseline Propane Annual Consumption  (MMBtu)]],Tbl_BaselineSummary[[#Headers],[Baseline Annual Energy Cost (USD)]:[Code Oil Annual Consumption (MMBtu)]],0))</f>
        <v>0</v>
      </c>
      <c r="S34" s="215">
        <f>INDEX($K$37:$AF$1048576,MATCH(Tbl_BaselineSummary[[#This Row],[Baseline ID]:[Baseline ID]],$J$37:$J$1048576,0),MATCH(Tbl_BaselineSummary[[#Headers],[Baseline Oil Annual Consumption  (MMBtu)]],Tbl_BaselineSummary[[#Headers],[Baseline Annual Energy Cost (USD)]:[Code Oil Annual Consumption (MMBtu)]],0))</f>
        <v>0</v>
      </c>
      <c r="T34" s="216">
        <f>INDEX($K$37:$AF$1048576,MATCH(Tbl_BaselineSummary[[#This Row],[Baseline ID]:[Baseline ID]],$J$37:$J$1048576,0),MATCH(Tbl_BaselineSummary[[#Headers],[Code Annual Energy Cost (USD)]],Tbl_BaselineSummary[[#Headers],[Baseline Annual Energy Cost (USD)]:[Code Oil Annual Consumption (MMBtu)]],0))</f>
        <v>4963.5978095193432</v>
      </c>
      <c r="U34" s="254">
        <f>INDEX($K$37:$AF$1048576,MATCH(Tbl_BaselineSummary[[#This Row],[Baseline ID]:[Baseline ID]],$J$37:$J$1048576,0),MATCH(Tbl_BaselineSummary[[#Headers],[Code Installed Costs (USD)]],Tbl_BaselineSummary[[#Headers],[Baseline Annual Energy Cost (USD)]:[Code Oil Annual Consumption (MMBtu)]],0))</f>
        <v>1389.7826086956522</v>
      </c>
      <c r="V34" s="254">
        <f>INDEX($K$37:$AF$1048576,MATCH(Tbl_BaselineSummary[[#This Row],[Baseline ID]:[Baseline ID]],$J$37:$J$1048576,0),MATCH(Tbl_BaselineSummary[[#Headers],[Code A/C-only Installed Cost (USD)]],Tbl_BaselineSummary[[#Headers],[Baseline Annual Energy Cost (USD)]:[Code Oil Annual Consumption (MMBtu)]],0))</f>
        <v>834.78260869565224</v>
      </c>
      <c r="W34" s="201">
        <f>INDEX($K$37:$AF$1048576,MATCH(Tbl_BaselineSummary[[#This Row],[Baseline ID]:[Baseline ID]],$J$37:$J$1048576,0),MATCH(Tbl_BaselineSummary[[#Headers],[Deferred Replacement Credit (USD)]],Tbl_BaselineSummary[[#Headers],[Baseline Annual Energy Cost (USD)]:[Code Oil Annual Consumption (MMBtu)]],0))</f>
        <v>884.37841048184657</v>
      </c>
      <c r="X34" s="201">
        <f>INDEX($K$37:$AF$1048576,MATCH(Tbl_BaselineSummary[[#This Row],[Baseline ID]:[Baseline ID]],$J$37:$J$1048576,0),MATCH(Tbl_BaselineSummary[[#Headers],[A/C-only Deferred Replacement Credit (USD)]],Tbl_BaselineSummary[[#Headers],[Baseline Annual Energy Cost (USD)]:[Code Oil Annual Consumption (MMBtu)]],0))</f>
        <v>540.79957040967588</v>
      </c>
      <c r="Y34" s="202">
        <f>INDEX($K$37:$AF$1048576,MATCH(Tbl_BaselineSummary[[#This Row],[Baseline ID]:[Baseline ID]],$J$37:$J$1048576,0),MATCH(Tbl_BaselineSummary[[#Headers],[Code Electric Annual Consumption (kWh)]],Tbl_BaselineSummary[[#Headers],[Baseline Annual Energy Cost (USD)]:[Code Oil Annual Consumption (MMBtu)]],0))</f>
        <v>25094.023303940059</v>
      </c>
      <c r="Z34" s="202">
        <f>INDEX($K$37:$AF$1048576,MATCH(Tbl_BaselineSummary[[#This Row],[Baseline ID]:[Baseline ID]],$J$37:$J$1048576,0),MATCH(Tbl_BaselineSummary[[#Headers],[Code Electric Winter Consumption (kWh)]],Tbl_BaselineSummary[[#Headers],[Baseline Annual Energy Cost (USD)]:[Code Oil Annual Consumption (MMBtu)]],0))</f>
        <v>22479.484173505276</v>
      </c>
      <c r="AA34" s="202">
        <f>INDEX($K$37:$AF$1048576,MATCH(Tbl_BaselineSummary[[#This Row],[Baseline ID]:[Baseline ID]],$J$37:$J$1048576,0),MATCH(Tbl_BaselineSummary[[#Headers],[Code Electric Summer Consumption (kWh)]],Tbl_BaselineSummary[[#Headers],[Baseline Annual Energy Cost (USD)]:[Code Oil Annual Consumption (MMBtu)]],0))</f>
        <v>1162.0173913043479</v>
      </c>
      <c r="AB34" s="152">
        <f>INDEX($K$37:$AF$1048576,MATCH(Tbl_BaselineSummary[[#This Row],[Baseline ID]:[Baseline ID]],$J$37:$J$1048576,0),MATCH(Tbl_BaselineSummary[[#Headers],[Code Electric Winter Peak Demand (kW)]],Tbl_BaselineSummary[[#Headers],[Baseline Annual Energy Cost (USD)]:[Code Oil Annual Consumption (MMBtu)]],0))</f>
        <v>3.75</v>
      </c>
      <c r="AC34" s="152">
        <f>INDEX($K$37:$AF$1048576,MATCH(Tbl_BaselineSummary[[#This Row],[Baseline ID]:[Baseline ID]],$J$37:$J$1048576,0),MATCH(Tbl_BaselineSummary[[#Headers],[Code Electric Summer Peak Demand (kW)]],Tbl_BaselineSummary[[#Headers],[Baseline Annual Energy Cost (USD)]:[Code Oil Annual Consumption (MMBtu)]],0))</f>
        <v>1.5360000000000005</v>
      </c>
      <c r="AD34" s="84">
        <f>INDEX($K$37:$AF$1048576,MATCH(Tbl_BaselineSummary[[#This Row],[Baseline ID]:[Baseline ID]],$J$37:$J$1048576,0),MATCH(Tbl_BaselineSummary[[#Headers],[Code Natural Gas Annual Consumption (therms)]],Tbl_BaselineSummary[[#Headers],[Baseline Annual Energy Cost (USD)]:[Code Oil Annual Consumption (MMBtu)]],0))</f>
        <v>0</v>
      </c>
      <c r="AE34" s="153">
        <f>INDEX($K$37:$AF$1048576,MATCH(Tbl_BaselineSummary[[#This Row],[Baseline ID]:[Baseline ID]],$J$37:$J$1048576,0),MATCH(Tbl_BaselineSummary[[#Headers],[Code Propane Annual Consumption (MMBtu)]],Tbl_BaselineSummary[[#Headers],[Baseline Annual Energy Cost (USD)]:[Code Oil Annual Consumption (MMBtu)]],0))</f>
        <v>0</v>
      </c>
      <c r="AF34" s="219">
        <f>INDEX($K$37:$AF$1048576,MATCH(Tbl_BaselineSummary[[#This Row],[Baseline ID]:[Baseline ID]],$J$37:$J$1048576,0),MATCH(Tbl_BaselineSummary[[#Headers],[Code Oil Annual Consumption (MMBtu)]],Tbl_BaselineSummary[[#Headers],[Baseline Annual Energy Cost (USD)]:[Code Oil Annual Consumption (MMBtu)]],0))</f>
        <v>0</v>
      </c>
    </row>
    <row r="35" spans="2:35" ht="11.1" customHeight="1" x14ac:dyDescent="0.2"/>
    <row r="37" spans="2:35" ht="13.5" thickBot="1" x14ac:dyDescent="0.25">
      <c r="B37" s="9" t="s">
        <v>248</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row>
    <row r="38" spans="2:35" x14ac:dyDescent="0.2">
      <c r="B38" s="15"/>
    </row>
    <row r="39" spans="2:35" ht="15.75" thickBot="1" x14ac:dyDescent="0.25">
      <c r="B39" s="16"/>
      <c r="C39" s="74" t="s">
        <v>270</v>
      </c>
      <c r="D39" s="75"/>
      <c r="E39" s="75"/>
      <c r="F39" s="75"/>
      <c r="G39" s="75"/>
      <c r="H39" s="75"/>
      <c r="J39" s="75" t="s">
        <v>271</v>
      </c>
      <c r="K39" s="75"/>
      <c r="L39" s="48"/>
      <c r="M39" s="48"/>
      <c r="N39" s="48"/>
      <c r="O39" s="48"/>
      <c r="P39" s="48"/>
      <c r="Q39" s="48"/>
      <c r="R39" s="48"/>
      <c r="S39" s="48"/>
      <c r="T39" s="48"/>
      <c r="U39" s="48"/>
      <c r="V39" s="48"/>
      <c r="W39" s="48"/>
      <c r="X39" s="48"/>
      <c r="Y39" s="48"/>
      <c r="Z39" s="48"/>
      <c r="AA39" s="48"/>
      <c r="AB39" s="48"/>
      <c r="AC39" s="48"/>
      <c r="AD39" s="48"/>
      <c r="AE39" s="48"/>
      <c r="AF39" s="49"/>
    </row>
    <row r="40" spans="2:35" x14ac:dyDescent="0.2">
      <c r="B40" s="16"/>
      <c r="C40" s="50"/>
      <c r="D40" s="5"/>
      <c r="E40" s="5"/>
      <c r="F40" s="5"/>
      <c r="G40" s="5"/>
      <c r="H40" s="5"/>
      <c r="J40" s="5"/>
      <c r="K40" s="5"/>
      <c r="L40" s="5"/>
      <c r="M40" s="5"/>
      <c r="N40" s="5"/>
      <c r="O40" s="5"/>
      <c r="P40" s="5"/>
      <c r="Q40" s="5"/>
      <c r="R40" s="5"/>
      <c r="S40" s="5"/>
      <c r="T40" s="5"/>
      <c r="U40" s="5"/>
      <c r="V40" s="5"/>
      <c r="W40" s="5"/>
      <c r="X40" s="5"/>
      <c r="Y40" s="5"/>
      <c r="Z40" s="5"/>
      <c r="AA40" s="5"/>
      <c r="AB40" s="5"/>
      <c r="AC40" s="5"/>
      <c r="AD40" s="5"/>
      <c r="AE40" s="5"/>
      <c r="AF40" s="51"/>
    </row>
    <row r="41" spans="2:35" ht="34.5" thickBot="1" x14ac:dyDescent="0.25">
      <c r="B41" s="16"/>
      <c r="C41" s="76" t="s">
        <v>249</v>
      </c>
      <c r="D41" s="81" t="s">
        <v>227</v>
      </c>
      <c r="E41" s="71"/>
      <c r="F41" s="66" t="s">
        <v>260</v>
      </c>
      <c r="G41" s="66" t="s">
        <v>5</v>
      </c>
      <c r="H41" s="66" t="s">
        <v>6</v>
      </c>
      <c r="J41" s="66" t="s">
        <v>127</v>
      </c>
      <c r="K41" s="72" t="s">
        <v>261</v>
      </c>
      <c r="L41" s="72" t="s">
        <v>262</v>
      </c>
      <c r="M41" s="72" t="s">
        <v>1455</v>
      </c>
      <c r="N41" s="72" t="s">
        <v>1456</v>
      </c>
      <c r="O41" s="72" t="s">
        <v>963</v>
      </c>
      <c r="P41" s="72" t="s">
        <v>974</v>
      </c>
      <c r="Q41" s="72" t="s">
        <v>263</v>
      </c>
      <c r="R41" s="72" t="s">
        <v>264</v>
      </c>
      <c r="S41" s="72" t="s">
        <v>265</v>
      </c>
      <c r="T41" s="72" t="s">
        <v>280</v>
      </c>
      <c r="U41" s="72" t="s">
        <v>200</v>
      </c>
      <c r="V41" s="72" t="s">
        <v>753</v>
      </c>
      <c r="W41" s="72" t="s">
        <v>634</v>
      </c>
      <c r="X41" s="72" t="s">
        <v>754</v>
      </c>
      <c r="Y41" s="72" t="s">
        <v>266</v>
      </c>
      <c r="Z41" s="72" t="s">
        <v>1457</v>
      </c>
      <c r="AA41" s="72" t="s">
        <v>1458</v>
      </c>
      <c r="AB41" s="72" t="s">
        <v>964</v>
      </c>
      <c r="AC41" s="72" t="s">
        <v>975</v>
      </c>
      <c r="AD41" s="72" t="s">
        <v>267</v>
      </c>
      <c r="AE41" s="72" t="s">
        <v>268</v>
      </c>
      <c r="AF41" s="77" t="s">
        <v>269</v>
      </c>
    </row>
    <row r="42" spans="2:35" ht="33.75" x14ac:dyDescent="0.2">
      <c r="B42" s="16"/>
      <c r="C42" s="61"/>
      <c r="D42" s="5"/>
      <c r="E42" s="5"/>
      <c r="F42" s="63" t="s">
        <v>178</v>
      </c>
      <c r="G42" s="559" t="str">
        <f>INDEX(Tbl_EquipmentDefinitions[Electricity Baseline Efficiency],MATCH(D43,Tbl_EquipmentDefinitions[Equipment ID],0))</f>
        <v xml:space="preserve">CAC: 10 SEER/8.5 EER. 
Room A/C: 8 EER </v>
      </c>
      <c r="H42" s="560" t="str">
        <f>INDEX(Tbl_EquipmentDefinitions[Electricity Code Efficiency],MATCH(D43,Tbl_EquipmentDefinitions[Equipment ID],0))</f>
        <v>CAC: 13 SEER/11 EER; 
Room A/C: 10 EER</v>
      </c>
      <c r="J42" s="63" t="str">
        <f>D41</f>
        <v>BASE01</v>
      </c>
      <c r="K42" s="148">
        <f>K52+P50+U52</f>
        <v>2298.9448826231851</v>
      </c>
      <c r="L42" s="285">
        <f>P47+U50</f>
        <v>1778.7062400000002</v>
      </c>
      <c r="M42" s="285">
        <f>P47</f>
        <v>374.55</v>
      </c>
      <c r="N42" s="285">
        <f>U50</f>
        <v>1404.1562400000003</v>
      </c>
      <c r="O42" s="117">
        <f>P62</f>
        <v>5.7457334611697032E-2</v>
      </c>
      <c r="P42" s="117">
        <f>U54</f>
        <v>1.8917929411764707</v>
      </c>
      <c r="Q42" s="286">
        <v>0</v>
      </c>
      <c r="R42" s="286">
        <v>0</v>
      </c>
      <c r="S42" s="286">
        <f>K49</f>
        <v>86.692015209125472</v>
      </c>
      <c r="T42" s="148">
        <f>K53+P51+U53</f>
        <v>2144.1586439743196</v>
      </c>
      <c r="U42" s="148">
        <f>P54+U49</f>
        <v>9183.0691999999999</v>
      </c>
      <c r="V42" s="148">
        <f>U49</f>
        <v>4084.0691999999995</v>
      </c>
      <c r="W42" s="148">
        <f>((PV(DiscountRate, (D54-D55),PMT(DiscountRate, D54, U42))/(1+DiscountRate)^(D55)))</f>
        <v>5595.8202308573791</v>
      </c>
      <c r="X42" s="148">
        <f>((PV(DiscountRate, (D56-D57),PMT(DiscountRate, D56, V42))/(1+DiscountRate)^(D57)))</f>
        <v>2736.686075169398</v>
      </c>
      <c r="Y42" s="285">
        <f>P48+U51</f>
        <v>1482.4304000000002</v>
      </c>
      <c r="Z42" s="285">
        <f>P48</f>
        <v>372.5</v>
      </c>
      <c r="AA42" s="285">
        <f>U51</f>
        <v>1109.9304000000002</v>
      </c>
      <c r="AB42" s="117">
        <f>P63</f>
        <v>5.7142857142857141E-2</v>
      </c>
      <c r="AC42" s="117">
        <f>U55</f>
        <v>1.4967665454545458</v>
      </c>
      <c r="AD42" s="286">
        <v>0</v>
      </c>
      <c r="AE42" s="286">
        <v>0</v>
      </c>
      <c r="AF42" s="287">
        <f>K50</f>
        <v>82.409638554216883</v>
      </c>
    </row>
    <row r="43" spans="2:35" x14ac:dyDescent="0.2">
      <c r="B43" s="16"/>
      <c r="C43" s="283" t="s">
        <v>2</v>
      </c>
      <c r="D43" s="62" t="str">
        <f>INDEX(Tbl_BaselineSummary[Equipment ID],MATCH(D41,Tbl_BaselineSummary[Baseline ID],0))</f>
        <v>EQUI001</v>
      </c>
      <c r="E43" s="5"/>
      <c r="F43" s="63" t="s">
        <v>55</v>
      </c>
      <c r="G43" s="68" t="str">
        <f>INDEX(Tbl_EquipmentDefinitions[Natural Gas Baseline Efficiency],MATCH(D43,Tbl_EquipmentDefinitions[Equipment ID],0))</f>
        <v>-</v>
      </c>
      <c r="H43" s="69" t="str">
        <f>INDEX(Tbl_EquipmentDefinitions[Natural Gas Code Efficiency],MATCH(D43,Tbl_EquipmentDefinitions[Equipment ID],0))</f>
        <v>-</v>
      </c>
      <c r="J43" s="5"/>
      <c r="K43" s="5"/>
      <c r="L43" s="5"/>
      <c r="M43" s="5"/>
      <c r="N43" s="5"/>
      <c r="O43" s="5"/>
      <c r="P43" s="5"/>
      <c r="Q43" s="5"/>
      <c r="R43" s="5"/>
      <c r="S43" s="5"/>
      <c r="T43" s="5"/>
      <c r="U43" s="5"/>
      <c r="V43" s="5"/>
      <c r="W43" s="5"/>
      <c r="X43" s="5"/>
      <c r="Y43" s="5"/>
      <c r="Z43" s="5"/>
      <c r="AA43" s="5"/>
      <c r="AB43" s="5"/>
      <c r="AC43" s="5"/>
      <c r="AD43" s="5"/>
      <c r="AE43" s="5"/>
      <c r="AF43" s="51"/>
    </row>
    <row r="44" spans="2:35" ht="12.75" x14ac:dyDescent="0.2">
      <c r="B44" s="16"/>
      <c r="C44" s="283" t="s">
        <v>4</v>
      </c>
      <c r="D44" s="64" t="str">
        <f>INDEX(Tbl_EquipmentDefinitions[Equipment Name],MATCH(D43,Tbl_EquipmentDefinitions[Equipment ID],0))</f>
        <v>Baseline A/C Blend+Oil Furnace</v>
      </c>
      <c r="E44" s="5"/>
      <c r="F44" s="63" t="s">
        <v>28</v>
      </c>
      <c r="G44" s="70" t="str">
        <f>INDEX(Tbl_EquipmentDefinitions[Propane Baseline Efficiency],MATCH(D43,Tbl_EquipmentDefinitions[Equipment ID],0))</f>
        <v>-</v>
      </c>
      <c r="H44" s="68" t="str">
        <f>INDEX(Tbl_EquipmentDefinitions[Propane Code Efficiency],MATCH(D43,Tbl_EquipmentDefinitions[Equipment ID],0))</f>
        <v>-</v>
      </c>
      <c r="J44" s="78" t="s">
        <v>259</v>
      </c>
      <c r="K44" s="78"/>
      <c r="L44" s="5"/>
      <c r="M44" s="5"/>
      <c r="N44" s="5"/>
      <c r="O44" s="5"/>
      <c r="P44" s="5"/>
      <c r="Q44" s="5"/>
      <c r="R44" s="5"/>
      <c r="S44" s="5"/>
      <c r="AD44" s="5"/>
      <c r="AE44" s="5"/>
      <c r="AF44" s="51"/>
    </row>
    <row r="45" spans="2:35" x14ac:dyDescent="0.2">
      <c r="B45" s="16"/>
      <c r="C45" s="283" t="s">
        <v>125</v>
      </c>
      <c r="D45" s="62" t="str">
        <f>INDEX(Tbl_EquipmentDefinitions[Equipment Level],MATCH(D43,Tbl_EquipmentDefinitions[Equipment ID],0))</f>
        <v>Secondary</v>
      </c>
      <c r="E45" s="5"/>
      <c r="F45" s="63" t="s">
        <v>27</v>
      </c>
      <c r="G45" s="68" t="str">
        <f>INDEX(Tbl_EquipmentDefinitions[Oil Baseline Efficiency],MATCH(D43,Tbl_EquipmentDefinitions[Equipment ID],0))</f>
        <v>78% AFUE (78.9%)</v>
      </c>
      <c r="H45" s="70" t="str">
        <f>INDEX(Tbl_EquipmentDefinitions[Oil Code Efficiency],MATCH(D43,Tbl_EquipmentDefinitions[Equipment ID],0))</f>
        <v>83% AFUE</v>
      </c>
      <c r="J45" s="289" t="s">
        <v>278</v>
      </c>
      <c r="K45" s="5"/>
      <c r="L45" s="5"/>
      <c r="M45" s="5"/>
      <c r="N45" s="5"/>
      <c r="AA45" s="5"/>
      <c r="AB45" s="5"/>
      <c r="AC45" s="5"/>
      <c r="AE45" s="5"/>
      <c r="AF45" s="51"/>
    </row>
    <row r="46" spans="2:35" ht="12.75" x14ac:dyDescent="0.2">
      <c r="B46" s="16"/>
      <c r="C46" s="283" t="s">
        <v>24</v>
      </c>
      <c r="D46" s="64" t="str">
        <f>INDEX(Tbl_EquipmentDefinitions[Function],MATCH(D43,Tbl_EquipmentDefinitions[Equipment ID],0))</f>
        <v>Cool+Heat</v>
      </c>
      <c r="E46" s="5"/>
      <c r="F46" s="5"/>
      <c r="G46" s="5"/>
      <c r="H46" s="5"/>
      <c r="J46" s="115" t="s">
        <v>157</v>
      </c>
      <c r="K46" s="52">
        <v>0.78900000000000003</v>
      </c>
      <c r="L46" s="5" t="s">
        <v>158</v>
      </c>
      <c r="M46" s="5"/>
      <c r="N46" s="5"/>
      <c r="O46" s="5" t="s">
        <v>250</v>
      </c>
      <c r="P46" s="5"/>
      <c r="Q46" s="5"/>
      <c r="R46" s="5"/>
      <c r="S46" s="5"/>
      <c r="T46" s="6" t="s">
        <v>1492</v>
      </c>
      <c r="AC46" s="5"/>
      <c r="AF46" s="51"/>
    </row>
    <row r="47" spans="2:35" ht="13.35" customHeight="1" x14ac:dyDescent="0.2">
      <c r="B47" s="16"/>
      <c r="C47" s="283" t="s">
        <v>7</v>
      </c>
      <c r="D47" s="62" t="str">
        <f>INDEX(Tbl_EquipmentDefinitions[Fuel Type],MATCH(D43,Tbl_EquipmentDefinitions[Equipment ID],0))</f>
        <v>Electric+Oil</v>
      </c>
      <c r="E47" s="65"/>
      <c r="F47" s="671" t="s">
        <v>273</v>
      </c>
      <c r="G47" s="672"/>
      <c r="H47" s="672"/>
      <c r="J47" s="115" t="s">
        <v>159</v>
      </c>
      <c r="K47" s="52">
        <v>0.83</v>
      </c>
      <c r="L47" s="5" t="s">
        <v>158</v>
      </c>
      <c r="M47" s="5"/>
      <c r="N47" s="5"/>
      <c r="O47" s="115" t="s">
        <v>274</v>
      </c>
      <c r="P47" s="290">
        <f>374+(K46*100-80)*(369-374)/(90-80)</f>
        <v>374.55</v>
      </c>
      <c r="Q47" s="676" t="s">
        <v>255</v>
      </c>
      <c r="R47" s="677"/>
      <c r="T47" s="6" t="s">
        <v>1493</v>
      </c>
      <c r="AC47" s="5"/>
      <c r="AE47" s="5"/>
      <c r="AF47" s="51"/>
    </row>
    <row r="48" spans="2:35" ht="12.75" x14ac:dyDescent="0.2">
      <c r="B48" s="16"/>
      <c r="C48" s="283" t="s">
        <v>126</v>
      </c>
      <c r="D48" s="64">
        <f>IF(ISERR(SEARCH("+",D47,1)),1,2)</f>
        <v>2</v>
      </c>
      <c r="E48" s="65"/>
      <c r="F48" s="672"/>
      <c r="G48" s="672"/>
      <c r="H48" s="672"/>
      <c r="J48" s="156"/>
      <c r="K48" s="5"/>
      <c r="L48" s="5"/>
      <c r="M48" s="5"/>
      <c r="N48" s="5"/>
      <c r="O48" s="115" t="s">
        <v>275</v>
      </c>
      <c r="P48" s="290">
        <f>374+(K47*100-80)*(369-374)/(90-80)</f>
        <v>372.5</v>
      </c>
      <c r="Q48" s="676"/>
      <c r="R48" s="677"/>
      <c r="T48" s="6" t="s">
        <v>1494</v>
      </c>
      <c r="AC48" s="5"/>
      <c r="AE48" s="5"/>
      <c r="AF48" s="51"/>
    </row>
    <row r="49" spans="2:32" ht="12.75" x14ac:dyDescent="0.2">
      <c r="B49" s="16"/>
      <c r="C49" s="284"/>
      <c r="D49" s="5"/>
      <c r="E49" s="5"/>
      <c r="F49" s="672"/>
      <c r="G49" s="672"/>
      <c r="H49" s="672"/>
      <c r="J49" s="115" t="s">
        <v>353</v>
      </c>
      <c r="K49" s="56">
        <f>$D$50/K46</f>
        <v>86.692015209125472</v>
      </c>
      <c r="L49" s="5" t="s">
        <v>156</v>
      </c>
      <c r="M49" s="5"/>
      <c r="N49" s="5"/>
      <c r="O49" s="5"/>
      <c r="P49" s="5"/>
      <c r="Q49" s="579"/>
      <c r="R49" s="579"/>
      <c r="T49" s="154" t="s">
        <v>1440</v>
      </c>
      <c r="U49" s="406">
        <f>ACBASE3_INSTALL_COST</f>
        <v>4084.0691999999995</v>
      </c>
      <c r="V49" s="5" t="s">
        <v>164</v>
      </c>
      <c r="AB49" s="5"/>
      <c r="AE49" s="5"/>
      <c r="AF49" s="51"/>
    </row>
    <row r="50" spans="2:32" ht="12.75" x14ac:dyDescent="0.2">
      <c r="B50" s="16"/>
      <c r="C50" s="283" t="s">
        <v>155</v>
      </c>
      <c r="D50" s="62">
        <f>INDEX(Tbl_BaselineSummary[Space Heating Load (MMBtu/yr)],MATCH(D41,Tbl_BaselineSummary[Baseline ID],0))</f>
        <v>68.400000000000006</v>
      </c>
      <c r="E50" s="5" t="s">
        <v>156</v>
      </c>
      <c r="F50" s="672"/>
      <c r="G50" s="672"/>
      <c r="H50" s="672"/>
      <c r="J50" s="115" t="s">
        <v>385</v>
      </c>
      <c r="K50" s="56">
        <f>$D$50/K47</f>
        <v>82.409638554216883</v>
      </c>
      <c r="L50" s="5" t="s">
        <v>156</v>
      </c>
      <c r="M50" s="5"/>
      <c r="N50" s="5"/>
      <c r="O50" s="55" t="s">
        <v>276</v>
      </c>
      <c r="P50" s="57">
        <f>P47*PRICE_PER_KWH_2018_ELECTRICITY</f>
        <v>74.08599000000001</v>
      </c>
      <c r="Q50" s="5" t="s">
        <v>164</v>
      </c>
      <c r="S50" s="5"/>
      <c r="T50" s="154" t="s">
        <v>1501</v>
      </c>
      <c r="U50" s="288">
        <f>ACBASE3_BASE_KWH</f>
        <v>1404.1562400000003</v>
      </c>
      <c r="V50" s="6" t="s">
        <v>170</v>
      </c>
      <c r="AB50" s="5"/>
      <c r="AE50" s="5"/>
      <c r="AF50" s="51"/>
    </row>
    <row r="51" spans="2:32" ht="12.75" x14ac:dyDescent="0.2">
      <c r="B51" s="16"/>
      <c r="C51" s="283" t="s">
        <v>167</v>
      </c>
      <c r="D51" s="62">
        <f>INDEX(Tbl_BaselineSummary[Space Cooling Load (MMBtu/yr)],MATCH(D41,Tbl_BaselineSummary[Baseline ID],0))</f>
        <v>13.072800000000001</v>
      </c>
      <c r="E51" s="5" t="s">
        <v>156</v>
      </c>
      <c r="F51" s="672"/>
      <c r="G51" s="672"/>
      <c r="H51" s="672"/>
      <c r="J51" s="156"/>
      <c r="K51" s="5"/>
      <c r="L51" s="5"/>
      <c r="M51" s="5"/>
      <c r="N51" s="5"/>
      <c r="O51" s="55" t="s">
        <v>277</v>
      </c>
      <c r="P51" s="57">
        <f>P48*PRICE_PER_KWH_2018_ELECTRICITY</f>
        <v>73.680499999999995</v>
      </c>
      <c r="Q51" s="5" t="s">
        <v>164</v>
      </c>
      <c r="S51" s="5"/>
      <c r="T51" s="154" t="s">
        <v>1502</v>
      </c>
      <c r="U51" s="288">
        <f>ACBASE3_CODE_KWH</f>
        <v>1109.9304000000002</v>
      </c>
      <c r="V51" s="6" t="s">
        <v>170</v>
      </c>
      <c r="AB51" s="5"/>
      <c r="AC51" s="5"/>
      <c r="AE51" s="5"/>
      <c r="AF51" s="51"/>
    </row>
    <row r="52" spans="2:32" ht="12.75" x14ac:dyDescent="0.2">
      <c r="B52" s="16"/>
      <c r="C52" s="283" t="s">
        <v>244</v>
      </c>
      <c r="D52" s="62">
        <f>INDEX(Tbl_BaselineSummary[Water Heating Load (MMBtu/yr)],MATCH(D41,Tbl_BaselineSummary[Baseline ID],0))</f>
        <v>13.9</v>
      </c>
      <c r="E52" s="5" t="s">
        <v>156</v>
      </c>
      <c r="F52" s="672"/>
      <c r="G52" s="672"/>
      <c r="H52" s="672"/>
      <c r="J52" s="115" t="s">
        <v>253</v>
      </c>
      <c r="K52" s="292">
        <f>K49*PRICE_PER_MMBTU_2018_OIL</f>
        <v>1947.1167883511851</v>
      </c>
      <c r="L52" s="5" t="s">
        <v>164</v>
      </c>
      <c r="M52" s="5"/>
      <c r="N52" s="5"/>
      <c r="O52" s="5"/>
      <c r="P52" s="5"/>
      <c r="Q52" s="5"/>
      <c r="S52" s="5"/>
      <c r="T52" s="154" t="s">
        <v>1503</v>
      </c>
      <c r="U52" s="42">
        <f>ACBASE3_BASE_OP_COST</f>
        <v>277.74210427200001</v>
      </c>
      <c r="V52" s="6" t="s">
        <v>164</v>
      </c>
      <c r="AC52" s="45"/>
      <c r="AE52" s="5"/>
      <c r="AF52" s="51"/>
    </row>
    <row r="53" spans="2:32" ht="12.75" x14ac:dyDescent="0.2">
      <c r="B53" s="16"/>
      <c r="C53" s="284"/>
      <c r="D53" s="5"/>
      <c r="E53" s="5"/>
      <c r="F53" s="5"/>
      <c r="G53" s="5"/>
      <c r="H53" s="5"/>
      <c r="J53" s="115" t="s">
        <v>254</v>
      </c>
      <c r="K53" s="292">
        <f>K50*PRICE_PER_MMBTU_2018_OIL</f>
        <v>1850.9339108543197</v>
      </c>
      <c r="L53" s="5" t="s">
        <v>164</v>
      </c>
      <c r="M53" s="5"/>
      <c r="N53" s="5"/>
      <c r="O53" s="5" t="s">
        <v>258</v>
      </c>
      <c r="P53" s="5"/>
      <c r="Q53" s="5"/>
      <c r="S53" s="5"/>
      <c r="T53" s="154" t="s">
        <v>1504</v>
      </c>
      <c r="U53" s="42">
        <f>ACBASE3_CODE_OP_COST</f>
        <v>219.54423312000003</v>
      </c>
      <c r="V53" s="6" t="s">
        <v>164</v>
      </c>
      <c r="AC53" s="5"/>
      <c r="AE53" s="5"/>
      <c r="AF53" s="51"/>
    </row>
    <row r="54" spans="2:32" ht="12.75" x14ac:dyDescent="0.2">
      <c r="B54" s="16"/>
      <c r="C54" s="283" t="s">
        <v>635</v>
      </c>
      <c r="D54" s="62">
        <f>INDEX(Tbl_EquipmentDefinitions[New Unit Equipment Life (years)],MATCH('Baseline Calculations'!D43,Tbl_EquipmentDefinitions[Equipment ID],0))</f>
        <v>18</v>
      </c>
      <c r="E54" s="188" t="s">
        <v>376</v>
      </c>
      <c r="F54" s="5"/>
      <c r="G54" s="5"/>
      <c r="H54" s="5"/>
      <c r="J54" s="80"/>
      <c r="K54" s="5"/>
      <c r="L54" s="5"/>
      <c r="M54" s="5"/>
      <c r="N54" s="5"/>
      <c r="O54" s="55" t="s">
        <v>738</v>
      </c>
      <c r="P54" s="138">
        <v>5099</v>
      </c>
      <c r="Q54" s="5" t="s">
        <v>164</v>
      </c>
      <c r="S54" s="5"/>
      <c r="T54" s="154" t="s">
        <v>742</v>
      </c>
      <c r="U54" s="37">
        <f>ACBASE3_BASE_KW_DEMAND</f>
        <v>1.8917929411764707</v>
      </c>
      <c r="V54" s="6" t="s">
        <v>176</v>
      </c>
      <c r="AE54" s="5"/>
      <c r="AF54" s="51"/>
    </row>
    <row r="55" spans="2:32" ht="12.75" x14ac:dyDescent="0.2">
      <c r="B55" s="16"/>
      <c r="C55" s="283" t="s">
        <v>636</v>
      </c>
      <c r="D55" s="62">
        <f>INDEX(Tbl_EquipmentDefinitions[Remaining Life for Early Replacement (years)],MATCH('Baseline Calculations'!D43,Tbl_EquipmentDefinitions[Equipment ID],0))</f>
        <v>6</v>
      </c>
      <c r="E55" s="188" t="s">
        <v>376</v>
      </c>
      <c r="F55" s="5"/>
      <c r="G55" s="5"/>
      <c r="H55" s="5"/>
      <c r="T55" s="154" t="s">
        <v>743</v>
      </c>
      <c r="U55" s="37">
        <f>ACBASE3_CODE_KW_DEMAND</f>
        <v>1.4967665454545458</v>
      </c>
      <c r="V55" s="6" t="s">
        <v>176</v>
      </c>
      <c r="AE55" s="5"/>
      <c r="AF55" s="51"/>
    </row>
    <row r="56" spans="2:32" ht="11.25" customHeight="1" x14ac:dyDescent="0.2">
      <c r="B56" s="16"/>
      <c r="C56" s="283" t="s">
        <v>909</v>
      </c>
      <c r="D56" s="62">
        <f>INDEX(Tbl_EquipmentDefinitions[A/C Life (years)],MATCH('Baseline Calculations'!D43,Tbl_EquipmentDefinitions[Equipment ID],0))</f>
        <v>10</v>
      </c>
      <c r="E56" s="188" t="s">
        <v>376</v>
      </c>
      <c r="F56" s="5"/>
      <c r="G56" s="5"/>
      <c r="H56" s="5"/>
      <c r="J56" s="80"/>
      <c r="K56" s="5"/>
      <c r="L56" s="5"/>
      <c r="M56" s="5"/>
      <c r="N56" s="5"/>
      <c r="O56" s="6" t="s">
        <v>423</v>
      </c>
      <c r="S56" s="5"/>
      <c r="AC56" s="5"/>
      <c r="AE56" s="5"/>
      <c r="AF56" s="51"/>
    </row>
    <row r="57" spans="2:32" s="5" customFormat="1" x14ac:dyDescent="0.2">
      <c r="B57" s="16"/>
      <c r="C57" s="283" t="s">
        <v>908</v>
      </c>
      <c r="D57" s="62">
        <f>INDEX(Tbl_EquipmentDefinitions[Remaining A/C Life for Early Replacement (years)],MATCH('Baseline Calculations'!D43,Tbl_EquipmentDefinitions[Equipment ID],0))</f>
        <v>3</v>
      </c>
      <c r="E57" s="188" t="s">
        <v>376</v>
      </c>
      <c r="O57" s="156" t="s">
        <v>422</v>
      </c>
      <c r="P57" s="146">
        <f>AVERAGE(530,984,1329,1329)</f>
        <v>1043</v>
      </c>
      <c r="Q57" s="6" t="s">
        <v>397</v>
      </c>
      <c r="W57" s="6"/>
      <c r="X57" s="6"/>
      <c r="Y57" s="6"/>
      <c r="Z57" s="6"/>
      <c r="AF57" s="51"/>
    </row>
    <row r="58" spans="2:32" s="5" customFormat="1" x14ac:dyDescent="0.2">
      <c r="B58" s="16"/>
      <c r="C58" s="50"/>
      <c r="O58" s="6"/>
      <c r="P58" s="6"/>
      <c r="Q58" s="6"/>
      <c r="W58" s="6"/>
      <c r="X58" s="6"/>
      <c r="Y58" s="6"/>
      <c r="Z58" s="6"/>
      <c r="AF58" s="51"/>
    </row>
    <row r="59" spans="2:32" s="5" customFormat="1" x14ac:dyDescent="0.2">
      <c r="B59" s="16"/>
      <c r="C59" s="50"/>
      <c r="O59" s="6" t="s">
        <v>741</v>
      </c>
      <c r="P59" s="6"/>
      <c r="Q59" s="6"/>
      <c r="W59" s="6"/>
      <c r="X59" s="6"/>
      <c r="Y59" s="6"/>
      <c r="Z59" s="6"/>
      <c r="AF59" s="51"/>
    </row>
    <row r="60" spans="2:32" s="5" customFormat="1" x14ac:dyDescent="0.2">
      <c r="B60" s="16"/>
      <c r="C60" s="50"/>
      <c r="O60" s="155" t="s">
        <v>739</v>
      </c>
      <c r="P60" s="146">
        <v>0.16</v>
      </c>
      <c r="Q60" s="6"/>
      <c r="W60" s="6"/>
      <c r="X60" s="6"/>
      <c r="Y60" s="6"/>
      <c r="Z60" s="6"/>
      <c r="AF60" s="51"/>
    </row>
    <row r="61" spans="2:32" s="5" customFormat="1" x14ac:dyDescent="0.2">
      <c r="B61" s="16"/>
      <c r="C61" s="50"/>
      <c r="O61" s="6"/>
      <c r="P61" s="6"/>
      <c r="Q61" s="6"/>
      <c r="W61" s="6"/>
      <c r="X61" s="6"/>
      <c r="Y61" s="6"/>
      <c r="Z61" s="6"/>
      <c r="AF61" s="51"/>
    </row>
    <row r="62" spans="2:32" s="5" customFormat="1" x14ac:dyDescent="0.2">
      <c r="B62" s="16"/>
      <c r="C62" s="50"/>
      <c r="O62" s="156" t="s">
        <v>744</v>
      </c>
      <c r="P62" s="145">
        <f>P60*P47/P57</f>
        <v>5.7457334611697032E-2</v>
      </c>
      <c r="Q62" s="5" t="s">
        <v>176</v>
      </c>
      <c r="W62" s="6"/>
      <c r="X62" s="6"/>
      <c r="Y62" s="6"/>
      <c r="Z62" s="6"/>
      <c r="AF62" s="51"/>
    </row>
    <row r="63" spans="2:32" s="5" customFormat="1" x14ac:dyDescent="0.2">
      <c r="B63" s="16"/>
      <c r="C63" s="50"/>
      <c r="O63" s="156" t="s">
        <v>745</v>
      </c>
      <c r="P63" s="145">
        <f>P60*P48/P57</f>
        <v>5.7142857142857141E-2</v>
      </c>
      <c r="Q63" s="5" t="s">
        <v>176</v>
      </c>
      <c r="W63" s="6"/>
      <c r="X63" s="6"/>
      <c r="Y63" s="6"/>
      <c r="Z63" s="6"/>
      <c r="AF63" s="51"/>
    </row>
    <row r="64" spans="2:32" s="5" customFormat="1" x14ac:dyDescent="0.2">
      <c r="B64" s="16"/>
      <c r="C64" s="58"/>
      <c r="D64" s="59"/>
      <c r="E64" s="59"/>
      <c r="F64" s="59"/>
      <c r="G64" s="59"/>
      <c r="H64" s="59"/>
      <c r="J64" s="59"/>
      <c r="K64" s="59"/>
      <c r="L64" s="59"/>
      <c r="M64" s="59"/>
      <c r="N64" s="59"/>
      <c r="O64" s="59"/>
      <c r="P64" s="59"/>
      <c r="Q64" s="59"/>
      <c r="R64" s="59"/>
      <c r="S64" s="59"/>
      <c r="W64" s="6"/>
      <c r="X64" s="6"/>
      <c r="Y64" s="6"/>
      <c r="Z64" s="6"/>
      <c r="AA64" s="59"/>
      <c r="AB64" s="59"/>
      <c r="AC64" s="59"/>
      <c r="AD64" s="59"/>
      <c r="AE64" s="59"/>
      <c r="AF64" s="60"/>
    </row>
    <row r="65" spans="2:32" s="5" customFormat="1" x14ac:dyDescent="0.2">
      <c r="B65" s="16"/>
      <c r="C65" s="58"/>
      <c r="D65" s="59"/>
      <c r="E65" s="59"/>
      <c r="F65" s="59"/>
      <c r="G65" s="59"/>
      <c r="H65" s="59"/>
      <c r="J65" s="59"/>
      <c r="K65" s="59"/>
      <c r="L65" s="59"/>
      <c r="M65" s="59"/>
      <c r="N65" s="59"/>
      <c r="O65" s="59"/>
      <c r="P65" s="59"/>
      <c r="Q65" s="59"/>
      <c r="R65" s="59"/>
      <c r="S65" s="59"/>
      <c r="W65" s="6"/>
      <c r="X65" s="6"/>
      <c r="Y65" s="6"/>
      <c r="Z65" s="6"/>
      <c r="AA65" s="59"/>
      <c r="AB65" s="59"/>
      <c r="AC65" s="59"/>
      <c r="AD65" s="59"/>
      <c r="AE65" s="59"/>
      <c r="AF65" s="60"/>
    </row>
    <row r="66" spans="2:32" s="5" customFormat="1" x14ac:dyDescent="0.2">
      <c r="B66" s="16"/>
      <c r="C66" s="58"/>
      <c r="D66" s="59"/>
      <c r="E66" s="59"/>
      <c r="F66" s="59"/>
      <c r="G66" s="59"/>
      <c r="H66" s="59"/>
      <c r="J66" s="59"/>
      <c r="K66" s="59"/>
      <c r="L66" s="59"/>
      <c r="M66" s="59"/>
      <c r="N66" s="59"/>
      <c r="O66" s="59"/>
      <c r="P66" s="59"/>
      <c r="Q66" s="59"/>
      <c r="R66" s="59"/>
      <c r="S66" s="59"/>
      <c r="W66" s="6"/>
      <c r="X66" s="6"/>
      <c r="Y66" s="6"/>
      <c r="Z66" s="6"/>
      <c r="AA66" s="59"/>
      <c r="AB66" s="59"/>
      <c r="AC66" s="59"/>
      <c r="AD66" s="59"/>
      <c r="AE66" s="59"/>
      <c r="AF66" s="60"/>
    </row>
    <row r="67" spans="2:32" s="5" customFormat="1" x14ac:dyDescent="0.2">
      <c r="B67" s="16"/>
      <c r="C67" s="58"/>
      <c r="D67" s="59"/>
      <c r="E67" s="59"/>
      <c r="F67" s="59"/>
      <c r="G67" s="59"/>
      <c r="H67" s="59"/>
      <c r="J67" s="59"/>
      <c r="K67" s="59"/>
      <c r="L67" s="59"/>
      <c r="M67" s="59"/>
      <c r="N67" s="59"/>
      <c r="O67" s="59"/>
      <c r="P67" s="59"/>
      <c r="Q67" s="59"/>
      <c r="R67" s="59"/>
      <c r="S67" s="59"/>
      <c r="W67" s="6"/>
      <c r="X67" s="6"/>
      <c r="Y67" s="6"/>
      <c r="Z67" s="6"/>
      <c r="AA67" s="59"/>
      <c r="AB67" s="59"/>
      <c r="AC67" s="59"/>
      <c r="AD67" s="59"/>
      <c r="AE67" s="59"/>
      <c r="AF67" s="60"/>
    </row>
    <row r="68" spans="2:32" s="5" customFormat="1" x14ac:dyDescent="0.2">
      <c r="B68" s="16"/>
      <c r="C68" s="58"/>
      <c r="D68" s="59"/>
      <c r="E68" s="59"/>
      <c r="F68" s="59"/>
      <c r="G68" s="59"/>
      <c r="H68" s="59"/>
      <c r="J68" s="59"/>
      <c r="K68" s="59"/>
      <c r="L68" s="59"/>
      <c r="M68" s="59"/>
      <c r="N68" s="59"/>
      <c r="O68" s="59"/>
      <c r="P68" s="59"/>
      <c r="Q68" s="59"/>
      <c r="R68" s="59"/>
      <c r="S68" s="59"/>
      <c r="W68" s="6"/>
      <c r="X68" s="6"/>
      <c r="Y68" s="6"/>
      <c r="Z68" s="6"/>
      <c r="AA68" s="59"/>
      <c r="AB68" s="59"/>
      <c r="AC68" s="59"/>
      <c r="AD68" s="59"/>
      <c r="AE68" s="59"/>
      <c r="AF68" s="60"/>
    </row>
    <row r="69" spans="2:32" s="5" customFormat="1" x14ac:dyDescent="0.2">
      <c r="B69" s="16"/>
      <c r="C69" s="58"/>
      <c r="D69" s="59"/>
      <c r="E69" s="59"/>
      <c r="F69" s="59"/>
      <c r="G69" s="59"/>
      <c r="H69" s="59"/>
      <c r="J69" s="59"/>
      <c r="K69" s="59"/>
      <c r="L69" s="59"/>
      <c r="M69" s="59"/>
      <c r="N69" s="59"/>
      <c r="O69" s="59"/>
      <c r="P69" s="59"/>
      <c r="Q69" s="59"/>
      <c r="R69" s="59"/>
      <c r="S69" s="59"/>
      <c r="T69" s="59"/>
      <c r="U69" s="59"/>
      <c r="V69" s="59"/>
      <c r="W69" s="59"/>
      <c r="X69" s="59"/>
      <c r="Y69" s="59"/>
      <c r="Z69" s="59"/>
      <c r="AA69" s="59"/>
      <c r="AB69" s="59"/>
      <c r="AC69" s="59"/>
      <c r="AD69" s="59"/>
      <c r="AE69" s="59"/>
      <c r="AF69" s="60"/>
    </row>
    <row r="70" spans="2:32" s="5" customFormat="1" x14ac:dyDescent="0.2">
      <c r="B70" s="16"/>
      <c r="C70" s="58"/>
      <c r="D70" s="59"/>
      <c r="E70" s="59"/>
      <c r="F70" s="59"/>
      <c r="G70" s="59"/>
      <c r="H70" s="59"/>
      <c r="J70" s="59"/>
      <c r="K70" s="59"/>
      <c r="L70" s="59"/>
      <c r="M70" s="59"/>
      <c r="N70" s="59"/>
      <c r="O70" s="59"/>
      <c r="P70" s="59"/>
      <c r="Q70" s="59"/>
      <c r="R70" s="59"/>
      <c r="S70" s="59"/>
      <c r="T70" s="59"/>
      <c r="U70" s="59"/>
      <c r="V70" s="59"/>
      <c r="W70" s="59"/>
      <c r="X70" s="59"/>
      <c r="Y70" s="59"/>
      <c r="Z70" s="59"/>
      <c r="AA70" s="59"/>
      <c r="AB70" s="59"/>
      <c r="AC70" s="59"/>
      <c r="AD70" s="59"/>
      <c r="AE70" s="59"/>
      <c r="AF70" s="60"/>
    </row>
    <row r="71" spans="2:32" ht="11.25" customHeight="1" x14ac:dyDescent="0.2">
      <c r="B71" s="16"/>
      <c r="D71" s="5"/>
      <c r="E71" s="5"/>
      <c r="AB71" s="5"/>
      <c r="AC71" s="5"/>
      <c r="AD71" s="5"/>
      <c r="AE71" s="5"/>
    </row>
    <row r="72" spans="2:32" ht="15.75" thickBot="1" x14ac:dyDescent="0.25">
      <c r="B72" s="16"/>
      <c r="C72" s="74" t="s">
        <v>270</v>
      </c>
      <c r="D72" s="75"/>
      <c r="E72" s="75"/>
      <c r="F72" s="75"/>
      <c r="G72" s="75"/>
      <c r="H72" s="75"/>
      <c r="J72" s="75" t="s">
        <v>271</v>
      </c>
      <c r="K72" s="75"/>
      <c r="L72" s="48"/>
      <c r="M72" s="48"/>
      <c r="N72" s="48"/>
      <c r="O72" s="48"/>
      <c r="P72" s="48"/>
      <c r="Q72" s="48"/>
      <c r="R72" s="48"/>
      <c r="S72" s="48"/>
      <c r="T72" s="48"/>
      <c r="U72" s="48"/>
      <c r="V72" s="48"/>
      <c r="W72" s="48"/>
      <c r="X72" s="48"/>
      <c r="Y72" s="48"/>
      <c r="Z72" s="48"/>
      <c r="AA72" s="48"/>
      <c r="AB72" s="48"/>
      <c r="AC72" s="48"/>
      <c r="AD72" s="48"/>
      <c r="AE72" s="48"/>
      <c r="AF72" s="49"/>
    </row>
    <row r="73" spans="2:32" ht="3.75" customHeight="1" x14ac:dyDescent="0.2">
      <c r="B73" s="16"/>
      <c r="C73" s="50"/>
      <c r="D73" s="5"/>
      <c r="E73" s="5"/>
      <c r="F73" s="5"/>
      <c r="G73" s="5"/>
      <c r="H73" s="5"/>
      <c r="J73" s="5"/>
      <c r="K73" s="5"/>
      <c r="L73" s="5"/>
      <c r="M73" s="5"/>
      <c r="N73" s="5"/>
      <c r="O73" s="5"/>
      <c r="P73" s="5"/>
      <c r="Q73" s="5"/>
      <c r="R73" s="5"/>
      <c r="S73" s="5"/>
      <c r="T73" s="5"/>
      <c r="U73" s="5"/>
      <c r="V73" s="5"/>
      <c r="W73" s="5"/>
      <c r="X73" s="5"/>
      <c r="Y73" s="5"/>
      <c r="Z73" s="5"/>
      <c r="AA73" s="5"/>
      <c r="AB73" s="5"/>
      <c r="AC73" s="5"/>
      <c r="AD73" s="5"/>
      <c r="AE73" s="5"/>
      <c r="AF73" s="51"/>
    </row>
    <row r="74" spans="2:32" ht="34.5" thickBot="1" x14ac:dyDescent="0.25">
      <c r="B74" s="16"/>
      <c r="C74" s="76" t="s">
        <v>249</v>
      </c>
      <c r="D74" s="81" t="s">
        <v>228</v>
      </c>
      <c r="E74" s="71"/>
      <c r="F74" s="66" t="s">
        <v>260</v>
      </c>
      <c r="G74" s="66" t="s">
        <v>5</v>
      </c>
      <c r="H74" s="66" t="s">
        <v>6</v>
      </c>
      <c r="J74" s="66" t="s">
        <v>127</v>
      </c>
      <c r="K74" s="72" t="s">
        <v>261</v>
      </c>
      <c r="L74" s="72" t="s">
        <v>262</v>
      </c>
      <c r="M74" s="72" t="s">
        <v>1455</v>
      </c>
      <c r="N74" s="72" t="s">
        <v>1456</v>
      </c>
      <c r="O74" s="72" t="s">
        <v>963</v>
      </c>
      <c r="P74" s="72" t="s">
        <v>974</v>
      </c>
      <c r="Q74" s="72" t="s">
        <v>263</v>
      </c>
      <c r="R74" s="72" t="s">
        <v>264</v>
      </c>
      <c r="S74" s="72" t="s">
        <v>265</v>
      </c>
      <c r="T74" s="72" t="s">
        <v>280</v>
      </c>
      <c r="U74" s="72" t="s">
        <v>200</v>
      </c>
      <c r="V74" s="72" t="s">
        <v>753</v>
      </c>
      <c r="W74" s="72" t="s">
        <v>634</v>
      </c>
      <c r="X74" s="72" t="s">
        <v>754</v>
      </c>
      <c r="Y74" s="72" t="s">
        <v>266</v>
      </c>
      <c r="Z74" s="72" t="s">
        <v>1457</v>
      </c>
      <c r="AA74" s="72" t="s">
        <v>1458</v>
      </c>
      <c r="AB74" s="72" t="s">
        <v>964</v>
      </c>
      <c r="AC74" s="72" t="s">
        <v>975</v>
      </c>
      <c r="AD74" s="72" t="s">
        <v>267</v>
      </c>
      <c r="AE74" s="72" t="s">
        <v>268</v>
      </c>
      <c r="AF74" s="77" t="s">
        <v>269</v>
      </c>
    </row>
    <row r="75" spans="2:32" x14ac:dyDescent="0.2">
      <c r="B75" s="16"/>
      <c r="C75" s="61"/>
      <c r="D75" s="5"/>
      <c r="E75" s="5"/>
      <c r="F75" s="63" t="s">
        <v>178</v>
      </c>
      <c r="G75" s="67" t="str">
        <f>INDEX(Tbl_EquipmentDefinitions[Electricity Baseline Efficiency],MATCH(D76,Tbl_EquipmentDefinitions[Equipment ID],0))</f>
        <v xml:space="preserve">CAC: 10 SEER/8.5 EER; 
Room A/C: 8 EER </v>
      </c>
      <c r="H75" s="68" t="str">
        <f>INDEX(Tbl_EquipmentDefinitions[Electricity Code Efficiency],MATCH(D76,Tbl_EquipmentDefinitions[Equipment ID],0))</f>
        <v>CAC: 13 SEER/11 EER; 
Room A/C: 10 EER</v>
      </c>
      <c r="J75" s="63" t="str">
        <f>D74</f>
        <v>BASE02</v>
      </c>
      <c r="K75" s="148">
        <f>K85+P82+U85</f>
        <v>3468.0061014715766</v>
      </c>
      <c r="L75" s="285">
        <f>P79+U83</f>
        <v>1778.7062400000002</v>
      </c>
      <c r="M75" s="285">
        <f>P79</f>
        <v>374.55</v>
      </c>
      <c r="N75" s="285">
        <f>U83</f>
        <v>1404.1562400000003</v>
      </c>
      <c r="O75" s="117">
        <f>P94</f>
        <v>5.7457334611697032E-2</v>
      </c>
      <c r="P75" s="117">
        <f>U87</f>
        <v>1.8917929411764707</v>
      </c>
      <c r="Q75" s="286">
        <v>0</v>
      </c>
      <c r="R75" s="286">
        <f>K82</f>
        <v>86.692015209125472</v>
      </c>
      <c r="S75" s="286">
        <v>0</v>
      </c>
      <c r="T75" s="148">
        <f>K86+P83+U86</f>
        <v>3185.573342155843</v>
      </c>
      <c r="U75" s="148">
        <f>P86+U82</f>
        <v>8970.0691999999999</v>
      </c>
      <c r="V75" s="148">
        <f>U82</f>
        <v>4084.0691999999995</v>
      </c>
      <c r="W75" s="148">
        <f>((PV(DiscountRate, (D87-D88),PMT(DiscountRate, D87, U75))/(1+DiscountRate)^(D88)))</f>
        <v>5466.0259667378614</v>
      </c>
      <c r="X75" s="148">
        <f>((PV(DiscountRate, (D89-D90),PMT(DiscountRate, D89, V75))/(1+DiscountRate)^(D90)))</f>
        <v>2736.686075169398</v>
      </c>
      <c r="Y75" s="285">
        <f>P80+U84</f>
        <v>1481.4304000000002</v>
      </c>
      <c r="Z75" s="285">
        <f>P80</f>
        <v>371.5</v>
      </c>
      <c r="AA75" s="285">
        <f>U84</f>
        <v>1109.9304000000002</v>
      </c>
      <c r="AB75" s="117">
        <f>P95</f>
        <v>5.6989453499520615E-2</v>
      </c>
      <c r="AC75" s="117">
        <f>U88</f>
        <v>1.4967665454545458</v>
      </c>
      <c r="AD75" s="286">
        <v>0</v>
      </c>
      <c r="AE75" s="286">
        <f>K83</f>
        <v>80.47058823529413</v>
      </c>
      <c r="AF75" s="287">
        <v>0</v>
      </c>
    </row>
    <row r="76" spans="2:32" x14ac:dyDescent="0.2">
      <c r="B76" s="16"/>
      <c r="C76" s="283" t="s">
        <v>2</v>
      </c>
      <c r="D76" s="62" t="str">
        <f>INDEX(Tbl_BaselineSummary[Equipment ID],MATCH(D74,Tbl_BaselineSummary[Baseline ID],0))</f>
        <v>EQUI002</v>
      </c>
      <c r="E76" s="5"/>
      <c r="F76" s="63" t="s">
        <v>55</v>
      </c>
      <c r="G76" s="68" t="str">
        <f>INDEX(Tbl_EquipmentDefinitions[Natural Gas Baseline Efficiency],MATCH(D76,Tbl_EquipmentDefinitions[Equipment ID],0))</f>
        <v>-</v>
      </c>
      <c r="H76" s="69" t="str">
        <f>INDEX(Tbl_EquipmentDefinitions[Natural Gas Code Efficiency],MATCH(D76,Tbl_EquipmentDefinitions[Equipment ID],0))</f>
        <v>-</v>
      </c>
      <c r="J76" s="5"/>
      <c r="K76" s="5"/>
      <c r="L76" s="5"/>
      <c r="M76" s="5"/>
      <c r="N76" s="5"/>
      <c r="O76" s="5"/>
      <c r="P76" s="5"/>
      <c r="Q76" s="5"/>
      <c r="R76" s="5"/>
      <c r="S76" s="5"/>
      <c r="T76" s="5"/>
      <c r="U76" s="5"/>
      <c r="V76" s="5"/>
      <c r="W76" s="5"/>
      <c r="X76" s="5"/>
      <c r="Y76" s="5"/>
      <c r="Z76" s="5"/>
      <c r="AA76" s="5"/>
      <c r="AB76" s="5"/>
      <c r="AC76" s="5"/>
      <c r="AD76" s="5"/>
      <c r="AF76" s="51"/>
    </row>
    <row r="77" spans="2:32" ht="12.75" x14ac:dyDescent="0.2">
      <c r="B77" s="16"/>
      <c r="C77" s="283" t="s">
        <v>4</v>
      </c>
      <c r="D77" s="64" t="str">
        <f>INDEX(Tbl_EquipmentDefinitions[Equipment Name],MATCH(D76,Tbl_EquipmentDefinitions[Equipment ID],0))</f>
        <v>Baseline A/C Blend+Propane Furnace</v>
      </c>
      <c r="E77" s="5"/>
      <c r="F77" s="63" t="s">
        <v>28</v>
      </c>
      <c r="G77" s="70" t="str">
        <f>INDEX(Tbl_EquipmentDefinitions[Propane Baseline Efficiency],MATCH(D76,Tbl_EquipmentDefinitions[Equipment ID],0))</f>
        <v>78% AFUE (78.9%)</v>
      </c>
      <c r="H77" s="68" t="str">
        <f>INDEX(Tbl_EquipmentDefinitions[Propane Code Efficiency],MATCH(D76,Tbl_EquipmentDefinitions[Equipment ID],0))</f>
        <v>85% AFUE</v>
      </c>
      <c r="J77" s="78" t="s">
        <v>272</v>
      </c>
      <c r="K77" s="78"/>
      <c r="L77" s="5"/>
      <c r="M77" s="5"/>
      <c r="N77" s="5"/>
      <c r="O77" s="5"/>
      <c r="P77" s="5"/>
      <c r="Q77" s="5"/>
      <c r="R77" s="5"/>
      <c r="S77" s="5"/>
      <c r="W77" s="5"/>
      <c r="X77" s="5"/>
      <c r="Y77" s="5"/>
      <c r="Z77" s="5"/>
      <c r="AA77" s="5"/>
      <c r="AB77" s="5"/>
      <c r="AC77" s="5"/>
      <c r="AD77" s="5"/>
      <c r="AF77" s="51"/>
    </row>
    <row r="78" spans="2:32" x14ac:dyDescent="0.2">
      <c r="B78" s="16"/>
      <c r="C78" s="283" t="s">
        <v>125</v>
      </c>
      <c r="D78" s="62" t="str">
        <f>INDEX(Tbl_EquipmentDefinitions[Equipment Level],MATCH(D76,Tbl_EquipmentDefinitions[Equipment ID],0))</f>
        <v>Secondary</v>
      </c>
      <c r="E78" s="5"/>
      <c r="F78" s="63" t="s">
        <v>27</v>
      </c>
      <c r="G78" s="68" t="str">
        <f>INDEX(Tbl_EquipmentDefinitions[Oil Baseline Efficiency],MATCH(D76,Tbl_EquipmentDefinitions[Equipment ID],0))</f>
        <v>-</v>
      </c>
      <c r="H78" s="70" t="str">
        <f>INDEX(Tbl_EquipmentDefinitions[Oil Code Efficiency],MATCH(D76,Tbl_EquipmentDefinitions[Equipment ID],0))</f>
        <v>-</v>
      </c>
      <c r="J78" s="5"/>
      <c r="K78" s="5"/>
      <c r="L78" s="5"/>
      <c r="M78" s="5"/>
      <c r="N78" s="5"/>
      <c r="O78" s="5" t="s">
        <v>250</v>
      </c>
      <c r="P78" s="5"/>
      <c r="Q78" s="5"/>
      <c r="R78" s="5"/>
      <c r="S78" s="5"/>
      <c r="T78" s="6" t="s">
        <v>279</v>
      </c>
      <c r="W78" s="5"/>
      <c r="X78" s="5"/>
      <c r="Y78" s="5"/>
      <c r="Z78" s="5"/>
      <c r="AA78" s="5"/>
      <c r="AB78" s="5"/>
      <c r="AC78" s="5"/>
      <c r="AF78" s="51"/>
    </row>
    <row r="79" spans="2:32" ht="12.75" x14ac:dyDescent="0.2">
      <c r="B79" s="16"/>
      <c r="C79" s="283" t="s">
        <v>24</v>
      </c>
      <c r="D79" s="64" t="str">
        <f>INDEX(Tbl_EquipmentDefinitions[Function],MATCH(D76,Tbl_EquipmentDefinitions[Equipment ID],0))</f>
        <v>Cool+Heat</v>
      </c>
      <c r="E79" s="5"/>
      <c r="F79" s="5"/>
      <c r="G79" s="5"/>
      <c r="H79" s="5"/>
      <c r="J79" s="115" t="s">
        <v>157</v>
      </c>
      <c r="K79" s="52">
        <v>0.78900000000000003</v>
      </c>
      <c r="L79" s="5" t="s">
        <v>158</v>
      </c>
      <c r="M79" s="5"/>
      <c r="N79" s="5"/>
      <c r="O79" s="53" t="s">
        <v>251</v>
      </c>
      <c r="P79" s="290">
        <f>374+(K79*100-80)*(369-374)/(90-80)</f>
        <v>374.55</v>
      </c>
      <c r="Q79" s="673" t="s">
        <v>311</v>
      </c>
      <c r="R79" s="674"/>
      <c r="T79" s="6" t="s">
        <v>1492</v>
      </c>
      <c r="W79" s="5"/>
      <c r="X79" s="5"/>
      <c r="Y79" s="5"/>
      <c r="Z79" s="5"/>
      <c r="AA79" s="5"/>
      <c r="AB79" s="5"/>
      <c r="AC79" s="5"/>
      <c r="AF79" s="51"/>
    </row>
    <row r="80" spans="2:32" ht="12.75" x14ac:dyDescent="0.2">
      <c r="B80" s="16"/>
      <c r="C80" s="283" t="s">
        <v>7</v>
      </c>
      <c r="D80" s="62" t="str">
        <f>INDEX(Tbl_EquipmentDefinitions[Fuel Type],MATCH(D76,Tbl_EquipmentDefinitions[Equipment ID],0))</f>
        <v>Electric+Propane</v>
      </c>
      <c r="E80" s="65"/>
      <c r="F80" s="671" t="s">
        <v>273</v>
      </c>
      <c r="G80" s="672"/>
      <c r="H80" s="672"/>
      <c r="J80" s="115" t="s">
        <v>159</v>
      </c>
      <c r="K80" s="52">
        <v>0.85</v>
      </c>
      <c r="L80" s="5" t="s">
        <v>158</v>
      </c>
      <c r="M80" s="5"/>
      <c r="N80" s="5"/>
      <c r="O80" s="53" t="s">
        <v>252</v>
      </c>
      <c r="P80" s="290">
        <f>374+(K80*100-80)*(369-374)/(90-80)</f>
        <v>371.5</v>
      </c>
      <c r="Q80" s="674"/>
      <c r="R80" s="674"/>
      <c r="T80" s="6" t="s">
        <v>1493</v>
      </c>
      <c r="W80" s="5"/>
      <c r="X80" s="5"/>
      <c r="Y80" s="5"/>
      <c r="Z80" s="5"/>
      <c r="AA80" s="5"/>
      <c r="AB80" s="5"/>
      <c r="AC80" s="5"/>
      <c r="AF80" s="51"/>
    </row>
    <row r="81" spans="2:32" x14ac:dyDescent="0.2">
      <c r="B81" s="16"/>
      <c r="C81" s="283" t="s">
        <v>126</v>
      </c>
      <c r="D81" s="64">
        <f>IF(ISERR(SEARCH("+",D80,1)),1,2)</f>
        <v>2</v>
      </c>
      <c r="E81" s="65"/>
      <c r="F81" s="672"/>
      <c r="G81" s="672"/>
      <c r="H81" s="672"/>
      <c r="J81" s="156"/>
      <c r="K81" s="5"/>
      <c r="L81" s="5"/>
      <c r="M81" s="5"/>
      <c r="N81" s="5"/>
      <c r="O81" s="5"/>
      <c r="P81" s="5"/>
      <c r="Q81" s="675"/>
      <c r="R81" s="675"/>
      <c r="T81" s="6" t="s">
        <v>1494</v>
      </c>
      <c r="W81" s="5"/>
      <c r="X81" s="5"/>
      <c r="Y81" s="5"/>
      <c r="Z81" s="5"/>
      <c r="AA81" s="5"/>
      <c r="AB81" s="5"/>
      <c r="AC81" s="5"/>
      <c r="AF81" s="51"/>
    </row>
    <row r="82" spans="2:32" ht="12.75" x14ac:dyDescent="0.2">
      <c r="B82" s="16"/>
      <c r="C82" s="284"/>
      <c r="D82" s="5"/>
      <c r="E82" s="5"/>
      <c r="F82" s="672"/>
      <c r="G82" s="672"/>
      <c r="H82" s="672"/>
      <c r="J82" s="115" t="s">
        <v>334</v>
      </c>
      <c r="K82" s="56">
        <f>$D$83/K79</f>
        <v>86.692015209125472</v>
      </c>
      <c r="L82" s="5" t="s">
        <v>156</v>
      </c>
      <c r="M82" s="5"/>
      <c r="N82" s="5"/>
      <c r="O82" s="55" t="s">
        <v>256</v>
      </c>
      <c r="P82" s="57">
        <f>P79*PRICE_PER_KWH_2018_ELECTRICITY</f>
        <v>74.08599000000001</v>
      </c>
      <c r="Q82" s="5" t="s">
        <v>164</v>
      </c>
      <c r="S82" s="5"/>
      <c r="T82" s="154" t="s">
        <v>1440</v>
      </c>
      <c r="U82" s="406">
        <f>ACBASE3_INSTALL_COST</f>
        <v>4084.0691999999995</v>
      </c>
      <c r="V82" s="5" t="s">
        <v>164</v>
      </c>
      <c r="W82" s="5"/>
      <c r="X82" s="5"/>
      <c r="Y82" s="5"/>
      <c r="Z82" s="5"/>
      <c r="AA82" s="5"/>
      <c r="AB82" s="5"/>
      <c r="AC82" s="5"/>
      <c r="AF82" s="51"/>
    </row>
    <row r="83" spans="2:32" ht="12.75" x14ac:dyDescent="0.2">
      <c r="B83" s="16"/>
      <c r="C83" s="283" t="s">
        <v>155</v>
      </c>
      <c r="D83" s="62">
        <f>INDEX(Tbl_BaselineSummary[Space Heating Load (MMBtu/yr)],MATCH(D74,Tbl_BaselineSummary[Baseline ID],0))</f>
        <v>68.400000000000006</v>
      </c>
      <c r="E83" s="5" t="s">
        <v>156</v>
      </c>
      <c r="F83" s="672"/>
      <c r="G83" s="672"/>
      <c r="H83" s="672"/>
      <c r="J83" s="115" t="s">
        <v>384</v>
      </c>
      <c r="K83" s="56">
        <f>$D$83/K80</f>
        <v>80.47058823529413</v>
      </c>
      <c r="L83" s="5" t="s">
        <v>156</v>
      </c>
      <c r="M83" s="5"/>
      <c r="N83" s="5"/>
      <c r="O83" s="55" t="s">
        <v>257</v>
      </c>
      <c r="P83" s="57">
        <f>P80*PRICE_PER_KWH_2018_ELECTRICITY</f>
        <v>73.482700000000008</v>
      </c>
      <c r="Q83" s="5" t="s">
        <v>164</v>
      </c>
      <c r="S83" s="5"/>
      <c r="T83" s="154" t="s">
        <v>1501</v>
      </c>
      <c r="U83" s="288">
        <f>ACBASE3_BASE_KWH</f>
        <v>1404.1562400000003</v>
      </c>
      <c r="V83" s="6" t="s">
        <v>170</v>
      </c>
      <c r="W83" s="5"/>
      <c r="X83" s="5"/>
      <c r="Y83" s="5"/>
      <c r="Z83" s="5"/>
      <c r="AA83" s="5"/>
      <c r="AB83" s="5"/>
      <c r="AC83" s="5"/>
      <c r="AF83" s="51"/>
    </row>
    <row r="84" spans="2:32" ht="12.75" x14ac:dyDescent="0.2">
      <c r="B84" s="16"/>
      <c r="C84" s="283" t="s">
        <v>167</v>
      </c>
      <c r="D84" s="62">
        <f>INDEX(Tbl_BaselineSummary[Space Cooling Load (MMBtu/yr)],MATCH(D74,Tbl_BaselineSummary[Baseline ID],0))</f>
        <v>13.072800000000001</v>
      </c>
      <c r="E84" s="5" t="s">
        <v>156</v>
      </c>
      <c r="F84" s="672"/>
      <c r="G84" s="672"/>
      <c r="H84" s="672"/>
      <c r="J84" s="156"/>
      <c r="K84" s="5"/>
      <c r="L84" s="5"/>
      <c r="M84" s="5"/>
      <c r="N84" s="5"/>
      <c r="T84" s="154" t="s">
        <v>1502</v>
      </c>
      <c r="U84" s="288">
        <f>ACBASE3_CODE_KWH</f>
        <v>1109.9304000000002</v>
      </c>
      <c r="V84" s="6" t="s">
        <v>170</v>
      </c>
      <c r="W84" s="5"/>
      <c r="X84" s="5"/>
      <c r="Y84" s="5"/>
      <c r="Z84" s="5"/>
      <c r="AA84" s="5"/>
      <c r="AB84" s="5"/>
      <c r="AC84" s="5"/>
      <c r="AF84" s="51"/>
    </row>
    <row r="85" spans="2:32" ht="12.75" x14ac:dyDescent="0.2">
      <c r="B85" s="16"/>
      <c r="C85" s="283" t="s">
        <v>244</v>
      </c>
      <c r="D85" s="62">
        <f>INDEX(Tbl_BaselineSummary[Water Heating Load (MMBtu/yr)],MATCH(D74,Tbl_BaselineSummary[Baseline ID],0))</f>
        <v>11.3</v>
      </c>
      <c r="E85" s="5" t="s">
        <v>156</v>
      </c>
      <c r="F85" s="672"/>
      <c r="G85" s="672"/>
      <c r="H85" s="672"/>
      <c r="J85" s="115" t="s">
        <v>313</v>
      </c>
      <c r="K85" s="292">
        <f>K82*PRICE_PER_MMBTU_2018_PROPANE</f>
        <v>3116.1780071995763</v>
      </c>
      <c r="L85" s="5" t="s">
        <v>164</v>
      </c>
      <c r="M85" s="5"/>
      <c r="N85" s="5"/>
      <c r="O85" s="5" t="s">
        <v>312</v>
      </c>
      <c r="P85" s="5"/>
      <c r="Q85" s="5"/>
      <c r="S85" s="5"/>
      <c r="T85" s="154" t="s">
        <v>1503</v>
      </c>
      <c r="U85" s="42">
        <f>ACBASE3_BASE_OP_COST</f>
        <v>277.74210427200001</v>
      </c>
      <c r="V85" s="6" t="s">
        <v>164</v>
      </c>
      <c r="W85" s="5"/>
      <c r="X85" s="5"/>
      <c r="Y85" s="5"/>
      <c r="Z85" s="5"/>
      <c r="AA85" s="5"/>
      <c r="AB85" s="5"/>
      <c r="AC85" s="5"/>
      <c r="AF85" s="51"/>
    </row>
    <row r="86" spans="2:32" ht="12.75" x14ac:dyDescent="0.2">
      <c r="B86" s="16"/>
      <c r="C86" s="284"/>
      <c r="D86" s="5"/>
      <c r="E86" s="5"/>
      <c r="F86" s="5"/>
      <c r="G86" s="5"/>
      <c r="H86" s="5"/>
      <c r="J86" s="115" t="s">
        <v>314</v>
      </c>
      <c r="K86" s="292">
        <f>K83*PRICE_PER_MMBTU_2018_PROPANE</f>
        <v>2892.5464090358428</v>
      </c>
      <c r="L86" s="5" t="s">
        <v>164</v>
      </c>
      <c r="M86" s="5"/>
      <c r="N86" s="5"/>
      <c r="O86" s="55" t="s">
        <v>738</v>
      </c>
      <c r="P86" s="138">
        <v>4886</v>
      </c>
      <c r="Q86" s="5" t="s">
        <v>164</v>
      </c>
      <c r="S86" s="5"/>
      <c r="T86" s="154" t="s">
        <v>1504</v>
      </c>
      <c r="U86" s="42">
        <f>ACBASE3_CODE_OP_COST</f>
        <v>219.54423312000003</v>
      </c>
      <c r="V86" s="6" t="s">
        <v>164</v>
      </c>
      <c r="W86" s="5"/>
      <c r="X86" s="5"/>
      <c r="Y86" s="5"/>
      <c r="Z86" s="5"/>
      <c r="AA86" s="5"/>
      <c r="AB86" s="5"/>
      <c r="AC86" s="5"/>
      <c r="AF86" s="51"/>
    </row>
    <row r="87" spans="2:32" ht="12.75" x14ac:dyDescent="0.2">
      <c r="B87" s="16"/>
      <c r="C87" s="283" t="s">
        <v>635</v>
      </c>
      <c r="D87" s="62">
        <f>INDEX(Tbl_EquipmentDefinitions[New Unit Equipment Life (years)],MATCH('Baseline Calculations'!D76,Tbl_EquipmentDefinitions[Equipment ID],0))</f>
        <v>18</v>
      </c>
      <c r="E87" s="188" t="s">
        <v>376</v>
      </c>
      <c r="F87" s="5"/>
      <c r="G87" s="5"/>
      <c r="H87" s="5"/>
      <c r="T87" s="154" t="s">
        <v>742</v>
      </c>
      <c r="U87" s="37">
        <f>ACBASE3_BASE_KW_DEMAND</f>
        <v>1.8917929411764707</v>
      </c>
      <c r="V87" s="6" t="s">
        <v>176</v>
      </c>
      <c r="W87" s="5"/>
      <c r="X87" s="5"/>
      <c r="Y87" s="5"/>
      <c r="Z87" s="5"/>
      <c r="AA87" s="5"/>
      <c r="AB87" s="5"/>
      <c r="AC87" s="5"/>
      <c r="AF87" s="51"/>
    </row>
    <row r="88" spans="2:32" ht="12.75" x14ac:dyDescent="0.2">
      <c r="B88" s="16"/>
      <c r="C88" s="283" t="s">
        <v>636</v>
      </c>
      <c r="D88" s="62">
        <f>INDEX(Tbl_EquipmentDefinitions[Remaining Life for Early Replacement (years)],MATCH('Baseline Calculations'!D76,Tbl_EquipmentDefinitions[Equipment ID],0))</f>
        <v>6</v>
      </c>
      <c r="E88" s="188" t="s">
        <v>376</v>
      </c>
      <c r="F88" s="5"/>
      <c r="G88" s="5"/>
      <c r="H88" s="5"/>
      <c r="O88" s="6" t="s">
        <v>423</v>
      </c>
      <c r="T88" s="154" t="s">
        <v>743</v>
      </c>
      <c r="U88" s="37">
        <f>ACBASE3_CODE_KW_DEMAND</f>
        <v>1.4967665454545458</v>
      </c>
      <c r="V88" s="6" t="s">
        <v>176</v>
      </c>
      <c r="W88" s="5"/>
      <c r="X88" s="5"/>
      <c r="Y88" s="5"/>
      <c r="Z88" s="5"/>
      <c r="AA88" s="5"/>
      <c r="AB88" s="5"/>
      <c r="AC88" s="5"/>
      <c r="AF88" s="51"/>
    </row>
    <row r="89" spans="2:32" s="5" customFormat="1" x14ac:dyDescent="0.2">
      <c r="B89" s="16"/>
      <c r="C89" s="283" t="s">
        <v>909</v>
      </c>
      <c r="D89" s="62">
        <f>INDEX(Tbl_EquipmentDefinitions[A/C Life (years)],MATCH('Baseline Calculations'!D76,Tbl_EquipmentDefinitions[Equipment ID],0))</f>
        <v>10</v>
      </c>
      <c r="E89" s="188" t="s">
        <v>376</v>
      </c>
      <c r="O89" s="156" t="s">
        <v>422</v>
      </c>
      <c r="P89" s="146">
        <f>AVERAGE(530,984,1329,1329)</f>
        <v>1043</v>
      </c>
      <c r="Q89" s="6" t="s">
        <v>397</v>
      </c>
      <c r="AF89" s="51"/>
    </row>
    <row r="90" spans="2:32" s="5" customFormat="1" x14ac:dyDescent="0.2">
      <c r="B90" s="16"/>
      <c r="C90" s="283" t="s">
        <v>908</v>
      </c>
      <c r="D90" s="62">
        <f>INDEX(Tbl_EquipmentDefinitions[Remaining A/C Life for Early Replacement (years)],MATCH('Baseline Calculations'!D76,Tbl_EquipmentDefinitions[Equipment ID],0))</f>
        <v>3</v>
      </c>
      <c r="E90" s="188" t="s">
        <v>376</v>
      </c>
      <c r="O90" s="6"/>
      <c r="P90" s="6"/>
      <c r="Q90" s="6"/>
      <c r="AF90" s="51"/>
    </row>
    <row r="91" spans="2:32" s="5" customFormat="1" x14ac:dyDescent="0.2">
      <c r="B91" s="16"/>
      <c r="C91" s="50"/>
      <c r="O91" s="6" t="s">
        <v>741</v>
      </c>
      <c r="P91" s="6"/>
      <c r="Q91" s="6"/>
      <c r="AF91" s="51"/>
    </row>
    <row r="92" spans="2:32" s="5" customFormat="1" x14ac:dyDescent="0.2">
      <c r="B92" s="16"/>
      <c r="C92" s="50"/>
      <c r="O92" s="155" t="s">
        <v>739</v>
      </c>
      <c r="P92" s="146">
        <v>0.16</v>
      </c>
      <c r="Q92" s="6"/>
      <c r="AF92" s="51"/>
    </row>
    <row r="93" spans="2:32" s="5" customFormat="1" x14ac:dyDescent="0.2">
      <c r="B93" s="16"/>
      <c r="C93" s="50"/>
      <c r="O93" s="6"/>
      <c r="P93" s="6"/>
      <c r="Q93" s="6"/>
      <c r="AF93" s="51"/>
    </row>
    <row r="94" spans="2:32" s="5" customFormat="1" x14ac:dyDescent="0.2">
      <c r="B94" s="16"/>
      <c r="C94" s="50"/>
      <c r="O94" s="156" t="s">
        <v>744</v>
      </c>
      <c r="P94" s="145">
        <f>P92*P79/P89</f>
        <v>5.7457334611697032E-2</v>
      </c>
      <c r="Q94" s="5" t="s">
        <v>176</v>
      </c>
      <c r="AF94" s="51"/>
    </row>
    <row r="95" spans="2:32" s="5" customFormat="1" x14ac:dyDescent="0.2">
      <c r="B95" s="16"/>
      <c r="C95" s="50"/>
      <c r="O95" s="156" t="s">
        <v>745</v>
      </c>
      <c r="P95" s="145">
        <f>P92*P80/P89</f>
        <v>5.6989453499520615E-2</v>
      </c>
      <c r="Q95" s="5" t="s">
        <v>176</v>
      </c>
      <c r="AF95" s="51"/>
    </row>
    <row r="96" spans="2:32" s="5" customFormat="1" x14ac:dyDescent="0.2">
      <c r="B96" s="16"/>
      <c r="C96" s="58"/>
      <c r="D96" s="59"/>
      <c r="E96" s="59"/>
      <c r="F96" s="59"/>
      <c r="G96" s="59"/>
      <c r="H96" s="59"/>
      <c r="J96" s="59"/>
      <c r="K96" s="59"/>
      <c r="L96" s="59"/>
      <c r="M96" s="59"/>
      <c r="N96" s="59"/>
      <c r="O96" s="59"/>
      <c r="P96" s="59"/>
      <c r="Q96" s="59"/>
      <c r="R96" s="59"/>
      <c r="S96" s="59"/>
      <c r="T96" s="59"/>
      <c r="U96" s="59"/>
      <c r="V96" s="59"/>
      <c r="W96" s="59"/>
      <c r="X96" s="59"/>
      <c r="Y96" s="59"/>
      <c r="Z96" s="59"/>
      <c r="AA96" s="59"/>
      <c r="AB96" s="59"/>
      <c r="AC96" s="59"/>
      <c r="AD96" s="59"/>
      <c r="AE96" s="59"/>
      <c r="AF96" s="60"/>
    </row>
    <row r="97" spans="2:32" ht="11.25" customHeight="1" x14ac:dyDescent="0.2">
      <c r="B97" s="16"/>
      <c r="D97" s="5"/>
      <c r="E97" s="5"/>
      <c r="AB97" s="5"/>
      <c r="AC97" s="5"/>
      <c r="AD97" s="5"/>
      <c r="AE97" s="5"/>
    </row>
    <row r="98" spans="2:32" ht="15.75" thickBot="1" x14ac:dyDescent="0.25">
      <c r="B98" s="16"/>
      <c r="C98" s="74" t="s">
        <v>270</v>
      </c>
      <c r="D98" s="75"/>
      <c r="E98" s="75"/>
      <c r="F98" s="75"/>
      <c r="G98" s="75"/>
      <c r="H98" s="75"/>
      <c r="J98" s="75" t="s">
        <v>271</v>
      </c>
      <c r="K98" s="75"/>
      <c r="L98" s="48"/>
      <c r="M98" s="48"/>
      <c r="N98" s="48"/>
      <c r="O98" s="48"/>
      <c r="P98" s="48"/>
      <c r="Q98" s="48"/>
      <c r="R98" s="48"/>
      <c r="S98" s="48"/>
      <c r="T98" s="48"/>
      <c r="U98" s="48"/>
      <c r="V98" s="48"/>
      <c r="W98" s="48"/>
      <c r="X98" s="48"/>
      <c r="Y98" s="48"/>
      <c r="Z98" s="48"/>
      <c r="AA98" s="48"/>
      <c r="AB98" s="48"/>
      <c r="AC98" s="48"/>
      <c r="AD98" s="48"/>
      <c r="AE98" s="48"/>
      <c r="AF98" s="49"/>
    </row>
    <row r="99" spans="2:32" ht="3.75" customHeight="1" x14ac:dyDescent="0.2">
      <c r="B99" s="16"/>
      <c r="C99" s="50"/>
      <c r="D99" s="5"/>
      <c r="E99" s="5"/>
      <c r="F99" s="5"/>
      <c r="G99" s="5"/>
      <c r="H99" s="5"/>
      <c r="J99" s="5"/>
      <c r="K99" s="5"/>
      <c r="L99" s="5"/>
      <c r="M99" s="5"/>
      <c r="N99" s="5"/>
      <c r="O99" s="5"/>
      <c r="P99" s="5"/>
      <c r="Q99" s="5"/>
      <c r="R99" s="5"/>
      <c r="S99" s="5"/>
      <c r="T99" s="5"/>
      <c r="U99" s="5"/>
      <c r="V99" s="5"/>
      <c r="W99" s="5"/>
      <c r="X99" s="5"/>
      <c r="Y99" s="5"/>
      <c r="Z99" s="5"/>
      <c r="AA99" s="5"/>
      <c r="AB99" s="5"/>
      <c r="AC99" s="5"/>
      <c r="AD99" s="5"/>
      <c r="AE99" s="5"/>
      <c r="AF99" s="51"/>
    </row>
    <row r="100" spans="2:32" ht="34.5" thickBot="1" x14ac:dyDescent="0.25">
      <c r="B100" s="16"/>
      <c r="C100" s="76" t="s">
        <v>249</v>
      </c>
      <c r="D100" s="81" t="s">
        <v>229</v>
      </c>
      <c r="E100" s="71"/>
      <c r="F100" s="66" t="s">
        <v>260</v>
      </c>
      <c r="G100" s="66" t="s">
        <v>5</v>
      </c>
      <c r="H100" s="66" t="s">
        <v>6</v>
      </c>
      <c r="J100" s="66" t="s">
        <v>127</v>
      </c>
      <c r="K100" s="72" t="s">
        <v>261</v>
      </c>
      <c r="L100" s="72" t="s">
        <v>262</v>
      </c>
      <c r="M100" s="72" t="s">
        <v>1455</v>
      </c>
      <c r="N100" s="72" t="s">
        <v>1456</v>
      </c>
      <c r="O100" s="72" t="s">
        <v>963</v>
      </c>
      <c r="P100" s="72" t="s">
        <v>974</v>
      </c>
      <c r="Q100" s="72" t="s">
        <v>263</v>
      </c>
      <c r="R100" s="72" t="s">
        <v>264</v>
      </c>
      <c r="S100" s="72" t="s">
        <v>265</v>
      </c>
      <c r="T100" s="72" t="s">
        <v>280</v>
      </c>
      <c r="U100" s="72" t="s">
        <v>200</v>
      </c>
      <c r="V100" s="72" t="s">
        <v>753</v>
      </c>
      <c r="W100" s="72" t="s">
        <v>634</v>
      </c>
      <c r="X100" s="72" t="s">
        <v>754</v>
      </c>
      <c r="Y100" s="72" t="s">
        <v>266</v>
      </c>
      <c r="Z100" s="72" t="s">
        <v>1457</v>
      </c>
      <c r="AA100" s="72" t="s">
        <v>1458</v>
      </c>
      <c r="AB100" s="72" t="s">
        <v>964</v>
      </c>
      <c r="AC100" s="72" t="s">
        <v>975</v>
      </c>
      <c r="AD100" s="72" t="s">
        <v>267</v>
      </c>
      <c r="AE100" s="72" t="s">
        <v>268</v>
      </c>
      <c r="AF100" s="77" t="s">
        <v>269</v>
      </c>
    </row>
    <row r="101" spans="2:32" x14ac:dyDescent="0.2">
      <c r="B101" s="16"/>
      <c r="C101" s="61"/>
      <c r="D101" s="5"/>
      <c r="E101" s="5"/>
      <c r="F101" s="63" t="s">
        <v>178</v>
      </c>
      <c r="G101" s="67" t="str">
        <f>INDEX(Tbl_EquipmentDefinitions[Electricity Baseline Efficiency],MATCH(D102,Tbl_EquipmentDefinitions[Equipment ID],0))</f>
        <v>-</v>
      </c>
      <c r="H101" s="68" t="str">
        <f>INDEX(Tbl_EquipmentDefinitions[Electricity Code Efficiency],MATCH(D102,Tbl_EquipmentDefinitions[Equipment ID],0))</f>
        <v>-</v>
      </c>
      <c r="J101" s="63" t="str">
        <f>D100</f>
        <v>BASE03</v>
      </c>
      <c r="K101" s="148">
        <f>K111+P108</f>
        <v>2021.2027783511851</v>
      </c>
      <c r="L101" s="285">
        <f>P105</f>
        <v>374.55</v>
      </c>
      <c r="M101" s="285">
        <f>P105</f>
        <v>374.55</v>
      </c>
      <c r="N101" s="285">
        <v>0</v>
      </c>
      <c r="O101" s="117">
        <f>P120</f>
        <v>5.7457334611697032E-2</v>
      </c>
      <c r="P101" s="117">
        <v>0</v>
      </c>
      <c r="Q101" s="286">
        <v>0</v>
      </c>
      <c r="R101" s="286">
        <v>0</v>
      </c>
      <c r="S101" s="286">
        <f>K108</f>
        <v>86.692015209125472</v>
      </c>
      <c r="T101" s="148">
        <f>K112+P109</f>
        <v>1924.6144108543197</v>
      </c>
      <c r="U101" s="148">
        <f>P112</f>
        <v>5099</v>
      </c>
      <c r="V101" s="148">
        <v>0</v>
      </c>
      <c r="W101" s="148">
        <f>((PV(DiscountRate, (D113-D114),PMT(DiscountRate, D113, (U101)))/(1+DiscountRate)^(D114)))</f>
        <v>3107.1406232179743</v>
      </c>
      <c r="X101" s="148">
        <v>0</v>
      </c>
      <c r="Y101" s="285">
        <f>P106</f>
        <v>372.5</v>
      </c>
      <c r="Z101" s="285">
        <f>P106</f>
        <v>372.5</v>
      </c>
      <c r="AA101" s="285">
        <v>0</v>
      </c>
      <c r="AB101" s="117">
        <f>P121</f>
        <v>5.7142857142857141E-2</v>
      </c>
      <c r="AC101" s="117">
        <v>0</v>
      </c>
      <c r="AD101" s="286">
        <v>0</v>
      </c>
      <c r="AE101" s="286">
        <v>0</v>
      </c>
      <c r="AF101" s="287">
        <f>K109</f>
        <v>82.409638554216883</v>
      </c>
    </row>
    <row r="102" spans="2:32" x14ac:dyDescent="0.2">
      <c r="B102" s="16"/>
      <c r="C102" s="283" t="s">
        <v>2</v>
      </c>
      <c r="D102" s="62" t="str">
        <f>INDEX(Tbl_BaselineSummary[Equipment ID],MATCH(D100,Tbl_BaselineSummary[Baseline ID],0))</f>
        <v>EQUI003</v>
      </c>
      <c r="E102" s="5"/>
      <c r="F102" s="63" t="s">
        <v>55</v>
      </c>
      <c r="G102" s="68" t="str">
        <f>INDEX(Tbl_EquipmentDefinitions[Natural Gas Baseline Efficiency],MATCH(D102,Tbl_EquipmentDefinitions[Equipment ID],0))</f>
        <v>-</v>
      </c>
      <c r="H102" s="69" t="str">
        <f>INDEX(Tbl_EquipmentDefinitions[Natural Gas Code Efficiency],MATCH(D102,Tbl_EquipmentDefinitions[Equipment ID],0))</f>
        <v>-</v>
      </c>
      <c r="J102" s="5"/>
      <c r="K102" s="5"/>
      <c r="L102" s="5"/>
      <c r="M102" s="5"/>
      <c r="N102" s="5"/>
      <c r="O102" s="5"/>
      <c r="P102" s="5"/>
      <c r="Q102" s="5"/>
      <c r="R102" s="5"/>
      <c r="S102" s="5"/>
      <c r="T102" s="5"/>
      <c r="U102" s="5"/>
      <c r="V102" s="5"/>
      <c r="W102" s="5"/>
      <c r="X102" s="5"/>
      <c r="Y102" s="5"/>
      <c r="Z102" s="5"/>
      <c r="AA102" s="5"/>
      <c r="AB102" s="5"/>
      <c r="AC102" s="5"/>
      <c r="AD102" s="5"/>
      <c r="AE102" s="5"/>
      <c r="AF102" s="51"/>
    </row>
    <row r="103" spans="2:32" ht="12.75" x14ac:dyDescent="0.2">
      <c r="B103" s="16"/>
      <c r="C103" s="283" t="s">
        <v>4</v>
      </c>
      <c r="D103" s="64" t="str">
        <f>INDEX(Tbl_EquipmentDefinitions[Equipment Name],MATCH(D102,Tbl_EquipmentDefinitions[Equipment ID],0))</f>
        <v>Oil Furnace</v>
      </c>
      <c r="E103" s="5"/>
      <c r="F103" s="63" t="s">
        <v>28</v>
      </c>
      <c r="G103" s="70" t="str">
        <f>INDEX(Tbl_EquipmentDefinitions[Propane Baseline Efficiency],MATCH(D102,Tbl_EquipmentDefinitions[Equipment ID],0))</f>
        <v>-</v>
      </c>
      <c r="H103" s="68" t="str">
        <f>INDEX(Tbl_EquipmentDefinitions[Propane Code Efficiency],MATCH(D102,Tbl_EquipmentDefinitions[Equipment ID],0))</f>
        <v>-</v>
      </c>
      <c r="J103" s="78" t="s">
        <v>272</v>
      </c>
      <c r="K103" s="78"/>
      <c r="L103" s="5"/>
      <c r="M103" s="5"/>
      <c r="N103" s="5"/>
      <c r="O103" s="5"/>
      <c r="P103" s="5"/>
      <c r="Q103" s="5"/>
      <c r="R103" s="5"/>
      <c r="S103" s="5"/>
      <c r="T103" s="5"/>
      <c r="U103" s="5"/>
      <c r="V103" s="5"/>
      <c r="W103" s="5"/>
      <c r="X103" s="5"/>
      <c r="AB103" s="5"/>
      <c r="AC103" s="5"/>
      <c r="AD103" s="5"/>
      <c r="AE103" s="5"/>
      <c r="AF103" s="51"/>
    </row>
    <row r="104" spans="2:32" x14ac:dyDescent="0.2">
      <c r="B104" s="16"/>
      <c r="C104" s="283" t="s">
        <v>125</v>
      </c>
      <c r="D104" s="62" t="str">
        <f>INDEX(Tbl_EquipmentDefinitions[Equipment Level],MATCH(D102,Tbl_EquipmentDefinitions[Equipment ID],0))</f>
        <v>Primary</v>
      </c>
      <c r="E104" s="5"/>
      <c r="F104" s="63" t="s">
        <v>27</v>
      </c>
      <c r="G104" s="68" t="str">
        <f>INDEX(Tbl_EquipmentDefinitions[Oil Baseline Efficiency],MATCH(D102,Tbl_EquipmentDefinitions[Equipment ID],0))</f>
        <v>78% AFUE (78.9%)</v>
      </c>
      <c r="H104" s="70" t="str">
        <f>INDEX(Tbl_EquipmentDefinitions[Oil Code Efficiency],MATCH(D102,Tbl_EquipmentDefinitions[Equipment ID],0))</f>
        <v>83% AFUE</v>
      </c>
      <c r="J104" s="5"/>
      <c r="K104" s="5"/>
      <c r="L104" s="5"/>
      <c r="M104" s="5"/>
      <c r="N104" s="5"/>
      <c r="O104" s="5" t="s">
        <v>250</v>
      </c>
      <c r="P104" s="5"/>
      <c r="Q104" s="5"/>
      <c r="R104" s="5"/>
      <c r="S104" s="5"/>
      <c r="T104" s="5"/>
      <c r="U104" s="5"/>
      <c r="V104" s="5"/>
      <c r="W104" s="5"/>
      <c r="X104" s="5"/>
      <c r="AB104" s="5"/>
      <c r="AC104" s="5"/>
      <c r="AD104" s="5"/>
      <c r="AE104" s="5"/>
      <c r="AF104" s="51"/>
    </row>
    <row r="105" spans="2:32" ht="12.75" x14ac:dyDescent="0.2">
      <c r="B105" s="16"/>
      <c r="C105" s="283" t="s">
        <v>24</v>
      </c>
      <c r="D105" s="64" t="str">
        <f>INDEX(Tbl_EquipmentDefinitions[Function],MATCH(D102,Tbl_EquipmentDefinitions[Equipment ID],0))</f>
        <v>Heat</v>
      </c>
      <c r="E105" s="5"/>
      <c r="F105" s="5"/>
      <c r="G105" s="5"/>
      <c r="H105" s="5"/>
      <c r="J105" s="115" t="s">
        <v>157</v>
      </c>
      <c r="K105" s="52">
        <v>0.78900000000000003</v>
      </c>
      <c r="L105" s="5" t="s">
        <v>158</v>
      </c>
      <c r="M105" s="5"/>
      <c r="N105" s="5"/>
      <c r="O105" s="53" t="s">
        <v>251</v>
      </c>
      <c r="P105" s="290">
        <f>374+(K105*100-80)*(369-374)/(90-80)</f>
        <v>374.55</v>
      </c>
      <c r="Q105" s="673" t="s">
        <v>255</v>
      </c>
      <c r="R105" s="674"/>
      <c r="T105" s="5"/>
      <c r="X105" s="5"/>
      <c r="Y105" s="5"/>
      <c r="Z105" s="5"/>
      <c r="AA105" s="5"/>
      <c r="AB105" s="5"/>
      <c r="AC105" s="5"/>
      <c r="AD105" s="5"/>
      <c r="AE105" s="5"/>
      <c r="AF105" s="51"/>
    </row>
    <row r="106" spans="2:32" ht="12.75" x14ac:dyDescent="0.2">
      <c r="B106" s="16"/>
      <c r="C106" s="283" t="s">
        <v>7</v>
      </c>
      <c r="D106" s="62" t="str">
        <f>INDEX(Tbl_EquipmentDefinitions[Fuel Type],MATCH(D102,Tbl_EquipmentDefinitions[Equipment ID],0))</f>
        <v>Oil</v>
      </c>
      <c r="E106" s="65"/>
      <c r="F106" s="671" t="s">
        <v>273</v>
      </c>
      <c r="G106" s="672"/>
      <c r="H106" s="672"/>
      <c r="J106" s="115" t="s">
        <v>159</v>
      </c>
      <c r="K106" s="52">
        <v>0.83</v>
      </c>
      <c r="L106" s="5" t="s">
        <v>158</v>
      </c>
      <c r="M106" s="5"/>
      <c r="N106" s="5"/>
      <c r="O106" s="53" t="s">
        <v>252</v>
      </c>
      <c r="P106" s="290">
        <f>374+(K106*100-80)*(369-374)/(90-80)</f>
        <v>372.5</v>
      </c>
      <c r="Q106" s="674"/>
      <c r="R106" s="674"/>
      <c r="X106" s="5"/>
      <c r="Y106" s="5"/>
      <c r="Z106" s="5"/>
      <c r="AA106" s="5"/>
      <c r="AB106" s="5"/>
      <c r="AC106" s="5"/>
      <c r="AD106" s="5"/>
      <c r="AE106" s="5"/>
      <c r="AF106" s="51"/>
    </row>
    <row r="107" spans="2:32" x14ac:dyDescent="0.2">
      <c r="B107" s="16"/>
      <c r="C107" s="283" t="s">
        <v>126</v>
      </c>
      <c r="D107" s="64">
        <f>IF(ISERR(SEARCH("+",D106,1)),1,2)</f>
        <v>1</v>
      </c>
      <c r="E107" s="65"/>
      <c r="F107" s="672"/>
      <c r="G107" s="672"/>
      <c r="H107" s="672"/>
      <c r="J107" s="156"/>
      <c r="K107" s="5"/>
      <c r="L107" s="5"/>
      <c r="M107" s="5"/>
      <c r="N107" s="5"/>
      <c r="O107" s="5"/>
      <c r="P107" s="5"/>
      <c r="Q107" s="675"/>
      <c r="R107" s="675"/>
      <c r="X107" s="5"/>
      <c r="Y107" s="5"/>
      <c r="Z107" s="5"/>
      <c r="AA107" s="5"/>
      <c r="AB107" s="5"/>
      <c r="AC107" s="5"/>
      <c r="AD107" s="5"/>
      <c r="AE107" s="5"/>
      <c r="AF107" s="51"/>
    </row>
    <row r="108" spans="2:32" ht="12.75" x14ac:dyDescent="0.2">
      <c r="B108" s="16"/>
      <c r="C108" s="284"/>
      <c r="D108" s="5"/>
      <c r="E108" s="5"/>
      <c r="F108" s="672"/>
      <c r="G108" s="672"/>
      <c r="H108" s="672"/>
      <c r="J108" s="115" t="s">
        <v>353</v>
      </c>
      <c r="K108" s="56">
        <f>$D$109/K105</f>
        <v>86.692015209125472</v>
      </c>
      <c r="L108" s="5" t="s">
        <v>156</v>
      </c>
      <c r="M108" s="5"/>
      <c r="N108" s="5"/>
      <c r="O108" s="55" t="s">
        <v>256</v>
      </c>
      <c r="P108" s="57">
        <f>P105*PRICE_PER_KWH_2018_ELECTRICITY</f>
        <v>74.08599000000001</v>
      </c>
      <c r="Q108" s="5" t="s">
        <v>164</v>
      </c>
      <c r="R108" s="5"/>
      <c r="X108" s="5"/>
      <c r="Y108" s="5"/>
      <c r="Z108" s="5"/>
      <c r="AA108" s="5"/>
      <c r="AB108" s="5"/>
      <c r="AC108" s="5"/>
      <c r="AD108" s="5"/>
      <c r="AE108" s="5"/>
      <c r="AF108" s="51"/>
    </row>
    <row r="109" spans="2:32" ht="12.75" x14ac:dyDescent="0.2">
      <c r="B109" s="16"/>
      <c r="C109" s="283" t="s">
        <v>155</v>
      </c>
      <c r="D109" s="62">
        <f>INDEX(Tbl_BaselineSummary[Space Heating Load (MMBtu/yr)],MATCH(D100,Tbl_BaselineSummary[Baseline ID],0))</f>
        <v>68.400000000000006</v>
      </c>
      <c r="E109" s="5" t="s">
        <v>156</v>
      </c>
      <c r="F109" s="672"/>
      <c r="G109" s="672"/>
      <c r="H109" s="672"/>
      <c r="J109" s="115" t="s">
        <v>385</v>
      </c>
      <c r="K109" s="56">
        <f>$D$109/K106</f>
        <v>82.409638554216883</v>
      </c>
      <c r="L109" s="5" t="s">
        <v>156</v>
      </c>
      <c r="M109" s="5"/>
      <c r="N109" s="5"/>
      <c r="O109" s="55" t="s">
        <v>257</v>
      </c>
      <c r="P109" s="57">
        <f>P106*PRICE_PER_KWH_2018_ELECTRICITY</f>
        <v>73.680499999999995</v>
      </c>
      <c r="Q109" s="5" t="s">
        <v>164</v>
      </c>
      <c r="R109" s="5"/>
      <c r="X109" s="5"/>
      <c r="Y109" s="5"/>
      <c r="Z109" s="5"/>
      <c r="AA109" s="5"/>
      <c r="AB109" s="5"/>
      <c r="AC109" s="5"/>
      <c r="AD109" s="5"/>
      <c r="AE109" s="5"/>
      <c r="AF109" s="51"/>
    </row>
    <row r="110" spans="2:32" x14ac:dyDescent="0.2">
      <c r="B110" s="16"/>
      <c r="C110" s="283" t="s">
        <v>167</v>
      </c>
      <c r="D110" s="62">
        <f>INDEX(Tbl_BaselineSummary[Space Cooling Load (MMBtu/yr)],MATCH(D100,Tbl_BaselineSummary[Baseline ID],0))</f>
        <v>13.072800000000001</v>
      </c>
      <c r="E110" s="5" t="s">
        <v>156</v>
      </c>
      <c r="F110" s="672"/>
      <c r="G110" s="672"/>
      <c r="H110" s="672"/>
      <c r="J110" s="156"/>
      <c r="K110" s="5"/>
      <c r="L110" s="5"/>
      <c r="M110" s="5"/>
      <c r="N110" s="5"/>
      <c r="X110" s="5"/>
      <c r="Y110" s="5"/>
      <c r="Z110" s="5"/>
      <c r="AA110" s="5"/>
      <c r="AB110" s="5"/>
      <c r="AC110" s="5"/>
      <c r="AD110" s="5"/>
      <c r="AE110" s="5"/>
      <c r="AF110" s="51"/>
    </row>
    <row r="111" spans="2:32" ht="12.75" x14ac:dyDescent="0.2">
      <c r="B111" s="16"/>
      <c r="C111" s="283" t="s">
        <v>244</v>
      </c>
      <c r="D111" s="62">
        <f>INDEX(Tbl_BaselineSummary[Water Heating Load (MMBtu/yr)],MATCH(D100,Tbl_BaselineSummary[Baseline ID],0))</f>
        <v>13.9</v>
      </c>
      <c r="E111" s="5" t="s">
        <v>156</v>
      </c>
      <c r="F111" s="672"/>
      <c r="G111" s="672"/>
      <c r="H111" s="672"/>
      <c r="J111" s="115" t="s">
        <v>253</v>
      </c>
      <c r="K111" s="292">
        <f>K108*PRICE_PER_MMBTU_2018_OIL</f>
        <v>1947.1167883511851</v>
      </c>
      <c r="L111" s="5" t="s">
        <v>164</v>
      </c>
      <c r="M111" s="5"/>
      <c r="N111" s="5"/>
      <c r="O111" s="5" t="s">
        <v>258</v>
      </c>
      <c r="P111" s="5"/>
      <c r="Q111" s="5"/>
      <c r="R111" s="5"/>
      <c r="X111" s="5"/>
      <c r="Y111" s="5"/>
      <c r="Z111" s="5"/>
      <c r="AA111" s="5"/>
      <c r="AB111" s="5"/>
      <c r="AC111" s="5"/>
      <c r="AD111" s="5"/>
      <c r="AE111" s="5"/>
      <c r="AF111" s="51"/>
    </row>
    <row r="112" spans="2:32" ht="12.75" x14ac:dyDescent="0.2">
      <c r="B112" s="16"/>
      <c r="C112" s="284"/>
      <c r="D112" s="5"/>
      <c r="E112" s="5"/>
      <c r="F112" s="5"/>
      <c r="G112" s="5"/>
      <c r="H112" s="5"/>
      <c r="J112" s="115" t="s">
        <v>254</v>
      </c>
      <c r="K112" s="292">
        <f>K109*PRICE_PER_MMBTU_2018_OIL</f>
        <v>1850.9339108543197</v>
      </c>
      <c r="L112" s="5" t="s">
        <v>164</v>
      </c>
      <c r="M112" s="5"/>
      <c r="N112" s="5"/>
      <c r="O112" s="55" t="s">
        <v>738</v>
      </c>
      <c r="P112" s="138">
        <v>5099</v>
      </c>
      <c r="Q112" s="5" t="s">
        <v>164</v>
      </c>
      <c r="R112" s="5"/>
      <c r="X112" s="5"/>
      <c r="Y112" s="5"/>
      <c r="Z112" s="5"/>
      <c r="AA112" s="5"/>
      <c r="AB112" s="5"/>
      <c r="AC112" s="5"/>
      <c r="AD112" s="5"/>
      <c r="AE112" s="5"/>
      <c r="AF112" s="51"/>
    </row>
    <row r="113" spans="1:32" ht="12.75" x14ac:dyDescent="0.2">
      <c r="B113" s="16"/>
      <c r="C113" s="283" t="s">
        <v>635</v>
      </c>
      <c r="D113" s="62">
        <f>INDEX(Tbl_EquipmentDefinitions[New Unit Equipment Life (years)],MATCH('Baseline Calculations'!D102,Tbl_EquipmentDefinitions[Equipment ID],0))</f>
        <v>18</v>
      </c>
      <c r="E113" s="188" t="s">
        <v>376</v>
      </c>
      <c r="F113" s="5"/>
      <c r="G113" s="5"/>
      <c r="H113" s="5"/>
      <c r="J113" s="234"/>
      <c r="L113" s="5"/>
      <c r="M113" s="5"/>
      <c r="N113" s="5"/>
      <c r="O113" s="80"/>
      <c r="Q113" s="5"/>
      <c r="R113" s="5"/>
      <c r="X113" s="5"/>
      <c r="Y113" s="5"/>
      <c r="Z113" s="5"/>
      <c r="AA113" s="5"/>
      <c r="AB113" s="5"/>
      <c r="AC113" s="5"/>
      <c r="AD113" s="5"/>
      <c r="AE113" s="5"/>
      <c r="AF113" s="51"/>
    </row>
    <row r="114" spans="1:32" x14ac:dyDescent="0.2">
      <c r="B114" s="16"/>
      <c r="C114" s="283" t="s">
        <v>636</v>
      </c>
      <c r="D114" s="62">
        <f>INDEX(Tbl_EquipmentDefinitions[Remaining Life for Early Replacement (years)],MATCH('Baseline Calculations'!D102,Tbl_EquipmentDefinitions[Equipment ID],0))</f>
        <v>6</v>
      </c>
      <c r="E114" s="188" t="s">
        <v>376</v>
      </c>
      <c r="F114" s="5"/>
      <c r="G114" s="5"/>
      <c r="H114" s="5"/>
      <c r="J114" s="155"/>
      <c r="O114" s="6" t="s">
        <v>423</v>
      </c>
      <c r="X114" s="5"/>
      <c r="Y114" s="5"/>
      <c r="Z114" s="5"/>
      <c r="AA114" s="5"/>
      <c r="AB114" s="5"/>
      <c r="AC114" s="5"/>
      <c r="AD114" s="5"/>
      <c r="AE114" s="5"/>
      <c r="AF114" s="51"/>
    </row>
    <row r="115" spans="1:32" s="5" customFormat="1" x14ac:dyDescent="0.2">
      <c r="A115" s="6"/>
      <c r="B115" s="16"/>
      <c r="C115" s="50"/>
      <c r="O115" s="156" t="s">
        <v>422</v>
      </c>
      <c r="P115" s="146">
        <f>AVERAGE(530,984,1329,1329)</f>
        <v>1043</v>
      </c>
      <c r="Q115" s="6" t="s">
        <v>397</v>
      </c>
      <c r="AF115" s="51"/>
    </row>
    <row r="116" spans="1:32" s="5" customFormat="1" x14ac:dyDescent="0.2">
      <c r="A116" s="6"/>
      <c r="B116" s="16"/>
      <c r="C116" s="50"/>
      <c r="O116" s="6"/>
      <c r="P116" s="6"/>
      <c r="Q116" s="6"/>
      <c r="AF116" s="51"/>
    </row>
    <row r="117" spans="1:32" s="5" customFormat="1" x14ac:dyDescent="0.2">
      <c r="B117" s="16"/>
      <c r="C117" s="50"/>
      <c r="O117" s="6" t="s">
        <v>741</v>
      </c>
      <c r="P117" s="6"/>
      <c r="Q117" s="6"/>
      <c r="AF117" s="51"/>
    </row>
    <row r="118" spans="1:32" s="5" customFormat="1" x14ac:dyDescent="0.2">
      <c r="B118" s="16"/>
      <c r="C118" s="50"/>
      <c r="O118" s="155" t="s">
        <v>739</v>
      </c>
      <c r="P118" s="146">
        <v>0.16</v>
      </c>
      <c r="Q118" s="6"/>
      <c r="AF118" s="51"/>
    </row>
    <row r="119" spans="1:32" s="5" customFormat="1" x14ac:dyDescent="0.2">
      <c r="B119" s="16"/>
      <c r="C119" s="50"/>
      <c r="O119" s="6"/>
      <c r="P119" s="6"/>
      <c r="Q119" s="6"/>
      <c r="AF119" s="51"/>
    </row>
    <row r="120" spans="1:32" s="5" customFormat="1" x14ac:dyDescent="0.2">
      <c r="B120" s="16"/>
      <c r="C120" s="50"/>
      <c r="O120" s="156" t="s">
        <v>744</v>
      </c>
      <c r="P120" s="145">
        <f>P118*P105/P115</f>
        <v>5.7457334611697032E-2</v>
      </c>
      <c r="Q120" s="5" t="s">
        <v>176</v>
      </c>
      <c r="AF120" s="51"/>
    </row>
    <row r="121" spans="1:32" s="5" customFormat="1" x14ac:dyDescent="0.2">
      <c r="B121" s="16"/>
      <c r="C121" s="50"/>
      <c r="O121" s="156" t="s">
        <v>745</v>
      </c>
      <c r="P121" s="145">
        <f>P118*P106/P115</f>
        <v>5.7142857142857141E-2</v>
      </c>
      <c r="Q121" s="5" t="s">
        <v>176</v>
      </c>
      <c r="AF121" s="51"/>
    </row>
    <row r="122" spans="1:32" x14ac:dyDescent="0.2">
      <c r="B122" s="16"/>
      <c r="C122" s="58"/>
      <c r="D122" s="59"/>
      <c r="E122" s="59"/>
      <c r="F122" s="59"/>
      <c r="G122" s="59"/>
      <c r="H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60"/>
    </row>
    <row r="123" spans="1:32" ht="11.25" customHeight="1" x14ac:dyDescent="0.2">
      <c r="B123" s="16"/>
      <c r="D123" s="5"/>
      <c r="E123" s="5"/>
      <c r="AB123" s="5"/>
      <c r="AC123" s="5"/>
      <c r="AD123" s="5"/>
      <c r="AE123" s="5"/>
    </row>
    <row r="124" spans="1:32" ht="15.75" thickBot="1" x14ac:dyDescent="0.25">
      <c r="B124" s="16"/>
      <c r="C124" s="74" t="s">
        <v>270</v>
      </c>
      <c r="D124" s="75"/>
      <c r="E124" s="75"/>
      <c r="F124" s="75"/>
      <c r="G124" s="75"/>
      <c r="H124" s="75"/>
      <c r="J124" s="75" t="s">
        <v>271</v>
      </c>
      <c r="K124" s="75"/>
      <c r="L124" s="48"/>
      <c r="M124" s="48"/>
      <c r="N124" s="48"/>
      <c r="O124" s="48"/>
      <c r="P124" s="48"/>
      <c r="Q124" s="48"/>
      <c r="R124" s="48"/>
      <c r="S124" s="48"/>
      <c r="T124" s="48"/>
      <c r="U124" s="48"/>
      <c r="V124" s="48"/>
      <c r="W124" s="48"/>
      <c r="X124" s="48"/>
      <c r="Y124" s="48"/>
      <c r="Z124" s="48"/>
      <c r="AA124" s="48"/>
      <c r="AB124" s="48"/>
      <c r="AC124" s="48"/>
      <c r="AD124" s="48"/>
      <c r="AE124" s="48"/>
      <c r="AF124" s="49"/>
    </row>
    <row r="125" spans="1:32" ht="3.75" customHeight="1" x14ac:dyDescent="0.2">
      <c r="B125" s="16"/>
      <c r="C125" s="50"/>
      <c r="D125" s="5"/>
      <c r="E125" s="5"/>
      <c r="F125" s="5"/>
      <c r="G125" s="5"/>
      <c r="H125" s="5"/>
      <c r="J125" s="5"/>
      <c r="K125" s="5"/>
      <c r="L125" s="5"/>
      <c r="M125" s="5"/>
      <c r="N125" s="5"/>
      <c r="O125" s="5"/>
      <c r="P125" s="5"/>
      <c r="Q125" s="5"/>
      <c r="R125" s="5"/>
      <c r="S125" s="5"/>
      <c r="T125" s="5"/>
      <c r="U125" s="5"/>
      <c r="V125" s="5"/>
      <c r="W125" s="5"/>
      <c r="X125" s="5"/>
      <c r="Y125" s="5"/>
      <c r="Z125" s="5"/>
      <c r="AA125" s="5"/>
      <c r="AB125" s="5"/>
      <c r="AC125" s="5"/>
      <c r="AD125" s="5"/>
      <c r="AE125" s="5"/>
      <c r="AF125" s="51"/>
    </row>
    <row r="126" spans="1:32" ht="34.5" thickBot="1" x14ac:dyDescent="0.25">
      <c r="B126" s="16"/>
      <c r="C126" s="76" t="s">
        <v>249</v>
      </c>
      <c r="D126" s="81" t="s">
        <v>230</v>
      </c>
      <c r="E126" s="71"/>
      <c r="F126" s="66" t="s">
        <v>260</v>
      </c>
      <c r="G126" s="66" t="s">
        <v>5</v>
      </c>
      <c r="H126" s="66" t="s">
        <v>6</v>
      </c>
      <c r="J126" s="66" t="s">
        <v>127</v>
      </c>
      <c r="K126" s="72" t="s">
        <v>261</v>
      </c>
      <c r="L126" s="72" t="s">
        <v>262</v>
      </c>
      <c r="M126" s="72" t="s">
        <v>1455</v>
      </c>
      <c r="N126" s="72" t="s">
        <v>1456</v>
      </c>
      <c r="O126" s="72" t="s">
        <v>963</v>
      </c>
      <c r="P126" s="72" t="s">
        <v>974</v>
      </c>
      <c r="Q126" s="72" t="s">
        <v>263</v>
      </c>
      <c r="R126" s="72" t="s">
        <v>264</v>
      </c>
      <c r="S126" s="72" t="s">
        <v>265</v>
      </c>
      <c r="T126" s="72" t="s">
        <v>280</v>
      </c>
      <c r="U126" s="72" t="s">
        <v>200</v>
      </c>
      <c r="V126" s="72" t="s">
        <v>753</v>
      </c>
      <c r="W126" s="72" t="s">
        <v>634</v>
      </c>
      <c r="X126" s="72" t="s">
        <v>754</v>
      </c>
      <c r="Y126" s="72" t="s">
        <v>266</v>
      </c>
      <c r="Z126" s="72" t="s">
        <v>1457</v>
      </c>
      <c r="AA126" s="72" t="s">
        <v>1458</v>
      </c>
      <c r="AB126" s="72" t="s">
        <v>964</v>
      </c>
      <c r="AC126" s="72" t="s">
        <v>975</v>
      </c>
      <c r="AD126" s="72" t="s">
        <v>267</v>
      </c>
      <c r="AE126" s="72" t="s">
        <v>268</v>
      </c>
      <c r="AF126" s="77" t="s">
        <v>269</v>
      </c>
    </row>
    <row r="127" spans="1:32" x14ac:dyDescent="0.2">
      <c r="B127" s="16"/>
      <c r="C127" s="61"/>
      <c r="D127" s="5"/>
      <c r="E127" s="5"/>
      <c r="F127" s="63" t="s">
        <v>178</v>
      </c>
      <c r="G127" s="67" t="str">
        <f>INDEX(Tbl_EquipmentDefinitions[Electricity Baseline Efficiency],MATCH(D128,Tbl_EquipmentDefinitions[Equipment ID],0))</f>
        <v>-</v>
      </c>
      <c r="H127" s="68" t="str">
        <f>INDEX(Tbl_EquipmentDefinitions[Electricity Code Efficiency],MATCH(D128,Tbl_EquipmentDefinitions[Equipment ID],0))</f>
        <v>-</v>
      </c>
      <c r="J127" s="63" t="str">
        <f>D126</f>
        <v>BASE04</v>
      </c>
      <c r="K127" s="148">
        <f>K137+P134</f>
        <v>3190.2639971995764</v>
      </c>
      <c r="L127" s="285">
        <f>P131</f>
        <v>374.55</v>
      </c>
      <c r="M127" s="285">
        <f>P131</f>
        <v>374.55</v>
      </c>
      <c r="N127" s="285">
        <v>0</v>
      </c>
      <c r="O127" s="117">
        <f>P146</f>
        <v>5.7457334611697032E-2</v>
      </c>
      <c r="P127" s="117">
        <v>0</v>
      </c>
      <c r="Q127" s="286">
        <v>0</v>
      </c>
      <c r="R127" s="286">
        <f>K134</f>
        <v>86.692015209125472</v>
      </c>
      <c r="S127" s="286">
        <v>0</v>
      </c>
      <c r="T127" s="148">
        <f>K138+P135</f>
        <v>2966.0291090358428</v>
      </c>
      <c r="U127" s="148">
        <f>P138</f>
        <v>4886</v>
      </c>
      <c r="V127" s="148">
        <v>0</v>
      </c>
      <c r="W127" s="148">
        <f>((PV(DiscountRate, (D139-D140),PMT(DiscountRate, D139, (U127)))/(1+DiscountRate)^(D140)))</f>
        <v>2977.3463590984543</v>
      </c>
      <c r="X127" s="148">
        <v>0</v>
      </c>
      <c r="Y127" s="285">
        <f>P132</f>
        <v>371.5</v>
      </c>
      <c r="Z127" s="285">
        <f>P132</f>
        <v>371.5</v>
      </c>
      <c r="AA127" s="285">
        <v>0</v>
      </c>
      <c r="AB127" s="117">
        <f>P147</f>
        <v>5.6989453499520615E-2</v>
      </c>
      <c r="AC127" s="117">
        <v>0</v>
      </c>
      <c r="AD127" s="286">
        <v>0</v>
      </c>
      <c r="AE127" s="286">
        <f>K135</f>
        <v>80.47058823529413</v>
      </c>
      <c r="AF127" s="287">
        <v>0</v>
      </c>
    </row>
    <row r="128" spans="1:32" x14ac:dyDescent="0.2">
      <c r="B128" s="16"/>
      <c r="C128" s="283" t="s">
        <v>2</v>
      </c>
      <c r="D128" s="62" t="str">
        <f>INDEX(Tbl_BaselineSummary[Equipment ID],MATCH(D126,Tbl_BaselineSummary[Baseline ID],0))</f>
        <v>EQUI004</v>
      </c>
      <c r="E128" s="5"/>
      <c r="F128" s="63" t="s">
        <v>55</v>
      </c>
      <c r="G128" s="68" t="str">
        <f>INDEX(Tbl_EquipmentDefinitions[Natural Gas Baseline Efficiency],MATCH(D128,Tbl_EquipmentDefinitions[Equipment ID],0))</f>
        <v>-</v>
      </c>
      <c r="H128" s="69" t="str">
        <f>INDEX(Tbl_EquipmentDefinitions[Natural Gas Code Efficiency],MATCH(D128,Tbl_EquipmentDefinitions[Equipment ID],0))</f>
        <v>-</v>
      </c>
      <c r="J128" s="5"/>
      <c r="K128" s="5"/>
      <c r="L128" s="5"/>
      <c r="M128" s="5"/>
      <c r="N128" s="5"/>
      <c r="O128" s="5"/>
      <c r="P128" s="5"/>
      <c r="Q128" s="5"/>
      <c r="R128" s="5"/>
      <c r="S128" s="5"/>
      <c r="T128" s="5"/>
      <c r="U128" s="5"/>
      <c r="V128" s="5"/>
      <c r="W128" s="5"/>
      <c r="X128" s="5"/>
      <c r="Y128" s="5"/>
      <c r="Z128" s="5"/>
      <c r="AA128" s="5"/>
      <c r="AB128" s="5"/>
      <c r="AC128" s="5"/>
      <c r="AD128" s="5"/>
      <c r="AE128" s="5"/>
      <c r="AF128" s="51"/>
    </row>
    <row r="129" spans="1:32" ht="12.75" x14ac:dyDescent="0.2">
      <c r="B129" s="16"/>
      <c r="C129" s="283" t="s">
        <v>4</v>
      </c>
      <c r="D129" s="64" t="str">
        <f>INDEX(Tbl_EquipmentDefinitions[Equipment Name],MATCH(D128,Tbl_EquipmentDefinitions[Equipment ID],0))</f>
        <v>Propane Furnace</v>
      </c>
      <c r="E129" s="5"/>
      <c r="F129" s="63" t="s">
        <v>28</v>
      </c>
      <c r="G129" s="70" t="str">
        <f>INDEX(Tbl_EquipmentDefinitions[Propane Baseline Efficiency],MATCH(D128,Tbl_EquipmentDefinitions[Equipment ID],0))</f>
        <v>78% AFUE (78.9%)</v>
      </c>
      <c r="H129" s="68" t="str">
        <f>INDEX(Tbl_EquipmentDefinitions[Propane Code Efficiency],MATCH(D128,Tbl_EquipmentDefinitions[Equipment ID],0))</f>
        <v>85% AFUE</v>
      </c>
      <c r="J129" s="78" t="s">
        <v>272</v>
      </c>
      <c r="K129" s="78"/>
      <c r="L129" s="5"/>
      <c r="M129" s="5"/>
      <c r="N129" s="5"/>
      <c r="O129" s="5"/>
      <c r="P129" s="5"/>
      <c r="Q129" s="5"/>
      <c r="R129" s="5"/>
      <c r="S129" s="5"/>
      <c r="T129" s="5"/>
      <c r="U129" s="5"/>
      <c r="V129" s="5"/>
      <c r="W129" s="5"/>
      <c r="X129" s="5"/>
      <c r="Y129" s="5"/>
      <c r="Z129" s="5"/>
      <c r="AA129" s="5"/>
      <c r="AB129" s="5"/>
      <c r="AC129" s="5"/>
      <c r="AD129" s="5"/>
      <c r="AE129" s="5"/>
      <c r="AF129" s="51"/>
    </row>
    <row r="130" spans="1:32" x14ac:dyDescent="0.2">
      <c r="B130" s="16"/>
      <c r="C130" s="283" t="s">
        <v>125</v>
      </c>
      <c r="D130" s="62" t="str">
        <f>INDEX(Tbl_EquipmentDefinitions[Equipment Level],MATCH(D128,Tbl_EquipmentDefinitions[Equipment ID],0))</f>
        <v>Primary</v>
      </c>
      <c r="E130" s="5"/>
      <c r="F130" s="63" t="s">
        <v>27</v>
      </c>
      <c r="G130" s="68" t="str">
        <f>INDEX(Tbl_EquipmentDefinitions[Oil Baseline Efficiency],MATCH(D128,Tbl_EquipmentDefinitions[Equipment ID],0))</f>
        <v>-</v>
      </c>
      <c r="H130" s="70" t="str">
        <f>INDEX(Tbl_EquipmentDefinitions[Oil Code Efficiency],MATCH(D128,Tbl_EquipmentDefinitions[Equipment ID],0))</f>
        <v>-</v>
      </c>
      <c r="J130" s="5"/>
      <c r="K130" s="5"/>
      <c r="L130" s="5"/>
      <c r="M130" s="5"/>
      <c r="N130" s="5"/>
      <c r="O130" s="5" t="s">
        <v>250</v>
      </c>
      <c r="P130" s="5"/>
      <c r="Q130" s="5"/>
      <c r="R130" s="5"/>
      <c r="S130" s="5"/>
      <c r="T130" s="5"/>
      <c r="U130" s="5"/>
      <c r="V130" s="5"/>
      <c r="W130" s="5"/>
      <c r="X130" s="5"/>
      <c r="Y130" s="5"/>
      <c r="Z130" s="5"/>
      <c r="AA130" s="5"/>
      <c r="AB130" s="5"/>
      <c r="AC130" s="5"/>
      <c r="AD130" s="5"/>
      <c r="AE130" s="5"/>
      <c r="AF130" s="51"/>
    </row>
    <row r="131" spans="1:32" ht="12.75" x14ac:dyDescent="0.2">
      <c r="B131" s="16"/>
      <c r="C131" s="283" t="s">
        <v>24</v>
      </c>
      <c r="D131" s="64" t="str">
        <f>INDEX(Tbl_EquipmentDefinitions[Function],MATCH(D128,Tbl_EquipmentDefinitions[Equipment ID],0))</f>
        <v>Heat</v>
      </c>
      <c r="E131" s="5"/>
      <c r="F131" s="5"/>
      <c r="G131" s="5"/>
      <c r="H131" s="5"/>
      <c r="J131" s="115" t="s">
        <v>157</v>
      </c>
      <c r="K131" s="52">
        <v>0.78900000000000003</v>
      </c>
      <c r="L131" s="5" t="s">
        <v>158</v>
      </c>
      <c r="M131" s="5"/>
      <c r="N131" s="5"/>
      <c r="O131" s="53" t="s">
        <v>251</v>
      </c>
      <c r="P131" s="290">
        <f>374+(K131*100-80)*(369-374)/(90-80)</f>
        <v>374.55</v>
      </c>
      <c r="Q131" s="673" t="s">
        <v>311</v>
      </c>
      <c r="R131" s="674"/>
      <c r="W131" s="5"/>
      <c r="X131" s="5"/>
      <c r="Y131" s="5"/>
      <c r="Z131" s="5"/>
      <c r="AA131" s="5"/>
      <c r="AB131" s="5"/>
      <c r="AC131" s="5"/>
      <c r="AD131" s="5"/>
      <c r="AE131" s="5"/>
      <c r="AF131" s="51"/>
    </row>
    <row r="132" spans="1:32" ht="12.75" x14ac:dyDescent="0.2">
      <c r="B132" s="16"/>
      <c r="C132" s="283" t="s">
        <v>7</v>
      </c>
      <c r="D132" s="62" t="str">
        <f>INDEX(Tbl_EquipmentDefinitions[Fuel Type],MATCH(D128,Tbl_EquipmentDefinitions[Equipment ID],0))</f>
        <v>Propane</v>
      </c>
      <c r="E132" s="65"/>
      <c r="F132" s="671" t="s">
        <v>273</v>
      </c>
      <c r="G132" s="672"/>
      <c r="H132" s="672"/>
      <c r="J132" s="115" t="s">
        <v>159</v>
      </c>
      <c r="K132" s="52">
        <v>0.85</v>
      </c>
      <c r="L132" s="5" t="s">
        <v>158</v>
      </c>
      <c r="M132" s="5"/>
      <c r="N132" s="5"/>
      <c r="O132" s="53" t="s">
        <v>252</v>
      </c>
      <c r="P132" s="290">
        <f>374+(K132*100-80)*(369-374)/(90-80)</f>
        <v>371.5</v>
      </c>
      <c r="Q132" s="674"/>
      <c r="R132" s="674"/>
      <c r="W132" s="5"/>
      <c r="X132" s="5"/>
      <c r="Y132" s="5"/>
      <c r="Z132" s="5"/>
      <c r="AA132" s="5"/>
      <c r="AB132" s="5"/>
      <c r="AC132" s="5"/>
      <c r="AD132" s="5"/>
      <c r="AE132" s="5"/>
      <c r="AF132" s="51"/>
    </row>
    <row r="133" spans="1:32" x14ac:dyDescent="0.2">
      <c r="B133" s="16"/>
      <c r="C133" s="283" t="s">
        <v>126</v>
      </c>
      <c r="D133" s="64">
        <f>IF(ISERR(SEARCH("+",D132,1)),1,2)</f>
        <v>1</v>
      </c>
      <c r="E133" s="65"/>
      <c r="F133" s="672"/>
      <c r="G133" s="672"/>
      <c r="H133" s="672"/>
      <c r="J133" s="156"/>
      <c r="K133" s="5"/>
      <c r="L133" s="5"/>
      <c r="M133" s="5"/>
      <c r="N133" s="5"/>
      <c r="O133" s="5"/>
      <c r="P133" s="5"/>
      <c r="Q133" s="675"/>
      <c r="R133" s="675"/>
      <c r="W133" s="5"/>
      <c r="X133" s="5"/>
      <c r="Y133" s="5"/>
      <c r="Z133" s="5"/>
      <c r="AA133" s="5"/>
      <c r="AB133" s="5"/>
      <c r="AC133" s="5"/>
      <c r="AD133" s="5"/>
      <c r="AE133" s="5"/>
      <c r="AF133" s="51"/>
    </row>
    <row r="134" spans="1:32" ht="12.75" x14ac:dyDescent="0.2">
      <c r="B134" s="16"/>
      <c r="C134" s="284"/>
      <c r="D134" s="5"/>
      <c r="E134" s="5"/>
      <c r="F134" s="672"/>
      <c r="G134" s="672"/>
      <c r="H134" s="672"/>
      <c r="J134" s="115" t="s">
        <v>334</v>
      </c>
      <c r="K134" s="56">
        <f>$D$135/K131</f>
        <v>86.692015209125472</v>
      </c>
      <c r="L134" s="5" t="s">
        <v>156</v>
      </c>
      <c r="M134" s="5"/>
      <c r="N134" s="5"/>
      <c r="O134" s="55" t="s">
        <v>256</v>
      </c>
      <c r="P134" s="57">
        <f>P131*PRICE_PER_KWH_2018_ELECTRICITY</f>
        <v>74.08599000000001</v>
      </c>
      <c r="Q134" s="5" t="s">
        <v>164</v>
      </c>
      <c r="R134" s="5"/>
      <c r="W134" s="5"/>
      <c r="X134" s="5"/>
      <c r="Y134" s="5"/>
      <c r="Z134" s="5"/>
      <c r="AA134" s="5"/>
      <c r="AB134" s="5"/>
      <c r="AC134" s="5"/>
      <c r="AD134" s="5"/>
      <c r="AE134" s="5"/>
      <c r="AF134" s="51"/>
    </row>
    <row r="135" spans="1:32" ht="12.75" x14ac:dyDescent="0.2">
      <c r="B135" s="16"/>
      <c r="C135" s="283" t="s">
        <v>155</v>
      </c>
      <c r="D135" s="62">
        <f>INDEX(Tbl_BaselineSummary[Space Heating Load (MMBtu/yr)],MATCH(D126,Tbl_BaselineSummary[Baseline ID],0))</f>
        <v>68.400000000000006</v>
      </c>
      <c r="E135" s="5" t="s">
        <v>156</v>
      </c>
      <c r="F135" s="672"/>
      <c r="G135" s="672"/>
      <c r="H135" s="672"/>
      <c r="J135" s="115" t="s">
        <v>384</v>
      </c>
      <c r="K135" s="56">
        <f>$D$135/K132</f>
        <v>80.47058823529413</v>
      </c>
      <c r="L135" s="5" t="s">
        <v>156</v>
      </c>
      <c r="M135" s="5"/>
      <c r="N135" s="5"/>
      <c r="O135" s="55" t="s">
        <v>257</v>
      </c>
      <c r="P135" s="57">
        <f>P132*PRICE_PER_KWH_2018_ELECTRICITY</f>
        <v>73.482700000000008</v>
      </c>
      <c r="Q135" s="5" t="s">
        <v>164</v>
      </c>
      <c r="R135" s="5"/>
      <c r="W135" s="5"/>
      <c r="X135" s="5"/>
      <c r="Y135" s="5"/>
      <c r="Z135" s="5"/>
      <c r="AA135" s="5"/>
      <c r="AB135" s="5"/>
      <c r="AC135" s="5"/>
      <c r="AD135" s="5"/>
      <c r="AE135" s="5"/>
      <c r="AF135" s="51"/>
    </row>
    <row r="136" spans="1:32" x14ac:dyDescent="0.2">
      <c r="B136" s="16"/>
      <c r="C136" s="283" t="s">
        <v>167</v>
      </c>
      <c r="D136" s="62">
        <f>INDEX(Tbl_BaselineSummary[Space Cooling Load (MMBtu/yr)],MATCH(D126,Tbl_BaselineSummary[Baseline ID],0))</f>
        <v>13.072800000000001</v>
      </c>
      <c r="E136" s="5" t="s">
        <v>156</v>
      </c>
      <c r="F136" s="672"/>
      <c r="G136" s="672"/>
      <c r="H136" s="672"/>
      <c r="J136" s="156"/>
      <c r="K136" s="5"/>
      <c r="L136" s="5"/>
      <c r="M136" s="5"/>
      <c r="N136" s="5"/>
      <c r="W136" s="5"/>
      <c r="X136" s="5"/>
      <c r="Y136" s="5"/>
      <c r="Z136" s="5"/>
      <c r="AA136" s="5"/>
      <c r="AB136" s="5"/>
      <c r="AC136" s="5"/>
      <c r="AD136" s="5"/>
      <c r="AE136" s="5"/>
      <c r="AF136" s="51"/>
    </row>
    <row r="137" spans="1:32" ht="12.75" x14ac:dyDescent="0.2">
      <c r="B137" s="16"/>
      <c r="C137" s="283" t="s">
        <v>244</v>
      </c>
      <c r="D137" s="62">
        <f>INDEX(Tbl_BaselineSummary[Water Heating Load (MMBtu/yr)],MATCH(D126,Tbl_BaselineSummary[Baseline ID],0))</f>
        <v>11.3</v>
      </c>
      <c r="E137" s="5" t="s">
        <v>156</v>
      </c>
      <c r="F137" s="672"/>
      <c r="G137" s="672"/>
      <c r="H137" s="672"/>
      <c r="J137" s="115" t="s">
        <v>313</v>
      </c>
      <c r="K137" s="292">
        <f>K134*PRICE_PER_MMBTU_2018_PROPANE</f>
        <v>3116.1780071995763</v>
      </c>
      <c r="L137" s="5" t="s">
        <v>164</v>
      </c>
      <c r="M137" s="5"/>
      <c r="N137" s="5"/>
      <c r="O137" s="5" t="s">
        <v>312</v>
      </c>
      <c r="P137" s="5"/>
      <c r="Q137" s="5"/>
      <c r="R137" s="5"/>
      <c r="W137" s="5"/>
      <c r="X137" s="5"/>
      <c r="Y137" s="5"/>
      <c r="Z137" s="5"/>
      <c r="AA137" s="5"/>
      <c r="AB137" s="5"/>
      <c r="AC137" s="5"/>
      <c r="AD137" s="5"/>
      <c r="AE137" s="5"/>
      <c r="AF137" s="51"/>
    </row>
    <row r="138" spans="1:32" ht="12.75" x14ac:dyDescent="0.2">
      <c r="B138" s="16"/>
      <c r="C138" s="284"/>
      <c r="D138" s="5"/>
      <c r="E138" s="5"/>
      <c r="F138" s="5"/>
      <c r="G138" s="5"/>
      <c r="H138" s="5"/>
      <c r="J138" s="115" t="s">
        <v>314</v>
      </c>
      <c r="K138" s="292">
        <f>K135*PRICE_PER_MMBTU_2018_PROPANE</f>
        <v>2892.5464090358428</v>
      </c>
      <c r="L138" s="5" t="s">
        <v>164</v>
      </c>
      <c r="M138" s="5"/>
      <c r="N138" s="5"/>
      <c r="O138" s="55" t="s">
        <v>738</v>
      </c>
      <c r="P138" s="138">
        <v>4886</v>
      </c>
      <c r="Q138" s="5" t="s">
        <v>164</v>
      </c>
      <c r="R138" s="5"/>
      <c r="W138" s="5"/>
      <c r="X138" s="5"/>
      <c r="Y138" s="5"/>
      <c r="Z138" s="5"/>
      <c r="AA138" s="5"/>
      <c r="AB138" s="5"/>
      <c r="AC138" s="5"/>
      <c r="AD138" s="5"/>
      <c r="AE138" s="5"/>
      <c r="AF138" s="51"/>
    </row>
    <row r="139" spans="1:32" ht="12.75" x14ac:dyDescent="0.2">
      <c r="B139" s="16"/>
      <c r="C139" s="283" t="s">
        <v>635</v>
      </c>
      <c r="D139" s="62">
        <f>INDEX(Tbl_EquipmentDefinitions[New Unit Equipment Life (years)],MATCH('Baseline Calculations'!D128,Tbl_EquipmentDefinitions[Equipment ID],0))</f>
        <v>18</v>
      </c>
      <c r="E139" s="188" t="s">
        <v>376</v>
      </c>
      <c r="F139" s="5"/>
      <c r="G139" s="5"/>
      <c r="H139" s="5"/>
      <c r="J139" s="234"/>
      <c r="L139" s="5"/>
      <c r="M139" s="5"/>
      <c r="N139" s="5"/>
      <c r="O139" s="80"/>
      <c r="Q139" s="5"/>
      <c r="R139" s="5"/>
      <c r="W139" s="5"/>
      <c r="X139" s="5"/>
      <c r="Y139" s="5"/>
      <c r="Z139" s="5"/>
      <c r="AA139" s="5"/>
      <c r="AB139" s="5"/>
      <c r="AC139" s="5"/>
      <c r="AD139" s="5"/>
      <c r="AE139" s="5"/>
      <c r="AF139" s="51"/>
    </row>
    <row r="140" spans="1:32" x14ac:dyDescent="0.2">
      <c r="B140" s="16"/>
      <c r="C140" s="283" t="s">
        <v>636</v>
      </c>
      <c r="D140" s="62">
        <f>INDEX(Tbl_EquipmentDefinitions[Remaining Life for Early Replacement (years)],MATCH('Baseline Calculations'!D128,Tbl_EquipmentDefinitions[Equipment ID],0))</f>
        <v>6</v>
      </c>
      <c r="E140" s="188" t="s">
        <v>376</v>
      </c>
      <c r="F140" s="5"/>
      <c r="G140" s="5"/>
      <c r="H140" s="5"/>
      <c r="O140" s="6" t="s">
        <v>423</v>
      </c>
      <c r="W140" s="5"/>
      <c r="X140" s="5"/>
      <c r="Y140" s="5"/>
      <c r="Z140" s="5"/>
      <c r="AA140" s="5"/>
      <c r="AB140" s="5"/>
      <c r="AC140" s="5"/>
      <c r="AD140" s="5"/>
      <c r="AE140" s="5"/>
      <c r="AF140" s="51"/>
    </row>
    <row r="141" spans="1:32" s="5" customFormat="1" x14ac:dyDescent="0.2">
      <c r="A141" s="6"/>
      <c r="B141" s="16"/>
      <c r="C141" s="50"/>
      <c r="O141" s="156" t="s">
        <v>422</v>
      </c>
      <c r="P141" s="146">
        <f>AVERAGE(530,984,1329,1329)</f>
        <v>1043</v>
      </c>
      <c r="Q141" s="6" t="s">
        <v>397</v>
      </c>
      <c r="AF141" s="51"/>
    </row>
    <row r="142" spans="1:32" s="5" customFormat="1" x14ac:dyDescent="0.2">
      <c r="A142" s="6"/>
      <c r="B142" s="16"/>
      <c r="C142" s="50"/>
      <c r="O142" s="6"/>
      <c r="P142" s="6"/>
      <c r="Q142" s="6"/>
      <c r="AF142" s="51"/>
    </row>
    <row r="143" spans="1:32" s="5" customFormat="1" x14ac:dyDescent="0.2">
      <c r="A143" s="6"/>
      <c r="B143" s="16"/>
      <c r="C143" s="50"/>
      <c r="O143" s="6" t="s">
        <v>741</v>
      </c>
      <c r="P143" s="6"/>
      <c r="Q143" s="6"/>
      <c r="AF143" s="51"/>
    </row>
    <row r="144" spans="1:32" s="5" customFormat="1" x14ac:dyDescent="0.2">
      <c r="B144" s="16"/>
      <c r="C144" s="50"/>
      <c r="O144" s="155" t="s">
        <v>739</v>
      </c>
      <c r="P144" s="146">
        <v>0.16</v>
      </c>
      <c r="Q144" s="6"/>
      <c r="AF144" s="51"/>
    </row>
    <row r="145" spans="2:32" s="5" customFormat="1" x14ac:dyDescent="0.2">
      <c r="B145" s="16"/>
      <c r="C145" s="50"/>
      <c r="O145" s="6"/>
      <c r="P145" s="6"/>
      <c r="Q145" s="6"/>
      <c r="AF145" s="51"/>
    </row>
    <row r="146" spans="2:32" s="5" customFormat="1" x14ac:dyDescent="0.2">
      <c r="B146" s="16"/>
      <c r="C146" s="50"/>
      <c r="O146" s="5" t="s">
        <v>424</v>
      </c>
      <c r="P146" s="145">
        <f>P144*P131/P141</f>
        <v>5.7457334611697032E-2</v>
      </c>
      <c r="Q146" s="5" t="s">
        <v>176</v>
      </c>
      <c r="AF146" s="51"/>
    </row>
    <row r="147" spans="2:32" s="5" customFormat="1" x14ac:dyDescent="0.2">
      <c r="B147" s="16"/>
      <c r="C147" s="50"/>
      <c r="O147" s="5" t="s">
        <v>425</v>
      </c>
      <c r="P147" s="145">
        <f>P144*P132/P141</f>
        <v>5.6989453499520615E-2</v>
      </c>
      <c r="Q147" s="5" t="s">
        <v>176</v>
      </c>
      <c r="AF147" s="51"/>
    </row>
    <row r="148" spans="2:32" x14ac:dyDescent="0.2">
      <c r="B148" s="16"/>
      <c r="C148" s="58"/>
      <c r="D148" s="59"/>
      <c r="E148" s="59"/>
      <c r="F148" s="59"/>
      <c r="G148" s="59"/>
      <c r="H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60"/>
    </row>
    <row r="149" spans="2:32" x14ac:dyDescent="0.2">
      <c r="B149" s="16"/>
    </row>
    <row r="150" spans="2:32" ht="15.75" thickBot="1" x14ac:dyDescent="0.25">
      <c r="B150" s="16"/>
      <c r="C150" s="74" t="s">
        <v>270</v>
      </c>
      <c r="D150" s="75"/>
      <c r="E150" s="75"/>
      <c r="F150" s="75"/>
      <c r="G150" s="75"/>
      <c r="H150" s="75"/>
      <c r="J150" s="75" t="s">
        <v>271</v>
      </c>
      <c r="K150" s="75"/>
      <c r="L150" s="48"/>
      <c r="M150" s="48"/>
      <c r="N150" s="48"/>
      <c r="O150" s="48"/>
      <c r="P150" s="48"/>
      <c r="Q150" s="48"/>
      <c r="R150" s="48"/>
      <c r="S150" s="48"/>
      <c r="T150" s="48"/>
      <c r="U150" s="48"/>
      <c r="V150" s="48"/>
      <c r="W150" s="48"/>
      <c r="X150" s="48"/>
      <c r="Y150" s="48"/>
      <c r="Z150" s="48"/>
      <c r="AA150" s="48"/>
      <c r="AB150" s="48"/>
      <c r="AC150" s="48"/>
      <c r="AD150" s="48"/>
      <c r="AE150" s="48"/>
      <c r="AF150" s="49"/>
    </row>
    <row r="151" spans="2:32" ht="3.75" customHeight="1" x14ac:dyDescent="0.2">
      <c r="B151" s="16"/>
      <c r="C151" s="50"/>
      <c r="D151" s="5"/>
      <c r="E151" s="5"/>
      <c r="F151" s="5"/>
      <c r="G151" s="5"/>
      <c r="H151" s="5"/>
      <c r="J151" s="5"/>
      <c r="K151" s="5"/>
      <c r="L151" s="5"/>
      <c r="M151" s="5"/>
      <c r="N151" s="5"/>
      <c r="O151" s="5"/>
      <c r="P151" s="5"/>
      <c r="Q151" s="5"/>
      <c r="R151" s="5"/>
      <c r="S151" s="5"/>
      <c r="T151" s="5"/>
      <c r="U151" s="5"/>
      <c r="V151" s="5"/>
      <c r="W151" s="5"/>
      <c r="X151" s="5"/>
      <c r="Y151" s="5"/>
      <c r="Z151" s="5"/>
      <c r="AA151" s="5"/>
      <c r="AB151" s="5"/>
      <c r="AC151" s="5"/>
      <c r="AD151" s="5"/>
      <c r="AE151" s="5"/>
      <c r="AF151" s="51"/>
    </row>
    <row r="152" spans="2:32" ht="34.5" thickBot="1" x14ac:dyDescent="0.25">
      <c r="B152" s="16"/>
      <c r="C152" s="76" t="s">
        <v>249</v>
      </c>
      <c r="D152" s="81" t="s">
        <v>231</v>
      </c>
      <c r="E152" s="71"/>
      <c r="F152" s="66" t="s">
        <v>260</v>
      </c>
      <c r="G152" s="66" t="s">
        <v>5</v>
      </c>
      <c r="H152" s="66" t="s">
        <v>6</v>
      </c>
      <c r="J152" s="66" t="s">
        <v>127</v>
      </c>
      <c r="K152" s="72" t="s">
        <v>261</v>
      </c>
      <c r="L152" s="72" t="s">
        <v>262</v>
      </c>
      <c r="M152" s="72" t="s">
        <v>1455</v>
      </c>
      <c r="N152" s="72" t="s">
        <v>1456</v>
      </c>
      <c r="O152" s="72" t="s">
        <v>963</v>
      </c>
      <c r="P152" s="72" t="s">
        <v>974</v>
      </c>
      <c r="Q152" s="72" t="s">
        <v>263</v>
      </c>
      <c r="R152" s="72" t="s">
        <v>264</v>
      </c>
      <c r="S152" s="72" t="s">
        <v>265</v>
      </c>
      <c r="T152" s="72" t="s">
        <v>280</v>
      </c>
      <c r="U152" s="72" t="s">
        <v>200</v>
      </c>
      <c r="V152" s="72" t="s">
        <v>753</v>
      </c>
      <c r="W152" s="72" t="s">
        <v>634</v>
      </c>
      <c r="X152" s="72" t="s">
        <v>754</v>
      </c>
      <c r="Y152" s="72" t="s">
        <v>266</v>
      </c>
      <c r="Z152" s="72" t="s">
        <v>1457</v>
      </c>
      <c r="AA152" s="72" t="s">
        <v>1458</v>
      </c>
      <c r="AB152" s="72" t="s">
        <v>964</v>
      </c>
      <c r="AC152" s="72" t="s">
        <v>975</v>
      </c>
      <c r="AD152" s="72" t="s">
        <v>267</v>
      </c>
      <c r="AE152" s="72" t="s">
        <v>268</v>
      </c>
      <c r="AF152" s="77" t="s">
        <v>269</v>
      </c>
    </row>
    <row r="153" spans="2:32" x14ac:dyDescent="0.2">
      <c r="B153" s="16"/>
      <c r="C153" s="61"/>
      <c r="D153" s="5"/>
      <c r="E153" s="5"/>
      <c r="F153" s="63" t="s">
        <v>178</v>
      </c>
      <c r="G153" s="67" t="str">
        <f>INDEX(Tbl_EquipmentDefinitions[Electricity Baseline Efficiency],MATCH(D154,Tbl_EquipmentDefinitions[Equipment ID],0))</f>
        <v>-</v>
      </c>
      <c r="H153" s="68" t="str">
        <f>INDEX(Tbl_EquipmentDefinitions[Electricity Code Efficiency],MATCH(D154,Tbl_EquipmentDefinitions[Equipment ID],0))</f>
        <v>-</v>
      </c>
      <c r="J153" s="63" t="str">
        <f>D152</f>
        <v>BASE05</v>
      </c>
      <c r="K153" s="148">
        <f>K163+P160</f>
        <v>2342.4199980291783</v>
      </c>
      <c r="L153" s="285">
        <f>P157</f>
        <v>230</v>
      </c>
      <c r="M153" s="285">
        <f>P157</f>
        <v>230</v>
      </c>
      <c r="N153" s="285">
        <v>0</v>
      </c>
      <c r="O153" s="117">
        <f>U165</f>
        <v>3.5282837967401733E-2</v>
      </c>
      <c r="P153" s="117">
        <v>0</v>
      </c>
      <c r="Q153" s="286">
        <v>0</v>
      </c>
      <c r="R153" s="286">
        <v>0</v>
      </c>
      <c r="S153" s="286">
        <f>K160</f>
        <v>102.26666666666667</v>
      </c>
      <c r="T153" s="148">
        <f>K164+P161</f>
        <v>2096.3207839546235</v>
      </c>
      <c r="U153" s="148">
        <f>U157</f>
        <v>6866</v>
      </c>
      <c r="V153" s="148">
        <v>0</v>
      </c>
      <c r="W153" s="148">
        <f>((PV(DiscountRate, (D165-D166),PMT(DiscountRate, D165, (U153)))/(1+DiscountRate)^(D166)))</f>
        <v>2955.424988838648</v>
      </c>
      <c r="X153" s="148">
        <v>0</v>
      </c>
      <c r="Y153" s="285">
        <f>P158</f>
        <v>230</v>
      </c>
      <c r="Z153" s="285">
        <f>P158</f>
        <v>230</v>
      </c>
      <c r="AA153" s="285">
        <v>0</v>
      </c>
      <c r="AB153" s="117">
        <f>U166</f>
        <v>3.5282837967401733E-2</v>
      </c>
      <c r="AC153" s="117">
        <v>0</v>
      </c>
      <c r="AD153" s="286">
        <v>0</v>
      </c>
      <c r="AE153" s="286">
        <v>0</v>
      </c>
      <c r="AF153" s="287">
        <f>K161</f>
        <v>91.30952380952381</v>
      </c>
    </row>
    <row r="154" spans="2:32" x14ac:dyDescent="0.2">
      <c r="B154" s="16"/>
      <c r="C154" s="283" t="s">
        <v>2</v>
      </c>
      <c r="D154" s="62" t="str">
        <f>INDEX(Tbl_BaselineSummary[Equipment ID],MATCH(D152,Tbl_BaselineSummary[Baseline ID],0))</f>
        <v>EQUI008</v>
      </c>
      <c r="E154" s="5"/>
      <c r="F154" s="63" t="s">
        <v>55</v>
      </c>
      <c r="G154" s="68" t="str">
        <f>INDEX(Tbl_EquipmentDefinitions[Natural Gas Baseline Efficiency],MATCH(D154,Tbl_EquipmentDefinitions[Equipment ID],0))</f>
        <v>-</v>
      </c>
      <c r="H154" s="69" t="str">
        <f>INDEX(Tbl_EquipmentDefinitions[Natural Gas Code Efficiency],MATCH(D154,Tbl_EquipmentDefinitions[Equipment ID],0))</f>
        <v>-</v>
      </c>
      <c r="J154" s="5"/>
      <c r="K154" s="5"/>
      <c r="L154" s="5"/>
      <c r="M154" s="5"/>
      <c r="N154" s="5"/>
      <c r="O154" s="5"/>
      <c r="P154" s="5"/>
      <c r="Q154" s="5"/>
      <c r="R154" s="5"/>
      <c r="S154" s="5"/>
      <c r="T154" s="5"/>
      <c r="U154" s="5"/>
      <c r="V154" s="5"/>
      <c r="W154" s="5"/>
      <c r="X154" s="5"/>
      <c r="Y154" s="5"/>
      <c r="Z154" s="5"/>
      <c r="AA154" s="5"/>
      <c r="AB154" s="5"/>
      <c r="AC154" s="5"/>
      <c r="AD154" s="5"/>
      <c r="AE154" s="5"/>
      <c r="AF154" s="51"/>
    </row>
    <row r="155" spans="2:32" ht="12.75" x14ac:dyDescent="0.2">
      <c r="B155" s="16"/>
      <c r="C155" s="283" t="s">
        <v>4</v>
      </c>
      <c r="D155" s="64" t="str">
        <f>INDEX(Tbl_EquipmentDefinitions[Equipment Name],MATCH(D154,Tbl_EquipmentDefinitions[Equipment ID],0))</f>
        <v>Oil Boiler</v>
      </c>
      <c r="E155" s="5"/>
      <c r="F155" s="63" t="s">
        <v>28</v>
      </c>
      <c r="G155" s="70" t="str">
        <f>INDEX(Tbl_EquipmentDefinitions[Propane Baseline Efficiency],MATCH(D154,Tbl_EquipmentDefinitions[Equipment ID],0))</f>
        <v>-</v>
      </c>
      <c r="H155" s="68" t="str">
        <f>INDEX(Tbl_EquipmentDefinitions[Propane Code Efficiency],MATCH(D154,Tbl_EquipmentDefinitions[Equipment ID],0))</f>
        <v>-</v>
      </c>
      <c r="J155" s="78" t="s">
        <v>272</v>
      </c>
      <c r="K155" s="78"/>
      <c r="L155" s="5"/>
      <c r="M155" s="5"/>
      <c r="N155" s="5"/>
      <c r="O155" s="5"/>
      <c r="P155" s="5"/>
      <c r="Q155" s="5"/>
      <c r="R155" s="5"/>
      <c r="S155" s="5"/>
      <c r="T155" s="5"/>
      <c r="U155" s="5"/>
      <c r="V155" s="5"/>
      <c r="W155" s="5"/>
      <c r="X155" s="5"/>
      <c r="Y155" s="5"/>
      <c r="Z155" s="5"/>
      <c r="AA155" s="5"/>
      <c r="AB155" s="5"/>
      <c r="AC155" s="5"/>
      <c r="AD155" s="5"/>
      <c r="AE155" s="5"/>
      <c r="AF155" s="51"/>
    </row>
    <row r="156" spans="2:32" x14ac:dyDescent="0.2">
      <c r="B156" s="16"/>
      <c r="C156" s="283" t="s">
        <v>125</v>
      </c>
      <c r="D156" s="62" t="str">
        <f>INDEX(Tbl_EquipmentDefinitions[Equipment Level],MATCH(D154,Tbl_EquipmentDefinitions[Equipment ID],0))</f>
        <v>Primary</v>
      </c>
      <c r="E156" s="5"/>
      <c r="F156" s="63" t="s">
        <v>27</v>
      </c>
      <c r="G156" s="68" t="str">
        <f>INDEX(Tbl_EquipmentDefinitions[Oil Baseline Efficiency],MATCH(D154,Tbl_EquipmentDefinitions[Equipment ID],0))</f>
        <v>75% AFUE</v>
      </c>
      <c r="H156" s="70" t="str">
        <f>INDEX(Tbl_EquipmentDefinitions[Oil Code Efficiency],MATCH(D154,Tbl_EquipmentDefinitions[Equipment ID],0))</f>
        <v>84% AFUE</v>
      </c>
      <c r="J156" s="5"/>
      <c r="K156" s="5"/>
      <c r="L156" s="5"/>
      <c r="M156" s="5"/>
      <c r="N156" s="5"/>
      <c r="O156" s="5" t="s">
        <v>421</v>
      </c>
      <c r="P156" s="5"/>
      <c r="T156" s="5" t="s">
        <v>845</v>
      </c>
      <c r="X156" s="5"/>
      <c r="Y156" s="5"/>
      <c r="Z156" s="5"/>
      <c r="AA156" s="5"/>
      <c r="AB156" s="5"/>
      <c r="AC156" s="5"/>
      <c r="AD156" s="5"/>
      <c r="AE156" s="5"/>
      <c r="AF156" s="51"/>
    </row>
    <row r="157" spans="2:32" ht="12.75" x14ac:dyDescent="0.2">
      <c r="B157" s="16"/>
      <c r="C157" s="283" t="s">
        <v>24</v>
      </c>
      <c r="D157" s="64" t="str">
        <f>INDEX(Tbl_EquipmentDefinitions[Function],MATCH(D154,Tbl_EquipmentDefinitions[Equipment ID],0))</f>
        <v>Heat</v>
      </c>
      <c r="E157" s="5"/>
      <c r="F157" s="5"/>
      <c r="G157" s="5"/>
      <c r="H157" s="5"/>
      <c r="J157" s="115" t="s">
        <v>157</v>
      </c>
      <c r="K157" s="52">
        <v>0.75</v>
      </c>
      <c r="L157" s="5" t="s">
        <v>158</v>
      </c>
      <c r="M157" s="5"/>
      <c r="N157" s="5"/>
      <c r="O157" s="5" t="s">
        <v>420</v>
      </c>
      <c r="P157" s="144">
        <v>230</v>
      </c>
      <c r="Q157" s="5" t="s">
        <v>170</v>
      </c>
      <c r="S157" s="5"/>
      <c r="T157" s="5" t="s">
        <v>428</v>
      </c>
      <c r="U157" s="147">
        <v>6866</v>
      </c>
      <c r="V157" s="5" t="s">
        <v>164</v>
      </c>
      <c r="W157" s="5"/>
      <c r="X157" s="5"/>
      <c r="Y157" s="5"/>
      <c r="Z157" s="5"/>
      <c r="AA157" s="5"/>
      <c r="AB157" s="5"/>
      <c r="AC157" s="5"/>
      <c r="AD157" s="5"/>
      <c r="AE157" s="5"/>
      <c r="AF157" s="51"/>
    </row>
    <row r="158" spans="2:32" ht="12.75" x14ac:dyDescent="0.2">
      <c r="B158" s="16"/>
      <c r="C158" s="283" t="s">
        <v>7</v>
      </c>
      <c r="D158" s="62" t="str">
        <f>INDEX(Tbl_EquipmentDefinitions[Fuel Type],MATCH(D154,Tbl_EquipmentDefinitions[Equipment ID],0))</f>
        <v>Oil</v>
      </c>
      <c r="E158" s="65"/>
      <c r="F158" s="671" t="s">
        <v>273</v>
      </c>
      <c r="G158" s="672"/>
      <c r="H158" s="672"/>
      <c r="J158" s="115" t="s">
        <v>159</v>
      </c>
      <c r="K158" s="52">
        <v>0.84</v>
      </c>
      <c r="L158" s="5" t="s">
        <v>158</v>
      </c>
      <c r="M158" s="5"/>
      <c r="N158" s="5"/>
      <c r="O158" s="5" t="s">
        <v>408</v>
      </c>
      <c r="P158" s="144">
        <v>230</v>
      </c>
      <c r="Q158" s="5" t="s">
        <v>170</v>
      </c>
      <c r="S158" s="133"/>
      <c r="X158" s="5"/>
      <c r="Y158" s="5"/>
      <c r="Z158" s="5"/>
      <c r="AA158" s="5"/>
      <c r="AB158" s="5"/>
      <c r="AC158" s="5"/>
      <c r="AD158" s="5"/>
      <c r="AE158" s="5"/>
      <c r="AF158" s="51"/>
    </row>
    <row r="159" spans="2:32" x14ac:dyDescent="0.2">
      <c r="B159" s="16"/>
      <c r="C159" s="283" t="s">
        <v>126</v>
      </c>
      <c r="D159" s="64">
        <f>IF(ISERR(SEARCH("+",D158,1)),1,2)</f>
        <v>1</v>
      </c>
      <c r="E159" s="65"/>
      <c r="F159" s="672"/>
      <c r="G159" s="672"/>
      <c r="H159" s="672"/>
      <c r="J159" s="156"/>
      <c r="K159" s="5"/>
      <c r="L159" s="5"/>
      <c r="M159" s="5"/>
      <c r="N159" s="5"/>
      <c r="O159" s="5"/>
      <c r="P159" s="5"/>
      <c r="Q159" s="133"/>
      <c r="T159" s="6" t="s">
        <v>423</v>
      </c>
      <c r="X159" s="5"/>
      <c r="Y159" s="5"/>
      <c r="Z159" s="5"/>
      <c r="AA159" s="5"/>
      <c r="AB159" s="5"/>
      <c r="AC159" s="5"/>
      <c r="AD159" s="5"/>
      <c r="AE159" s="5"/>
      <c r="AF159" s="51"/>
    </row>
    <row r="160" spans="2:32" ht="12.75" x14ac:dyDescent="0.2">
      <c r="B160" s="16"/>
      <c r="C160" s="284"/>
      <c r="D160" s="5"/>
      <c r="E160" s="5"/>
      <c r="F160" s="672"/>
      <c r="G160" s="672"/>
      <c r="H160" s="672"/>
      <c r="J160" s="115" t="s">
        <v>353</v>
      </c>
      <c r="K160" s="56">
        <f>$D$161/K157</f>
        <v>102.26666666666667</v>
      </c>
      <c r="L160" s="5" t="s">
        <v>156</v>
      </c>
      <c r="M160" s="5"/>
      <c r="N160" s="5"/>
      <c r="O160" s="55" t="s">
        <v>426</v>
      </c>
      <c r="P160" s="57">
        <f>P157*PRICE_PER_KWH_2018_ELECTRICITY</f>
        <v>45.494</v>
      </c>
      <c r="Q160" s="5" t="s">
        <v>164</v>
      </c>
      <c r="T160" s="156" t="s">
        <v>422</v>
      </c>
      <c r="U160" s="146">
        <f>AVERAGE(530,984,1329,1329)</f>
        <v>1043</v>
      </c>
      <c r="V160" s="6" t="s">
        <v>397</v>
      </c>
      <c r="X160" s="5"/>
      <c r="Y160" s="5"/>
      <c r="Z160" s="5"/>
      <c r="AA160" s="5"/>
      <c r="AB160" s="5"/>
      <c r="AC160" s="5"/>
      <c r="AD160" s="5"/>
      <c r="AE160" s="5"/>
      <c r="AF160" s="51"/>
    </row>
    <row r="161" spans="1:32" ht="12.75" x14ac:dyDescent="0.2">
      <c r="B161" s="16"/>
      <c r="C161" s="283" t="s">
        <v>155</v>
      </c>
      <c r="D161" s="62">
        <f>INDEX(Tbl_BaselineSummary[Space Heating Load (MMBtu/yr)],MATCH(D152,Tbl_BaselineSummary[Baseline ID],0))</f>
        <v>76.7</v>
      </c>
      <c r="E161" s="5" t="s">
        <v>156</v>
      </c>
      <c r="F161" s="672"/>
      <c r="G161" s="672"/>
      <c r="H161" s="672"/>
      <c r="J161" s="115" t="s">
        <v>385</v>
      </c>
      <c r="K161" s="56">
        <f>$D$161/K158</f>
        <v>91.30952380952381</v>
      </c>
      <c r="L161" s="5" t="s">
        <v>156</v>
      </c>
      <c r="M161" s="5"/>
      <c r="N161" s="5"/>
      <c r="O161" s="55" t="s">
        <v>427</v>
      </c>
      <c r="P161" s="57">
        <f>P158*PRICE_PER_KWH_2018_ELECTRICITY</f>
        <v>45.494</v>
      </c>
      <c r="Q161" s="5" t="s">
        <v>164</v>
      </c>
      <c r="X161" s="5"/>
      <c r="Y161" s="5"/>
      <c r="Z161" s="5"/>
      <c r="AA161" s="5"/>
      <c r="AB161" s="5"/>
      <c r="AC161" s="5"/>
      <c r="AD161" s="5"/>
      <c r="AE161" s="5"/>
      <c r="AF161" s="51"/>
    </row>
    <row r="162" spans="1:32" x14ac:dyDescent="0.2">
      <c r="B162" s="16"/>
      <c r="C162" s="283" t="s">
        <v>167</v>
      </c>
      <c r="D162" s="62">
        <f>INDEX(Tbl_BaselineSummary[Space Cooling Load (MMBtu/yr)],MATCH(D152,Tbl_BaselineSummary[Baseline ID],0))</f>
        <v>13.072800000000001</v>
      </c>
      <c r="E162" s="5" t="s">
        <v>156</v>
      </c>
      <c r="F162" s="672"/>
      <c r="G162" s="672"/>
      <c r="H162" s="672"/>
      <c r="J162" s="156"/>
      <c r="K162" s="5"/>
      <c r="L162" s="5"/>
      <c r="M162" s="5"/>
      <c r="N162" s="5"/>
      <c r="S162" s="5"/>
      <c r="T162" s="6" t="s">
        <v>740</v>
      </c>
      <c r="X162" s="5"/>
      <c r="Y162" s="5"/>
      <c r="Z162" s="5"/>
      <c r="AA162" s="5"/>
      <c r="AB162" s="5"/>
      <c r="AC162" s="5"/>
      <c r="AD162" s="5"/>
      <c r="AE162" s="5"/>
      <c r="AF162" s="51"/>
    </row>
    <row r="163" spans="1:32" ht="12.75" x14ac:dyDescent="0.2">
      <c r="B163" s="16"/>
      <c r="C163" s="283" t="s">
        <v>244</v>
      </c>
      <c r="D163" s="62">
        <f>INDEX(Tbl_BaselineSummary[Water Heating Load (MMBtu/yr)],MATCH(D152,Tbl_BaselineSummary[Baseline ID],0))</f>
        <v>13.9</v>
      </c>
      <c r="E163" s="5" t="s">
        <v>156</v>
      </c>
      <c r="F163" s="672"/>
      <c r="G163" s="672"/>
      <c r="H163" s="672"/>
      <c r="J163" s="115" t="s">
        <v>253</v>
      </c>
      <c r="K163" s="292">
        <f>K160*PRICE_PER_MMBTU_2018_OIL</f>
        <v>2296.9259980291781</v>
      </c>
      <c r="L163" s="5" t="s">
        <v>164</v>
      </c>
      <c r="M163" s="5"/>
      <c r="N163" s="5"/>
      <c r="S163" s="5"/>
      <c r="T163" s="155" t="s">
        <v>739</v>
      </c>
      <c r="U163" s="146">
        <v>0.16</v>
      </c>
      <c r="X163" s="5"/>
      <c r="Y163" s="5"/>
      <c r="Z163" s="5"/>
      <c r="AA163" s="5"/>
      <c r="AB163" s="5"/>
      <c r="AC163" s="5"/>
      <c r="AD163" s="5"/>
      <c r="AE163" s="5"/>
      <c r="AF163" s="51"/>
    </row>
    <row r="164" spans="1:32" ht="12.75" x14ac:dyDescent="0.2">
      <c r="B164" s="16"/>
      <c r="C164" s="284"/>
      <c r="D164" s="5"/>
      <c r="E164" s="5"/>
      <c r="F164" s="5"/>
      <c r="G164" s="5"/>
      <c r="H164" s="5"/>
      <c r="J164" s="115" t="s">
        <v>254</v>
      </c>
      <c r="K164" s="292">
        <f>K161*PRICE_PER_MMBTU_2018_OIL</f>
        <v>2050.8267839546234</v>
      </c>
      <c r="L164" s="5" t="s">
        <v>164</v>
      </c>
      <c r="M164" s="5"/>
      <c r="N164" s="5"/>
      <c r="S164" s="5"/>
      <c r="X164" s="5"/>
      <c r="Y164" s="5"/>
      <c r="Z164" s="5"/>
      <c r="AA164" s="5"/>
      <c r="AB164" s="5"/>
      <c r="AC164" s="5"/>
      <c r="AD164" s="5"/>
      <c r="AE164" s="5"/>
      <c r="AF164" s="51"/>
    </row>
    <row r="165" spans="1:32" ht="12.75" x14ac:dyDescent="0.2">
      <c r="B165" s="16"/>
      <c r="C165" s="283" t="s">
        <v>635</v>
      </c>
      <c r="D165" s="62">
        <f>INDEX(Tbl_EquipmentDefinitions[New Unit Equipment Life (years)],MATCH('Baseline Calculations'!D154,Tbl_EquipmentDefinitions[Equipment ID],0))</f>
        <v>20</v>
      </c>
      <c r="E165" s="188" t="s">
        <v>376</v>
      </c>
      <c r="F165" s="5"/>
      <c r="G165" s="5"/>
      <c r="H165" s="5"/>
      <c r="J165" s="234"/>
      <c r="L165" s="5"/>
      <c r="M165" s="5"/>
      <c r="N165" s="5"/>
      <c r="S165" s="5"/>
      <c r="T165" s="5" t="s">
        <v>424</v>
      </c>
      <c r="U165" s="145">
        <f>U163*P157/U160</f>
        <v>3.5282837967401733E-2</v>
      </c>
      <c r="V165" s="5" t="s">
        <v>176</v>
      </c>
      <c r="W165" s="5"/>
      <c r="X165" s="5"/>
      <c r="Y165" s="5"/>
      <c r="Z165" s="5"/>
      <c r="AA165" s="5"/>
      <c r="AB165" s="5"/>
      <c r="AC165" s="5"/>
      <c r="AD165" s="5"/>
      <c r="AE165" s="5"/>
      <c r="AF165" s="51"/>
    </row>
    <row r="166" spans="1:32" x14ac:dyDescent="0.2">
      <c r="B166" s="16"/>
      <c r="C166" s="283" t="s">
        <v>636</v>
      </c>
      <c r="D166" s="62">
        <f>INDEX(Tbl_EquipmentDefinitions[Remaining Life for Early Replacement (years)],MATCH('Baseline Calculations'!D154,Tbl_EquipmentDefinitions[Equipment ID],0))</f>
        <v>10</v>
      </c>
      <c r="E166" s="188" t="s">
        <v>376</v>
      </c>
      <c r="F166" s="5"/>
      <c r="G166" s="5"/>
      <c r="H166" s="5"/>
      <c r="T166" s="5" t="s">
        <v>425</v>
      </c>
      <c r="U166" s="145">
        <f>U163*P158/U160</f>
        <v>3.5282837967401733E-2</v>
      </c>
      <c r="V166" s="5" t="s">
        <v>176</v>
      </c>
      <c r="W166" s="5"/>
      <c r="X166" s="5"/>
      <c r="Y166" s="5"/>
      <c r="Z166" s="5"/>
      <c r="AA166" s="5"/>
      <c r="AB166" s="5"/>
      <c r="AC166" s="5"/>
      <c r="AD166" s="5"/>
      <c r="AE166" s="5"/>
      <c r="AF166" s="51"/>
    </row>
    <row r="167" spans="1:32" x14ac:dyDescent="0.2">
      <c r="B167" s="16"/>
      <c r="C167" s="377"/>
      <c r="D167" s="188"/>
      <c r="E167" s="188"/>
      <c r="F167" s="5"/>
      <c r="G167" s="5"/>
      <c r="H167" s="5"/>
      <c r="T167" s="5"/>
      <c r="U167" s="5"/>
      <c r="V167" s="5"/>
      <c r="W167" s="5"/>
      <c r="X167" s="5"/>
      <c r="Y167" s="5"/>
      <c r="Z167" s="5"/>
      <c r="AA167" s="5"/>
      <c r="AB167" s="5"/>
      <c r="AC167" s="5"/>
      <c r="AD167" s="5"/>
      <c r="AE167" s="5"/>
      <c r="AF167" s="51"/>
    </row>
    <row r="168" spans="1:32" x14ac:dyDescent="0.2">
      <c r="B168" s="16"/>
      <c r="C168" s="377"/>
      <c r="D168" s="188"/>
      <c r="E168" s="188"/>
      <c r="F168" s="5"/>
      <c r="G168" s="5"/>
      <c r="H168" s="5"/>
      <c r="T168" s="5"/>
      <c r="U168" s="5"/>
      <c r="V168" s="5"/>
      <c r="W168" s="5"/>
      <c r="X168" s="5"/>
      <c r="Y168" s="5"/>
      <c r="Z168" s="5"/>
      <c r="AA168" s="5"/>
      <c r="AB168" s="5"/>
      <c r="AC168" s="5"/>
      <c r="AD168" s="5"/>
      <c r="AE168" s="5"/>
      <c r="AF168" s="51"/>
    </row>
    <row r="169" spans="1:32" x14ac:dyDescent="0.2">
      <c r="B169" s="16"/>
      <c r="C169" s="377"/>
      <c r="D169" s="188"/>
      <c r="E169" s="188"/>
      <c r="F169" s="5"/>
      <c r="G169" s="5"/>
      <c r="H169" s="5"/>
      <c r="T169" s="5"/>
      <c r="U169" s="5"/>
      <c r="V169" s="5"/>
      <c r="W169" s="5"/>
      <c r="X169" s="5"/>
      <c r="Y169" s="5"/>
      <c r="Z169" s="5"/>
      <c r="AA169" s="5"/>
      <c r="AB169" s="5"/>
      <c r="AC169" s="5"/>
      <c r="AD169" s="5"/>
      <c r="AE169" s="5"/>
      <c r="AF169" s="51"/>
    </row>
    <row r="170" spans="1:32" x14ac:dyDescent="0.2">
      <c r="B170" s="16"/>
      <c r="C170" s="58"/>
      <c r="D170" s="59"/>
      <c r="E170" s="59"/>
      <c r="F170" s="59"/>
      <c r="G170" s="59"/>
      <c r="H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60"/>
    </row>
    <row r="171" spans="1:32" x14ac:dyDescent="0.2">
      <c r="B171" s="16"/>
    </row>
    <row r="172" spans="1:32" ht="15.75" thickBot="1" x14ac:dyDescent="0.25">
      <c r="A172" s="137"/>
      <c r="B172" s="16"/>
      <c r="C172" s="74" t="s">
        <v>270</v>
      </c>
      <c r="D172" s="75"/>
      <c r="E172" s="75"/>
      <c r="F172" s="75"/>
      <c r="G172" s="75"/>
      <c r="H172" s="75"/>
      <c r="J172" s="75" t="s">
        <v>271</v>
      </c>
      <c r="K172" s="75"/>
      <c r="L172" s="48"/>
      <c r="M172" s="48"/>
      <c r="N172" s="48"/>
      <c r="O172" s="48"/>
      <c r="P172" s="48"/>
      <c r="Q172" s="48"/>
      <c r="R172" s="48"/>
      <c r="S172" s="48"/>
      <c r="T172" s="48"/>
      <c r="U172" s="48"/>
      <c r="V172" s="48"/>
      <c r="W172" s="48"/>
      <c r="X172" s="48"/>
      <c r="Y172" s="48"/>
      <c r="Z172" s="48"/>
      <c r="AA172" s="48"/>
      <c r="AB172" s="48"/>
      <c r="AC172" s="48"/>
      <c r="AD172" s="48"/>
      <c r="AE172" s="48"/>
      <c r="AF172" s="49"/>
    </row>
    <row r="173" spans="1:32" ht="3.75" customHeight="1" x14ac:dyDescent="0.2">
      <c r="A173" s="137"/>
      <c r="B173" s="16"/>
      <c r="C173" s="50"/>
      <c r="D173" s="5"/>
      <c r="E173" s="5"/>
      <c r="F173" s="5"/>
      <c r="G173" s="5"/>
      <c r="H173" s="5"/>
      <c r="J173" s="5"/>
      <c r="K173" s="5"/>
      <c r="L173" s="5"/>
      <c r="M173" s="5"/>
      <c r="N173" s="5"/>
      <c r="O173" s="5"/>
      <c r="P173" s="5"/>
      <c r="Q173" s="5"/>
      <c r="R173" s="5"/>
      <c r="S173" s="5"/>
      <c r="T173" s="5"/>
      <c r="U173" s="5"/>
      <c r="V173" s="5"/>
      <c r="W173" s="5"/>
      <c r="X173" s="5"/>
      <c r="Y173" s="5"/>
      <c r="Z173" s="5"/>
      <c r="AA173" s="5"/>
      <c r="AB173" s="5"/>
      <c r="AC173" s="5"/>
      <c r="AD173" s="5"/>
      <c r="AE173" s="5"/>
      <c r="AF173" s="51"/>
    </row>
    <row r="174" spans="1:32" ht="34.5" thickBot="1" x14ac:dyDescent="0.25">
      <c r="A174" s="137"/>
      <c r="B174" s="16"/>
      <c r="C174" s="76" t="s">
        <v>249</v>
      </c>
      <c r="D174" s="81" t="s">
        <v>232</v>
      </c>
      <c r="E174" s="71"/>
      <c r="F174" s="66" t="s">
        <v>260</v>
      </c>
      <c r="G174" s="66" t="s">
        <v>5</v>
      </c>
      <c r="H174" s="66" t="s">
        <v>6</v>
      </c>
      <c r="J174" s="66" t="s">
        <v>127</v>
      </c>
      <c r="K174" s="72" t="s">
        <v>261</v>
      </c>
      <c r="L174" s="72" t="s">
        <v>262</v>
      </c>
      <c r="M174" s="72" t="s">
        <v>1455</v>
      </c>
      <c r="N174" s="72" t="s">
        <v>1456</v>
      </c>
      <c r="O174" s="72" t="s">
        <v>963</v>
      </c>
      <c r="P174" s="72" t="s">
        <v>974</v>
      </c>
      <c r="Q174" s="72" t="s">
        <v>263</v>
      </c>
      <c r="R174" s="72" t="s">
        <v>264</v>
      </c>
      <c r="S174" s="72" t="s">
        <v>265</v>
      </c>
      <c r="T174" s="72" t="s">
        <v>280</v>
      </c>
      <c r="U174" s="72" t="s">
        <v>200</v>
      </c>
      <c r="V174" s="72" t="s">
        <v>753</v>
      </c>
      <c r="W174" s="72" t="s">
        <v>634</v>
      </c>
      <c r="X174" s="72" t="s">
        <v>754</v>
      </c>
      <c r="Y174" s="72" t="s">
        <v>266</v>
      </c>
      <c r="Z174" s="72" t="s">
        <v>1457</v>
      </c>
      <c r="AA174" s="72" t="s">
        <v>1458</v>
      </c>
      <c r="AB174" s="72" t="s">
        <v>964</v>
      </c>
      <c r="AC174" s="72" t="s">
        <v>975</v>
      </c>
      <c r="AD174" s="72" t="s">
        <v>267</v>
      </c>
      <c r="AE174" s="72" t="s">
        <v>268</v>
      </c>
      <c r="AF174" s="77" t="s">
        <v>269</v>
      </c>
    </row>
    <row r="175" spans="1:32" x14ac:dyDescent="0.2">
      <c r="A175" s="137"/>
      <c r="B175" s="16"/>
      <c r="C175" s="61"/>
      <c r="D175" s="5"/>
      <c r="E175" s="5"/>
      <c r="F175" s="63" t="s">
        <v>178</v>
      </c>
      <c r="G175" s="67" t="str">
        <f>INDEX(Tbl_EquipmentDefinitions[Electricity Baseline Efficiency],MATCH(D176,Tbl_EquipmentDefinitions[Equipment ID],0))</f>
        <v>-</v>
      </c>
      <c r="H175" s="68" t="str">
        <f>INDEX(Tbl_EquipmentDefinitions[Electricity Code Efficiency],MATCH(D176,Tbl_EquipmentDefinitions[Equipment ID],0))</f>
        <v>-</v>
      </c>
      <c r="J175" s="63" t="str">
        <f>D174</f>
        <v>BASE06</v>
      </c>
      <c r="K175" s="148">
        <f>K185+P182</f>
        <v>3714.9814759667006</v>
      </c>
      <c r="L175" s="285">
        <f>P179</f>
        <v>197</v>
      </c>
      <c r="M175" s="285">
        <f>P179</f>
        <v>197</v>
      </c>
      <c r="N175" s="285">
        <v>0</v>
      </c>
      <c r="O175" s="117">
        <f>U187</f>
        <v>3.0220517737296261E-2</v>
      </c>
      <c r="P175" s="117">
        <v>0</v>
      </c>
      <c r="Q175" s="286">
        <v>0</v>
      </c>
      <c r="R175" s="286">
        <f>K182</f>
        <v>102.26666666666667</v>
      </c>
      <c r="S175" s="286">
        <v>0</v>
      </c>
      <c r="T175" s="148">
        <f>K186+P183</f>
        <v>3515.6515394388721</v>
      </c>
      <c r="U175" s="148">
        <f>U179</f>
        <v>6595</v>
      </c>
      <c r="V175" s="148">
        <v>0</v>
      </c>
      <c r="W175" s="148">
        <f>((PV(DiscountRate, (D187-D188),PMT(DiscountRate, D187, (U175)))/(1+DiscountRate)^(D188)))</f>
        <v>2838.7748035815443</v>
      </c>
      <c r="X175" s="148">
        <v>0</v>
      </c>
      <c r="Y175" s="285">
        <f>P180</f>
        <v>197</v>
      </c>
      <c r="Z175" s="285">
        <f>P180</f>
        <v>197</v>
      </c>
      <c r="AA175" s="285">
        <v>0</v>
      </c>
      <c r="AB175" s="117">
        <f>U188</f>
        <v>3.0220517737296261E-2</v>
      </c>
      <c r="AC175" s="117">
        <v>0</v>
      </c>
      <c r="AD175" s="286">
        <v>0</v>
      </c>
      <c r="AE175" s="286">
        <f>K183</f>
        <v>96.721311475409834</v>
      </c>
      <c r="AF175" s="287">
        <v>0</v>
      </c>
    </row>
    <row r="176" spans="1:32" x14ac:dyDescent="0.2">
      <c r="A176" s="137"/>
      <c r="B176" s="16"/>
      <c r="C176" s="283" t="s">
        <v>2</v>
      </c>
      <c r="D176" s="62" t="str">
        <f>INDEX(Tbl_BaselineSummary[Equipment ID],MATCH(D174,Tbl_BaselineSummary[Baseline ID],0))</f>
        <v>EQUI009</v>
      </c>
      <c r="E176" s="5"/>
      <c r="F176" s="63" t="s">
        <v>55</v>
      </c>
      <c r="G176" s="68" t="str">
        <f>INDEX(Tbl_EquipmentDefinitions[Natural Gas Baseline Efficiency],MATCH(D176,Tbl_EquipmentDefinitions[Equipment ID],0))</f>
        <v>-</v>
      </c>
      <c r="H176" s="69" t="str">
        <f>INDEX(Tbl_EquipmentDefinitions[Natural Gas Code Efficiency],MATCH(D176,Tbl_EquipmentDefinitions[Equipment ID],0))</f>
        <v>-</v>
      </c>
      <c r="J176" s="5"/>
      <c r="K176" s="5"/>
      <c r="L176" s="5"/>
      <c r="M176" s="5"/>
      <c r="N176" s="5"/>
      <c r="O176" s="5"/>
      <c r="P176" s="5"/>
      <c r="Q176" s="5"/>
      <c r="R176" s="5"/>
      <c r="S176" s="5"/>
      <c r="T176" s="5"/>
      <c r="U176" s="5"/>
      <c r="V176" s="5"/>
      <c r="W176" s="5"/>
      <c r="X176" s="5"/>
      <c r="Y176" s="5"/>
      <c r="Z176" s="5"/>
      <c r="AA176" s="5"/>
      <c r="AB176" s="5"/>
      <c r="AC176" s="5"/>
      <c r="AD176" s="5"/>
      <c r="AE176" s="5"/>
      <c r="AF176" s="51"/>
    </row>
    <row r="177" spans="1:32" ht="12.75" x14ac:dyDescent="0.2">
      <c r="A177" s="137"/>
      <c r="B177" s="16"/>
      <c r="C177" s="283" t="s">
        <v>4</v>
      </c>
      <c r="D177" s="64" t="str">
        <f>INDEX(Tbl_EquipmentDefinitions[Equipment Name],MATCH(D176,Tbl_EquipmentDefinitions[Equipment ID],0))</f>
        <v>Propane Boiler</v>
      </c>
      <c r="E177" s="5"/>
      <c r="F177" s="63" t="s">
        <v>28</v>
      </c>
      <c r="G177" s="70" t="str">
        <f>INDEX(Tbl_EquipmentDefinitions[Propane Baseline Efficiency],MATCH(D176,Tbl_EquipmentDefinitions[Equipment ID],0))</f>
        <v>75% AFUE</v>
      </c>
      <c r="H177" s="68" t="str">
        <f>INDEX(Tbl_EquipmentDefinitions[Propane Code Efficiency],MATCH(D176,Tbl_EquipmentDefinitions[Equipment ID],0))</f>
        <v>82% AFUE (79.3% actual)</v>
      </c>
      <c r="J177" s="78" t="s">
        <v>272</v>
      </c>
      <c r="K177" s="78"/>
      <c r="L177" s="5"/>
      <c r="M177" s="5"/>
      <c r="N177" s="5"/>
      <c r="O177" s="5"/>
      <c r="P177" s="5"/>
      <c r="Q177" s="5"/>
      <c r="R177" s="5"/>
      <c r="S177" s="5"/>
      <c r="T177" s="5"/>
      <c r="U177" s="5"/>
      <c r="V177" s="5"/>
      <c r="W177" s="5"/>
      <c r="X177" s="5"/>
      <c r="Y177" s="5"/>
      <c r="Z177" s="5"/>
      <c r="AA177" s="5"/>
      <c r="AB177" s="5"/>
      <c r="AC177" s="5"/>
      <c r="AD177" s="5"/>
      <c r="AE177" s="5"/>
      <c r="AF177" s="51"/>
    </row>
    <row r="178" spans="1:32" x14ac:dyDescent="0.2">
      <c r="A178" s="137"/>
      <c r="B178" s="16"/>
      <c r="C178" s="283" t="s">
        <v>125</v>
      </c>
      <c r="D178" s="62" t="str">
        <f>INDEX(Tbl_EquipmentDefinitions[Equipment Level],MATCH(D176,Tbl_EquipmentDefinitions[Equipment ID],0))</f>
        <v>Primary</v>
      </c>
      <c r="E178" s="5"/>
      <c r="F178" s="63" t="s">
        <v>27</v>
      </c>
      <c r="G178" s="68" t="str">
        <f>INDEX(Tbl_EquipmentDefinitions[Oil Baseline Efficiency],MATCH(D176,Tbl_EquipmentDefinitions[Equipment ID],0))</f>
        <v>-</v>
      </c>
      <c r="H178" s="70" t="str">
        <f>INDEX(Tbl_EquipmentDefinitions[Oil Code Efficiency],MATCH(D176,Tbl_EquipmentDefinitions[Equipment ID],0))</f>
        <v>-</v>
      </c>
      <c r="J178" s="5"/>
      <c r="K178" s="5"/>
      <c r="L178" s="5"/>
      <c r="M178" s="5"/>
      <c r="N178" s="5"/>
      <c r="O178" s="5" t="s">
        <v>421</v>
      </c>
      <c r="P178" s="5"/>
      <c r="T178" s="5" t="s">
        <v>429</v>
      </c>
      <c r="X178" s="5"/>
      <c r="Y178" s="5"/>
      <c r="Z178" s="5"/>
      <c r="AA178" s="5"/>
      <c r="AB178" s="5"/>
      <c r="AC178" s="5"/>
      <c r="AD178" s="5"/>
      <c r="AE178" s="5"/>
      <c r="AF178" s="51"/>
    </row>
    <row r="179" spans="1:32" ht="12.75" x14ac:dyDescent="0.2">
      <c r="A179" s="137"/>
      <c r="B179" s="16"/>
      <c r="C179" s="283" t="s">
        <v>24</v>
      </c>
      <c r="D179" s="64" t="str">
        <f>INDEX(Tbl_EquipmentDefinitions[Function],MATCH(D176,Tbl_EquipmentDefinitions[Equipment ID],0))</f>
        <v>Heat</v>
      </c>
      <c r="E179" s="5"/>
      <c r="F179" s="5"/>
      <c r="G179" s="5"/>
      <c r="H179" s="5"/>
      <c r="J179" s="115" t="s">
        <v>157</v>
      </c>
      <c r="K179" s="52">
        <v>0.75</v>
      </c>
      <c r="L179" s="5" t="s">
        <v>158</v>
      </c>
      <c r="M179" s="5"/>
      <c r="N179" s="5"/>
      <c r="O179" s="5" t="s">
        <v>420</v>
      </c>
      <c r="P179" s="144">
        <v>197</v>
      </c>
      <c r="Q179" s="5" t="s">
        <v>170</v>
      </c>
      <c r="S179" s="5"/>
      <c r="T179" s="5" t="s">
        <v>428</v>
      </c>
      <c r="U179" s="147">
        <v>6595</v>
      </c>
      <c r="V179" s="5" t="s">
        <v>164</v>
      </c>
      <c r="W179" s="5"/>
      <c r="X179" s="5"/>
      <c r="Y179" s="5"/>
      <c r="Z179" s="5"/>
      <c r="AA179" s="5"/>
      <c r="AB179" s="5"/>
      <c r="AC179" s="5"/>
      <c r="AD179" s="5"/>
      <c r="AE179" s="5"/>
      <c r="AF179" s="51"/>
    </row>
    <row r="180" spans="1:32" ht="12.75" x14ac:dyDescent="0.2">
      <c r="A180" s="137"/>
      <c r="B180" s="16"/>
      <c r="C180" s="283" t="s">
        <v>7</v>
      </c>
      <c r="D180" s="62" t="str">
        <f>INDEX(Tbl_EquipmentDefinitions[Fuel Type],MATCH(D176,Tbl_EquipmentDefinitions[Equipment ID],0))</f>
        <v>Propane</v>
      </c>
      <c r="E180" s="65"/>
      <c r="F180" s="671" t="s">
        <v>273</v>
      </c>
      <c r="G180" s="672"/>
      <c r="H180" s="672"/>
      <c r="J180" s="115" t="s">
        <v>159</v>
      </c>
      <c r="K180" s="52">
        <v>0.79300000000000004</v>
      </c>
      <c r="L180" s="5" t="s">
        <v>158</v>
      </c>
      <c r="M180" s="5"/>
      <c r="N180" s="5"/>
      <c r="O180" s="5" t="s">
        <v>408</v>
      </c>
      <c r="P180" s="144">
        <v>197</v>
      </c>
      <c r="Q180" s="5" t="s">
        <v>170</v>
      </c>
      <c r="S180" s="92"/>
      <c r="X180" s="5"/>
      <c r="Y180" s="5"/>
      <c r="Z180" s="5"/>
      <c r="AA180" s="5"/>
      <c r="AB180" s="5"/>
      <c r="AC180" s="5"/>
      <c r="AD180" s="5"/>
      <c r="AE180" s="5"/>
      <c r="AF180" s="51"/>
    </row>
    <row r="181" spans="1:32" x14ac:dyDescent="0.2">
      <c r="A181" s="137"/>
      <c r="B181" s="16"/>
      <c r="C181" s="283" t="s">
        <v>126</v>
      </c>
      <c r="D181" s="64">
        <f>IF(ISERR(SEARCH("+",D180,1)),1,2)</f>
        <v>1</v>
      </c>
      <c r="E181" s="65"/>
      <c r="F181" s="672"/>
      <c r="G181" s="672"/>
      <c r="H181" s="672"/>
      <c r="J181" s="156"/>
      <c r="K181" s="5"/>
      <c r="L181" s="5"/>
      <c r="M181" s="5"/>
      <c r="N181" s="5"/>
      <c r="O181" s="5"/>
      <c r="P181" s="5"/>
      <c r="Q181" s="92"/>
      <c r="T181" s="6" t="s">
        <v>423</v>
      </c>
      <c r="X181" s="5"/>
      <c r="Y181" s="5"/>
      <c r="Z181" s="5"/>
      <c r="AA181" s="5"/>
      <c r="AB181" s="5"/>
      <c r="AC181" s="5"/>
      <c r="AD181" s="5"/>
      <c r="AE181" s="5"/>
      <c r="AF181" s="51"/>
    </row>
    <row r="182" spans="1:32" ht="12.75" x14ac:dyDescent="0.2">
      <c r="A182" s="137"/>
      <c r="B182" s="16"/>
      <c r="C182" s="284"/>
      <c r="D182" s="5"/>
      <c r="E182" s="5"/>
      <c r="F182" s="672"/>
      <c r="G182" s="672"/>
      <c r="H182" s="672"/>
      <c r="J182" s="115" t="s">
        <v>334</v>
      </c>
      <c r="K182" s="56">
        <f>$D$183/K179</f>
        <v>102.26666666666667</v>
      </c>
      <c r="L182" s="5" t="s">
        <v>156</v>
      </c>
      <c r="M182" s="5"/>
      <c r="N182" s="5"/>
      <c r="O182" s="55" t="s">
        <v>426</v>
      </c>
      <c r="P182" s="57">
        <f>P179*PRICE_PER_KWH_2018_ELECTRICITY</f>
        <v>38.9666</v>
      </c>
      <c r="Q182" s="5" t="s">
        <v>164</v>
      </c>
      <c r="T182" s="5" t="s">
        <v>422</v>
      </c>
      <c r="U182" s="146">
        <f>AVERAGE(530,984,1329,1329)</f>
        <v>1043</v>
      </c>
      <c r="V182" s="6" t="s">
        <v>397</v>
      </c>
      <c r="X182" s="5"/>
      <c r="Y182" s="5"/>
      <c r="Z182" s="5"/>
      <c r="AA182" s="5"/>
      <c r="AB182" s="5"/>
      <c r="AC182" s="5"/>
      <c r="AD182" s="5"/>
      <c r="AE182" s="5"/>
      <c r="AF182" s="51"/>
    </row>
    <row r="183" spans="1:32" ht="12.75" x14ac:dyDescent="0.2">
      <c r="A183" s="137"/>
      <c r="B183" s="16"/>
      <c r="C183" s="283" t="s">
        <v>155</v>
      </c>
      <c r="D183" s="62">
        <f>INDEX(Tbl_BaselineSummary[Space Heating Load (MMBtu/yr)],MATCH(D174,Tbl_BaselineSummary[Baseline ID],0))</f>
        <v>76.7</v>
      </c>
      <c r="E183" s="5" t="s">
        <v>156</v>
      </c>
      <c r="F183" s="672"/>
      <c r="G183" s="672"/>
      <c r="H183" s="672"/>
      <c r="J183" s="115" t="s">
        <v>384</v>
      </c>
      <c r="K183" s="56">
        <f>$D$183/K180</f>
        <v>96.721311475409834</v>
      </c>
      <c r="L183" s="5" t="s">
        <v>156</v>
      </c>
      <c r="M183" s="5"/>
      <c r="N183" s="5"/>
      <c r="O183" s="55" t="s">
        <v>427</v>
      </c>
      <c r="P183" s="57">
        <f>P180*PRICE_PER_KWH_2018_ELECTRICITY</f>
        <v>38.9666</v>
      </c>
      <c r="Q183" s="5" t="s">
        <v>164</v>
      </c>
      <c r="X183" s="5"/>
      <c r="Y183" s="5"/>
      <c r="Z183" s="5"/>
      <c r="AA183" s="5"/>
      <c r="AB183" s="5"/>
      <c r="AC183" s="5"/>
      <c r="AD183" s="5"/>
      <c r="AE183" s="5"/>
      <c r="AF183" s="51"/>
    </row>
    <row r="184" spans="1:32" x14ac:dyDescent="0.2">
      <c r="A184" s="137"/>
      <c r="B184" s="16"/>
      <c r="C184" s="283" t="s">
        <v>167</v>
      </c>
      <c r="D184" s="62">
        <f>INDEX(Tbl_BaselineSummary[Space Cooling Load (MMBtu/yr)],MATCH(D174,Tbl_BaselineSummary[Baseline ID],0))</f>
        <v>13.072800000000001</v>
      </c>
      <c r="E184" s="5" t="s">
        <v>156</v>
      </c>
      <c r="F184" s="672"/>
      <c r="G184" s="672"/>
      <c r="H184" s="672"/>
      <c r="J184" s="156"/>
      <c r="K184" s="5"/>
      <c r="L184" s="5"/>
      <c r="M184" s="5"/>
      <c r="N184" s="5"/>
      <c r="S184" s="5"/>
      <c r="T184" s="6" t="s">
        <v>740</v>
      </c>
      <c r="X184" s="5"/>
      <c r="Y184" s="5"/>
      <c r="Z184" s="5"/>
      <c r="AA184" s="5"/>
      <c r="AB184" s="5"/>
      <c r="AC184" s="5"/>
      <c r="AD184" s="5"/>
      <c r="AE184" s="5"/>
      <c r="AF184" s="51"/>
    </row>
    <row r="185" spans="1:32" ht="12.75" x14ac:dyDescent="0.2">
      <c r="A185" s="137"/>
      <c r="B185" s="16"/>
      <c r="C185" s="283" t="s">
        <v>244</v>
      </c>
      <c r="D185" s="62">
        <f>INDEX(Tbl_BaselineSummary[Water Heating Load (MMBtu/yr)],MATCH(D174,Tbl_BaselineSummary[Baseline ID],0))</f>
        <v>11.3</v>
      </c>
      <c r="E185" s="5" t="s">
        <v>156</v>
      </c>
      <c r="F185" s="672"/>
      <c r="G185" s="672"/>
      <c r="H185" s="672"/>
      <c r="J185" s="115" t="s">
        <v>313</v>
      </c>
      <c r="K185" s="292">
        <f>K182*PRICE_PER_MMBTU_2018_PROPANE</f>
        <v>3676.0148759667004</v>
      </c>
      <c r="L185" s="5" t="s">
        <v>164</v>
      </c>
      <c r="M185" s="5"/>
      <c r="N185" s="5"/>
      <c r="S185" s="5"/>
      <c r="T185" s="155" t="s">
        <v>739</v>
      </c>
      <c r="U185" s="146">
        <v>0.16</v>
      </c>
      <c r="X185" s="5"/>
      <c r="Y185" s="5"/>
      <c r="Z185" s="5"/>
      <c r="AA185" s="5"/>
      <c r="AB185" s="5"/>
      <c r="AC185" s="5"/>
      <c r="AD185" s="5"/>
      <c r="AE185" s="5"/>
      <c r="AF185" s="51"/>
    </row>
    <row r="186" spans="1:32" ht="12.75" x14ac:dyDescent="0.2">
      <c r="A186" s="137"/>
      <c r="B186" s="16"/>
      <c r="C186" s="284"/>
      <c r="D186" s="5"/>
      <c r="E186" s="5"/>
      <c r="F186" s="5"/>
      <c r="G186" s="5"/>
      <c r="H186" s="5"/>
      <c r="J186" s="115" t="s">
        <v>314</v>
      </c>
      <c r="K186" s="292">
        <f>K183*PRICE_PER_MMBTU_2018_PROPANE</f>
        <v>3476.6849394388719</v>
      </c>
      <c r="L186" s="5" t="s">
        <v>164</v>
      </c>
      <c r="M186" s="5"/>
      <c r="N186" s="5"/>
      <c r="T186" s="5"/>
      <c r="U186" s="5"/>
      <c r="V186" s="5"/>
      <c r="W186" s="5"/>
      <c r="X186" s="5"/>
      <c r="Y186" s="5"/>
      <c r="Z186" s="5"/>
      <c r="AA186" s="5"/>
      <c r="AB186" s="5"/>
      <c r="AC186" s="5"/>
      <c r="AD186" s="5"/>
      <c r="AE186" s="5"/>
      <c r="AF186" s="51"/>
    </row>
    <row r="187" spans="1:32" ht="12.75" x14ac:dyDescent="0.2">
      <c r="A187" s="137"/>
      <c r="B187" s="16"/>
      <c r="C187" s="283" t="s">
        <v>635</v>
      </c>
      <c r="D187" s="62">
        <f>INDEX(Tbl_EquipmentDefinitions[New Unit Equipment Life (years)],MATCH('Baseline Calculations'!D176,Tbl_EquipmentDefinitions[Equipment ID],0))</f>
        <v>20</v>
      </c>
      <c r="E187" s="188" t="s">
        <v>376</v>
      </c>
      <c r="F187" s="5"/>
      <c r="G187" s="5"/>
      <c r="H187" s="5"/>
      <c r="J187" s="234"/>
      <c r="L187" s="5"/>
      <c r="M187" s="5"/>
      <c r="N187" s="5"/>
      <c r="T187" s="5" t="s">
        <v>424</v>
      </c>
      <c r="U187" s="145">
        <f>U185*P179/U182</f>
        <v>3.0220517737296261E-2</v>
      </c>
      <c r="V187" s="5" t="s">
        <v>176</v>
      </c>
      <c r="W187" s="5"/>
      <c r="X187" s="5"/>
      <c r="Y187" s="5"/>
      <c r="Z187" s="5"/>
      <c r="AA187" s="5"/>
      <c r="AB187" s="5"/>
      <c r="AC187" s="5"/>
      <c r="AD187" s="5"/>
      <c r="AE187" s="5"/>
      <c r="AF187" s="51"/>
    </row>
    <row r="188" spans="1:32" x14ac:dyDescent="0.2">
      <c r="A188" s="137"/>
      <c r="B188" s="16"/>
      <c r="C188" s="283" t="s">
        <v>636</v>
      </c>
      <c r="D188" s="62">
        <f>INDEX(Tbl_EquipmentDefinitions[Remaining Life for Early Replacement (years)],MATCH('Baseline Calculations'!D176,Tbl_EquipmentDefinitions[Equipment ID],0))</f>
        <v>10</v>
      </c>
      <c r="E188" s="188" t="s">
        <v>376</v>
      </c>
      <c r="F188" s="5"/>
      <c r="G188" s="5"/>
      <c r="H188" s="5"/>
      <c r="T188" s="5" t="s">
        <v>425</v>
      </c>
      <c r="U188" s="145">
        <f>U185*P180/U182</f>
        <v>3.0220517737296261E-2</v>
      </c>
      <c r="V188" s="5" t="s">
        <v>176</v>
      </c>
      <c r="W188" s="5"/>
      <c r="X188" s="5"/>
      <c r="Y188" s="5"/>
      <c r="Z188" s="5"/>
      <c r="AA188" s="5"/>
      <c r="AB188" s="5"/>
      <c r="AC188" s="5"/>
      <c r="AD188" s="5"/>
      <c r="AE188" s="5"/>
      <c r="AF188" s="51"/>
    </row>
    <row r="189" spans="1:32" x14ac:dyDescent="0.2">
      <c r="A189" s="137"/>
      <c r="B189" s="16"/>
      <c r="C189" s="377"/>
      <c r="D189" s="188"/>
      <c r="E189" s="188"/>
      <c r="F189" s="5"/>
      <c r="G189" s="5"/>
      <c r="H189" s="5"/>
      <c r="T189" s="5"/>
      <c r="U189" s="5"/>
      <c r="V189" s="5"/>
      <c r="W189" s="5"/>
      <c r="X189" s="5"/>
      <c r="Y189" s="5"/>
      <c r="Z189" s="5"/>
      <c r="AA189" s="5"/>
      <c r="AB189" s="5"/>
      <c r="AC189" s="5"/>
      <c r="AD189" s="5"/>
      <c r="AE189" s="5"/>
      <c r="AF189" s="51"/>
    </row>
    <row r="190" spans="1:32" x14ac:dyDescent="0.2">
      <c r="A190" s="137"/>
      <c r="B190" s="16"/>
      <c r="C190" s="377"/>
      <c r="D190" s="188"/>
      <c r="E190" s="188"/>
      <c r="F190" s="5"/>
      <c r="G190" s="5"/>
      <c r="H190" s="5"/>
      <c r="T190" s="5"/>
      <c r="U190" s="5"/>
      <c r="V190" s="5"/>
      <c r="W190" s="5"/>
      <c r="X190" s="5"/>
      <c r="Y190" s="5"/>
      <c r="Z190" s="5"/>
      <c r="AA190" s="5"/>
      <c r="AB190" s="5"/>
      <c r="AC190" s="5"/>
      <c r="AD190" s="5"/>
      <c r="AE190" s="5"/>
      <c r="AF190" s="51"/>
    </row>
    <row r="191" spans="1:32" x14ac:dyDescent="0.2">
      <c r="A191" s="137"/>
      <c r="B191" s="16"/>
      <c r="C191" s="377"/>
      <c r="D191" s="188"/>
      <c r="E191" s="188"/>
      <c r="F191" s="5"/>
      <c r="G191" s="5"/>
      <c r="H191" s="5"/>
      <c r="T191" s="5"/>
      <c r="U191" s="5"/>
      <c r="V191" s="5"/>
      <c r="W191" s="5"/>
      <c r="X191" s="5"/>
      <c r="Y191" s="5"/>
      <c r="Z191" s="5"/>
      <c r="AA191" s="5"/>
      <c r="AB191" s="5"/>
      <c r="AC191" s="5"/>
      <c r="AD191" s="5"/>
      <c r="AE191" s="5"/>
      <c r="AF191" s="51"/>
    </row>
    <row r="192" spans="1:32" x14ac:dyDescent="0.2">
      <c r="A192" s="137"/>
      <c r="B192" s="16"/>
      <c r="C192" s="58"/>
      <c r="D192" s="59"/>
      <c r="E192" s="59"/>
      <c r="F192" s="59"/>
      <c r="G192" s="59"/>
      <c r="H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60"/>
    </row>
    <row r="193" spans="2:32" x14ac:dyDescent="0.2">
      <c r="B193" s="16"/>
    </row>
    <row r="194" spans="2:32" ht="15.75" thickBot="1" x14ac:dyDescent="0.25">
      <c r="B194" s="16"/>
      <c r="C194" s="74" t="s">
        <v>270</v>
      </c>
      <c r="D194" s="75"/>
      <c r="E194" s="75"/>
      <c r="F194" s="75"/>
      <c r="G194" s="75"/>
      <c r="H194" s="75"/>
      <c r="J194" s="75" t="s">
        <v>271</v>
      </c>
      <c r="K194" s="75"/>
      <c r="L194" s="48"/>
      <c r="M194" s="48"/>
      <c r="N194" s="48"/>
      <c r="O194" s="48"/>
      <c r="P194" s="48"/>
      <c r="Q194" s="48"/>
      <c r="R194" s="48"/>
      <c r="S194" s="48"/>
      <c r="T194" s="48"/>
      <c r="U194" s="48"/>
      <c r="V194" s="48"/>
      <c r="W194" s="48"/>
      <c r="X194" s="48"/>
      <c r="Y194" s="48"/>
      <c r="Z194" s="48"/>
      <c r="AA194" s="48"/>
      <c r="AB194" s="48"/>
      <c r="AC194" s="48"/>
      <c r="AD194" s="48"/>
      <c r="AE194" s="48"/>
      <c r="AF194" s="49"/>
    </row>
    <row r="195" spans="2:32" ht="3.75" customHeight="1" x14ac:dyDescent="0.2">
      <c r="B195" s="16"/>
      <c r="C195" s="50"/>
      <c r="D195" s="5"/>
      <c r="E195" s="5"/>
      <c r="F195" s="5"/>
      <c r="G195" s="5"/>
      <c r="H195" s="5"/>
      <c r="J195" s="5"/>
      <c r="K195" s="5"/>
      <c r="L195" s="5"/>
      <c r="M195" s="5"/>
      <c r="N195" s="5"/>
      <c r="O195" s="5"/>
      <c r="P195" s="5"/>
      <c r="Q195" s="5"/>
      <c r="R195" s="5"/>
      <c r="S195" s="5"/>
      <c r="T195" s="5"/>
      <c r="U195" s="5"/>
      <c r="V195" s="5"/>
      <c r="W195" s="5"/>
      <c r="X195" s="5"/>
      <c r="Y195" s="5"/>
      <c r="Z195" s="5"/>
      <c r="AA195" s="5"/>
      <c r="AB195" s="5"/>
      <c r="AC195" s="5"/>
      <c r="AD195" s="5"/>
      <c r="AE195" s="5"/>
      <c r="AF195" s="51"/>
    </row>
    <row r="196" spans="2:32" ht="34.5" thickBot="1" x14ac:dyDescent="0.25">
      <c r="B196" s="16"/>
      <c r="C196" s="76" t="s">
        <v>249</v>
      </c>
      <c r="D196" s="81" t="s">
        <v>233</v>
      </c>
      <c r="E196" s="71"/>
      <c r="F196" s="66" t="s">
        <v>260</v>
      </c>
      <c r="G196" s="66" t="s">
        <v>5</v>
      </c>
      <c r="H196" s="66" t="s">
        <v>6</v>
      </c>
      <c r="J196" s="66" t="s">
        <v>127</v>
      </c>
      <c r="K196" s="72" t="s">
        <v>261</v>
      </c>
      <c r="L196" s="72" t="s">
        <v>262</v>
      </c>
      <c r="M196" s="72" t="s">
        <v>1455</v>
      </c>
      <c r="N196" s="72" t="s">
        <v>1456</v>
      </c>
      <c r="O196" s="72" t="s">
        <v>963</v>
      </c>
      <c r="P196" s="72" t="s">
        <v>974</v>
      </c>
      <c r="Q196" s="72" t="s">
        <v>263</v>
      </c>
      <c r="R196" s="72" t="s">
        <v>264</v>
      </c>
      <c r="S196" s="72" t="s">
        <v>265</v>
      </c>
      <c r="T196" s="72" t="s">
        <v>280</v>
      </c>
      <c r="U196" s="72" t="s">
        <v>200</v>
      </c>
      <c r="V196" s="72" t="s">
        <v>753</v>
      </c>
      <c r="W196" s="72" t="s">
        <v>634</v>
      </c>
      <c r="X196" s="72" t="s">
        <v>754</v>
      </c>
      <c r="Y196" s="72" t="s">
        <v>266</v>
      </c>
      <c r="Z196" s="72" t="s">
        <v>1457</v>
      </c>
      <c r="AA196" s="72" t="s">
        <v>1458</v>
      </c>
      <c r="AB196" s="72" t="s">
        <v>964</v>
      </c>
      <c r="AC196" s="72" t="s">
        <v>975</v>
      </c>
      <c r="AD196" s="72" t="s">
        <v>267</v>
      </c>
      <c r="AE196" s="72" t="s">
        <v>268</v>
      </c>
      <c r="AF196" s="77" t="s">
        <v>269</v>
      </c>
    </row>
    <row r="197" spans="2:32" x14ac:dyDescent="0.2">
      <c r="B197" s="16"/>
      <c r="C197" s="61"/>
      <c r="D197" s="5"/>
      <c r="E197" s="5"/>
      <c r="F197" s="63" t="s">
        <v>178</v>
      </c>
      <c r="G197" s="67" t="str">
        <f>INDEX(Tbl_EquipmentDefinitions[Electricity Baseline Efficiency],MATCH(D198,Tbl_EquipmentDefinitions[Equipment ID],0))</f>
        <v>1 COP</v>
      </c>
      <c r="H197" s="68" t="str">
        <f>INDEX(Tbl_EquipmentDefinitions[Electricity Code Efficiency],MATCH(D198,Tbl_EquipmentDefinitions[Equipment ID],0))</f>
        <v>1 COP</v>
      </c>
      <c r="J197" s="63" t="str">
        <f>D196</f>
        <v>BASE07</v>
      </c>
      <c r="K197" s="148">
        <f>P203</f>
        <v>4446.4419695193437</v>
      </c>
      <c r="L197" s="285">
        <f>P201</f>
        <v>22479.484173505276</v>
      </c>
      <c r="M197" s="285">
        <f>P201</f>
        <v>22479.484173505276</v>
      </c>
      <c r="N197" s="285">
        <v>0</v>
      </c>
      <c r="O197" s="117">
        <f>P207</f>
        <v>3.75</v>
      </c>
      <c r="P197" s="117">
        <v>0</v>
      </c>
      <c r="Q197" s="286">
        <v>0</v>
      </c>
      <c r="R197" s="286">
        <v>0</v>
      </c>
      <c r="S197" s="286">
        <v>0</v>
      </c>
      <c r="T197" s="148">
        <f>K197</f>
        <v>4446.4419695193437</v>
      </c>
      <c r="U197" s="148">
        <f>P209</f>
        <v>555</v>
      </c>
      <c r="V197" s="148">
        <v>0</v>
      </c>
      <c r="W197" s="148">
        <f>((PV(DiscountRate, (D209-D210),PMT(DiscountRate, D209, (U197)))/(1+DiscountRate)^(D210)))</f>
        <v>343.57884007217069</v>
      </c>
      <c r="X197" s="148">
        <v>0</v>
      </c>
      <c r="Y197" s="285">
        <f>L197</f>
        <v>22479.484173505276</v>
      </c>
      <c r="Z197" s="285">
        <f>P201</f>
        <v>22479.484173505276</v>
      </c>
      <c r="AA197" s="285">
        <v>0</v>
      </c>
      <c r="AB197" s="117">
        <f>O197</f>
        <v>3.75</v>
      </c>
      <c r="AC197" s="117">
        <v>0</v>
      </c>
      <c r="AD197" s="286">
        <v>0</v>
      </c>
      <c r="AE197" s="286">
        <v>0</v>
      </c>
      <c r="AF197" s="287">
        <v>0</v>
      </c>
    </row>
    <row r="198" spans="2:32" x14ac:dyDescent="0.2">
      <c r="B198" s="16"/>
      <c r="C198" s="283" t="s">
        <v>2</v>
      </c>
      <c r="D198" s="62" t="str">
        <f>INDEX(Tbl_BaselineSummary[Equipment ID],MATCH(D196,Tbl_BaselineSummary[Baseline ID],0))</f>
        <v>EQUI012</v>
      </c>
      <c r="E198" s="5"/>
      <c r="F198" s="63" t="s">
        <v>55</v>
      </c>
      <c r="G198" s="68" t="str">
        <f>INDEX(Tbl_EquipmentDefinitions[Natural Gas Baseline Efficiency],MATCH(D198,Tbl_EquipmentDefinitions[Equipment ID],0))</f>
        <v>-</v>
      </c>
      <c r="H198" s="69" t="str">
        <f>INDEX(Tbl_EquipmentDefinitions[Natural Gas Code Efficiency],MATCH(D198,Tbl_EquipmentDefinitions[Equipment ID],0))</f>
        <v>-</v>
      </c>
      <c r="J198" s="5"/>
      <c r="K198" s="5"/>
      <c r="L198" s="5"/>
      <c r="M198" s="5"/>
      <c r="N198" s="5"/>
      <c r="O198" s="5"/>
      <c r="P198" s="5"/>
      <c r="Q198" s="5"/>
      <c r="R198" s="5"/>
      <c r="S198" s="5"/>
      <c r="T198" s="5"/>
      <c r="U198" s="5"/>
      <c r="V198" s="5"/>
      <c r="W198" s="5"/>
      <c r="X198" s="5"/>
      <c r="Y198" s="5"/>
      <c r="Z198" s="5"/>
      <c r="AA198" s="5"/>
      <c r="AB198" s="5"/>
      <c r="AC198" s="5"/>
      <c r="AD198" s="5"/>
      <c r="AE198" s="5"/>
      <c r="AF198" s="51"/>
    </row>
    <row r="199" spans="2:32" ht="12.75" x14ac:dyDescent="0.2">
      <c r="B199" s="16"/>
      <c r="C199" s="283" t="s">
        <v>4</v>
      </c>
      <c r="D199" s="64" t="str">
        <f>INDEX(Tbl_EquipmentDefinitions[Equipment Name],MATCH(D198,Tbl_EquipmentDefinitions[Equipment ID],0))</f>
        <v>Electric Baseboard</v>
      </c>
      <c r="E199" s="5"/>
      <c r="F199" s="63" t="s">
        <v>28</v>
      </c>
      <c r="G199" s="70" t="str">
        <f>INDEX(Tbl_EquipmentDefinitions[Propane Baseline Efficiency],MATCH(D198,Tbl_EquipmentDefinitions[Equipment ID],0))</f>
        <v>-</v>
      </c>
      <c r="H199" s="68" t="str">
        <f>INDEX(Tbl_EquipmentDefinitions[Propane Code Efficiency],MATCH(D198,Tbl_EquipmentDefinitions[Equipment ID],0))</f>
        <v>-</v>
      </c>
      <c r="J199" s="78" t="s">
        <v>272</v>
      </c>
      <c r="K199" s="78"/>
      <c r="L199" s="5"/>
      <c r="M199" s="5"/>
      <c r="N199" s="5"/>
      <c r="O199" s="5"/>
      <c r="P199" s="5"/>
      <c r="Q199" s="5"/>
      <c r="R199" s="5"/>
      <c r="S199" s="5"/>
      <c r="T199" s="5"/>
      <c r="U199" s="5"/>
      <c r="V199" s="5"/>
      <c r="W199" s="5"/>
      <c r="X199" s="5"/>
      <c r="Y199" s="5"/>
      <c r="Z199" s="5"/>
      <c r="AA199" s="5"/>
      <c r="AB199" s="5"/>
      <c r="AC199" s="5"/>
      <c r="AD199" s="5"/>
      <c r="AE199" s="5"/>
      <c r="AF199" s="51"/>
    </row>
    <row r="200" spans="2:32" x14ac:dyDescent="0.2">
      <c r="B200" s="16"/>
      <c r="C200" s="283" t="s">
        <v>125</v>
      </c>
      <c r="D200" s="62" t="str">
        <f>INDEX(Tbl_EquipmentDefinitions[Equipment Level],MATCH(D198,Tbl_EquipmentDefinitions[Equipment ID],0))</f>
        <v>Primary</v>
      </c>
      <c r="E200" s="5"/>
      <c r="F200" s="63" t="s">
        <v>27</v>
      </c>
      <c r="G200" s="68" t="str">
        <f>INDEX(Tbl_EquipmentDefinitions[Oil Baseline Efficiency],MATCH(D198,Tbl_EquipmentDefinitions[Equipment ID],0))</f>
        <v>-</v>
      </c>
      <c r="H200" s="70" t="str">
        <f>INDEX(Tbl_EquipmentDefinitions[Oil Code Efficiency],MATCH(D198,Tbl_EquipmentDefinitions[Equipment ID],0))</f>
        <v>-</v>
      </c>
      <c r="J200" s="5"/>
      <c r="K200" s="5"/>
      <c r="L200" s="5"/>
      <c r="M200" s="5"/>
      <c r="N200" s="5"/>
      <c r="O200" s="5"/>
      <c r="P200" s="5"/>
      <c r="Q200" s="5"/>
      <c r="R200" s="5"/>
      <c r="S200" s="5"/>
      <c r="T200" s="5"/>
      <c r="U200" s="5"/>
      <c r="V200" s="5"/>
      <c r="W200" s="5"/>
      <c r="X200" s="5"/>
      <c r="Y200" s="5"/>
      <c r="Z200" s="5"/>
      <c r="AA200" s="5"/>
      <c r="AB200" s="5"/>
      <c r="AC200" s="5"/>
      <c r="AD200" s="5"/>
      <c r="AE200" s="5"/>
      <c r="AF200" s="51"/>
    </row>
    <row r="201" spans="2:32" ht="12.75" x14ac:dyDescent="0.2">
      <c r="B201" s="16"/>
      <c r="C201" s="283" t="s">
        <v>24</v>
      </c>
      <c r="D201" s="64" t="str">
        <f>INDEX(Tbl_EquipmentDefinitions[Function],MATCH(D198,Tbl_EquipmentDefinitions[Equipment ID],0))</f>
        <v>Heat</v>
      </c>
      <c r="E201" s="5"/>
      <c r="F201" s="5"/>
      <c r="G201" s="5"/>
      <c r="H201" s="5"/>
      <c r="J201" s="115" t="s">
        <v>157</v>
      </c>
      <c r="K201" s="113">
        <v>1</v>
      </c>
      <c r="L201" s="5" t="s">
        <v>356</v>
      </c>
      <c r="M201" s="5"/>
      <c r="N201" s="5"/>
      <c r="O201" s="220" t="s">
        <v>436</v>
      </c>
      <c r="P201" s="221">
        <f>K202*K201</f>
        <v>22479.484173505276</v>
      </c>
      <c r="Q201" s="6" t="s">
        <v>365</v>
      </c>
      <c r="S201" s="91"/>
      <c r="T201" s="5"/>
      <c r="U201" s="5"/>
      <c r="V201" s="5"/>
      <c r="W201" s="5"/>
      <c r="X201" s="5"/>
      <c r="Y201" s="5"/>
      <c r="Z201" s="5"/>
      <c r="AA201" s="5"/>
      <c r="AB201" s="5"/>
      <c r="AC201" s="5"/>
      <c r="AD201" s="5"/>
      <c r="AE201" s="5"/>
      <c r="AF201" s="51"/>
    </row>
    <row r="202" spans="2:32" ht="12.75" x14ac:dyDescent="0.2">
      <c r="B202" s="16"/>
      <c r="C202" s="283" t="s">
        <v>7</v>
      </c>
      <c r="D202" s="62" t="str">
        <f>INDEX(Tbl_EquipmentDefinitions[Fuel Type],MATCH(D198,Tbl_EquipmentDefinitions[Equipment ID],0))</f>
        <v>Electric</v>
      </c>
      <c r="E202" s="65"/>
      <c r="F202" s="671" t="s">
        <v>273</v>
      </c>
      <c r="G202" s="672"/>
      <c r="H202" s="672"/>
      <c r="J202" s="115" t="s">
        <v>369</v>
      </c>
      <c r="K202" s="221">
        <f>D205*1000000/Btu_per_kWh</f>
        <v>22479.484173505276</v>
      </c>
      <c r="L202" s="5"/>
      <c r="M202" s="5"/>
      <c r="N202" s="5"/>
      <c r="O202" s="155"/>
      <c r="S202" s="91"/>
      <c r="X202" s="5"/>
      <c r="Y202" s="5"/>
      <c r="Z202" s="5"/>
      <c r="AA202" s="5"/>
      <c r="AB202" s="5"/>
      <c r="AC202" s="5"/>
      <c r="AD202" s="5"/>
      <c r="AE202" s="5"/>
      <c r="AF202" s="51"/>
    </row>
    <row r="203" spans="2:32" ht="12.75" x14ac:dyDescent="0.2">
      <c r="B203" s="16"/>
      <c r="C203" s="283" t="s">
        <v>126</v>
      </c>
      <c r="D203" s="64">
        <f>IF(ISERR(SEARCH("+",D202,1)),1,2)</f>
        <v>1</v>
      </c>
      <c r="E203" s="65"/>
      <c r="F203" s="672"/>
      <c r="G203" s="672"/>
      <c r="H203" s="672"/>
      <c r="J203" s="156"/>
      <c r="K203" s="5"/>
      <c r="L203" s="5"/>
      <c r="M203" s="5"/>
      <c r="N203" s="5"/>
      <c r="O203" s="222" t="s">
        <v>368</v>
      </c>
      <c r="P203" s="292">
        <f>P201*PRICE_PER_KWH_2018_ELECTRICITY</f>
        <v>4446.4419695193437</v>
      </c>
      <c r="Q203" s="6" t="s">
        <v>164</v>
      </c>
      <c r="S203" s="92"/>
      <c r="X203" s="5"/>
      <c r="Y203" s="5"/>
      <c r="Z203" s="5"/>
      <c r="AA203" s="5"/>
      <c r="AB203" s="5"/>
      <c r="AC203" s="5"/>
      <c r="AD203" s="5"/>
      <c r="AE203" s="5"/>
      <c r="AF203" s="51"/>
    </row>
    <row r="204" spans="2:32" ht="12.75" x14ac:dyDescent="0.2">
      <c r="B204" s="16"/>
      <c r="C204" s="284"/>
      <c r="D204" s="5"/>
      <c r="E204" s="5"/>
      <c r="F204" s="672"/>
      <c r="G204" s="672"/>
      <c r="H204" s="672"/>
      <c r="J204" s="115" t="s">
        <v>357</v>
      </c>
      <c r="K204" s="5"/>
      <c r="L204" s="90"/>
      <c r="M204" s="567"/>
      <c r="N204" s="567"/>
      <c r="O204" s="155"/>
      <c r="S204" s="5"/>
      <c r="T204" s="5"/>
      <c r="U204" s="5"/>
      <c r="V204" s="5"/>
      <c r="W204" s="5"/>
      <c r="X204" s="5"/>
      <c r="Y204" s="5"/>
      <c r="Z204" s="5"/>
      <c r="AA204" s="5"/>
      <c r="AB204" s="5"/>
      <c r="AC204" s="5"/>
      <c r="AD204" s="5"/>
      <c r="AE204" s="5"/>
      <c r="AF204" s="51"/>
    </row>
    <row r="205" spans="2:32" ht="12.75" x14ac:dyDescent="0.2">
      <c r="B205" s="16"/>
      <c r="C205" s="283" t="s">
        <v>155</v>
      </c>
      <c r="D205" s="62">
        <f>INDEX(Tbl_BaselineSummary[Space Heating Load (MMBtu/yr)],MATCH(D196,Tbl_BaselineSummary[Baseline ID],0))</f>
        <v>76.7</v>
      </c>
      <c r="E205" s="5" t="s">
        <v>156</v>
      </c>
      <c r="F205" s="672"/>
      <c r="G205" s="672"/>
      <c r="H205" s="672"/>
      <c r="J205" s="115" t="s">
        <v>358</v>
      </c>
      <c r="K205" s="44">
        <v>3</v>
      </c>
      <c r="L205" s="129" t="s">
        <v>359</v>
      </c>
      <c r="M205" s="129"/>
      <c r="N205" s="129"/>
      <c r="O205" s="222" t="s">
        <v>174</v>
      </c>
      <c r="P205" s="44">
        <v>0.5</v>
      </c>
      <c r="Q205" s="45" t="s">
        <v>367</v>
      </c>
      <c r="S205" s="5"/>
      <c r="T205" s="5"/>
      <c r="U205" s="5"/>
      <c r="V205" s="5"/>
      <c r="W205" s="5"/>
      <c r="X205" s="5"/>
      <c r="Y205" s="5"/>
      <c r="Z205" s="5"/>
      <c r="AA205" s="5"/>
      <c r="AB205" s="5"/>
      <c r="AC205" s="5"/>
      <c r="AD205" s="5"/>
      <c r="AE205" s="5"/>
      <c r="AF205" s="51"/>
    </row>
    <row r="206" spans="2:32" ht="12.75" x14ac:dyDescent="0.2">
      <c r="B206" s="16"/>
      <c r="C206" s="283" t="s">
        <v>167</v>
      </c>
      <c r="D206" s="62">
        <f>INDEX(Tbl_BaselineSummary[Space Cooling Load (MMBtu/yr)],MATCH(D196,Tbl_BaselineSummary[Baseline ID],0))</f>
        <v>13.072800000000001</v>
      </c>
      <c r="E206" s="5" t="s">
        <v>156</v>
      </c>
      <c r="F206" s="672"/>
      <c r="G206" s="672"/>
      <c r="H206" s="672"/>
      <c r="J206" s="115" t="s">
        <v>360</v>
      </c>
      <c r="K206" s="44">
        <v>10</v>
      </c>
      <c r="L206" s="128" t="s">
        <v>361</v>
      </c>
      <c r="M206" s="128"/>
      <c r="N206" s="128"/>
      <c r="O206" s="155"/>
      <c r="T206" s="5"/>
      <c r="U206" s="5"/>
      <c r="V206" s="5"/>
      <c r="W206" s="5"/>
      <c r="X206" s="5"/>
      <c r="Y206" s="5"/>
      <c r="Z206" s="5"/>
      <c r="AA206" s="5"/>
      <c r="AB206" s="5"/>
      <c r="AC206" s="5"/>
      <c r="AD206" s="5"/>
      <c r="AE206" s="5"/>
      <c r="AF206" s="51"/>
    </row>
    <row r="207" spans="2:32" ht="12.75" x14ac:dyDescent="0.2">
      <c r="B207" s="16"/>
      <c r="C207" s="283" t="s">
        <v>244</v>
      </c>
      <c r="D207" s="62">
        <f>INDEX(Tbl_BaselineSummary[Water Heating Load (MMBtu/yr)],MATCH(D196,Tbl_BaselineSummary[Baseline ID],0))</f>
        <v>8</v>
      </c>
      <c r="E207" s="5" t="s">
        <v>156</v>
      </c>
      <c r="F207" s="672"/>
      <c r="G207" s="672"/>
      <c r="H207" s="672"/>
      <c r="J207" s="115" t="s">
        <v>362</v>
      </c>
      <c r="K207" s="44">
        <v>250</v>
      </c>
      <c r="L207" s="71" t="s">
        <v>363</v>
      </c>
      <c r="M207" s="71"/>
      <c r="N207" s="71"/>
      <c r="O207" s="222" t="s">
        <v>366</v>
      </c>
      <c r="P207" s="56">
        <f>P205*K208</f>
        <v>3.75</v>
      </c>
      <c r="Q207" s="6" t="s">
        <v>176</v>
      </c>
      <c r="S207" s="5"/>
      <c r="T207" s="5"/>
      <c r="U207" s="5"/>
      <c r="V207" s="5"/>
      <c r="W207" s="5"/>
      <c r="X207" s="5"/>
      <c r="Y207" s="5"/>
      <c r="Z207" s="5"/>
      <c r="AA207" s="5"/>
      <c r="AB207" s="5"/>
      <c r="AC207" s="5"/>
      <c r="AD207" s="5"/>
      <c r="AE207" s="5"/>
      <c r="AF207" s="51"/>
    </row>
    <row r="208" spans="2:32" ht="12.75" x14ac:dyDescent="0.2">
      <c r="B208" s="16"/>
      <c r="C208" s="284"/>
      <c r="D208" s="5"/>
      <c r="E208" s="5"/>
      <c r="F208" s="5"/>
      <c r="G208" s="5"/>
      <c r="H208" s="5"/>
      <c r="J208" s="115" t="s">
        <v>364</v>
      </c>
      <c r="K208" s="56">
        <f>K205*K206*K207/1000</f>
        <v>7.5</v>
      </c>
      <c r="L208" s="5" t="s">
        <v>176</v>
      </c>
      <c r="M208" s="5"/>
      <c r="N208" s="5"/>
      <c r="S208" s="5"/>
      <c r="T208" s="5"/>
      <c r="U208" s="5"/>
      <c r="V208" s="5"/>
      <c r="W208" s="5"/>
      <c r="X208" s="5"/>
      <c r="Y208" s="5"/>
      <c r="Z208" s="5"/>
      <c r="AA208" s="5"/>
      <c r="AB208" s="5"/>
      <c r="AC208" s="5"/>
      <c r="AD208" s="5"/>
      <c r="AE208" s="5"/>
      <c r="AF208" s="51"/>
    </row>
    <row r="209" spans="2:32" ht="12.75" x14ac:dyDescent="0.2">
      <c r="B209" s="16"/>
      <c r="C209" s="283" t="s">
        <v>635</v>
      </c>
      <c r="D209" s="62">
        <f>INDEX(Tbl_EquipmentDefinitions[New Unit Equipment Life (years)],MATCH('Baseline Calculations'!D198,Tbl_EquipmentDefinitions[Equipment ID],0))</f>
        <v>15</v>
      </c>
      <c r="E209" s="188" t="s">
        <v>376</v>
      </c>
      <c r="F209" s="5"/>
      <c r="G209" s="5"/>
      <c r="H209" s="5"/>
      <c r="J209" s="234"/>
      <c r="O209" s="6" t="s">
        <v>727</v>
      </c>
      <c r="P209" s="293">
        <f>K205*(110+75)</f>
        <v>555</v>
      </c>
      <c r="Q209" s="45" t="s">
        <v>728</v>
      </c>
      <c r="S209" s="5"/>
      <c r="T209" s="5"/>
      <c r="U209" s="5"/>
      <c r="V209" s="5"/>
      <c r="W209" s="5"/>
      <c r="X209" s="5"/>
      <c r="Y209" s="5"/>
      <c r="Z209" s="5"/>
      <c r="AA209" s="5"/>
      <c r="AB209" s="5"/>
      <c r="AC209" s="5"/>
      <c r="AD209" s="5"/>
      <c r="AE209" s="5"/>
      <c r="AF209" s="51"/>
    </row>
    <row r="210" spans="2:32" ht="12.75" x14ac:dyDescent="0.2">
      <c r="B210" s="16"/>
      <c r="C210" s="283" t="s">
        <v>636</v>
      </c>
      <c r="D210" s="62">
        <f>INDEX(Tbl_EquipmentDefinitions[Remaining Life for Early Replacement (years)],MATCH('Baseline Calculations'!D198,Tbl_EquipmentDefinitions[Equipment ID],0))</f>
        <v>5</v>
      </c>
      <c r="E210" s="188" t="s">
        <v>376</v>
      </c>
      <c r="F210" s="5"/>
      <c r="G210" s="5"/>
      <c r="H210" s="5"/>
      <c r="J210" s="234"/>
      <c r="S210" s="5"/>
      <c r="T210" s="5"/>
      <c r="U210" s="5"/>
      <c r="V210" s="5"/>
      <c r="W210" s="5"/>
      <c r="X210" s="5"/>
      <c r="Y210" s="5"/>
      <c r="Z210" s="5"/>
      <c r="AA210" s="5"/>
      <c r="AB210" s="5"/>
      <c r="AC210" s="5"/>
      <c r="AD210" s="5"/>
      <c r="AE210" s="5"/>
      <c r="AF210" s="51"/>
    </row>
    <row r="211" spans="2:32" ht="12.75" x14ac:dyDescent="0.2">
      <c r="B211" s="16"/>
      <c r="C211" s="377"/>
      <c r="D211" s="188"/>
      <c r="E211" s="188"/>
      <c r="F211" s="5"/>
      <c r="G211" s="5"/>
      <c r="H211" s="5"/>
      <c r="J211" s="234"/>
      <c r="S211" s="5"/>
      <c r="T211" s="5"/>
      <c r="U211" s="5"/>
      <c r="V211" s="5"/>
      <c r="W211" s="5"/>
      <c r="X211" s="5"/>
      <c r="Y211" s="5"/>
      <c r="Z211" s="5"/>
      <c r="AA211" s="5"/>
      <c r="AB211" s="5"/>
      <c r="AC211" s="5"/>
      <c r="AD211" s="5"/>
      <c r="AE211" s="5"/>
      <c r="AF211" s="51"/>
    </row>
    <row r="212" spans="2:32" ht="12.75" x14ac:dyDescent="0.2">
      <c r="B212" s="16"/>
      <c r="C212" s="377"/>
      <c r="D212" s="188"/>
      <c r="E212" s="188"/>
      <c r="F212" s="5"/>
      <c r="G212" s="5"/>
      <c r="H212" s="5"/>
      <c r="J212" s="234"/>
      <c r="S212" s="5"/>
      <c r="T212" s="5"/>
      <c r="U212" s="5"/>
      <c r="V212" s="5"/>
      <c r="W212" s="5"/>
      <c r="X212" s="5"/>
      <c r="Y212" s="5"/>
      <c r="Z212" s="5"/>
      <c r="AA212" s="5"/>
      <c r="AB212" s="5"/>
      <c r="AC212" s="5"/>
      <c r="AD212" s="5"/>
      <c r="AE212" s="5"/>
      <c r="AF212" s="51"/>
    </row>
    <row r="213" spans="2:32" ht="12.75" x14ac:dyDescent="0.2">
      <c r="B213" s="16"/>
      <c r="C213" s="377"/>
      <c r="D213" s="188"/>
      <c r="E213" s="188"/>
      <c r="F213" s="5"/>
      <c r="G213" s="5"/>
      <c r="H213" s="5"/>
      <c r="J213" s="234"/>
      <c r="S213" s="5"/>
      <c r="T213" s="5"/>
      <c r="U213" s="5"/>
      <c r="V213" s="5"/>
      <c r="W213" s="5"/>
      <c r="X213" s="5"/>
      <c r="Y213" s="5"/>
      <c r="Z213" s="5"/>
      <c r="AA213" s="5"/>
      <c r="AB213" s="5"/>
      <c r="AC213" s="5"/>
      <c r="AD213" s="5"/>
      <c r="AE213" s="5"/>
      <c r="AF213" s="51"/>
    </row>
    <row r="214" spans="2:32" x14ac:dyDescent="0.2">
      <c r="B214" s="16"/>
      <c r="C214" s="58"/>
      <c r="D214" s="59"/>
      <c r="E214" s="59"/>
      <c r="F214" s="59"/>
      <c r="G214" s="59"/>
      <c r="H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60"/>
    </row>
    <row r="215" spans="2:32" x14ac:dyDescent="0.2">
      <c r="B215" s="16"/>
    </row>
    <row r="216" spans="2:32" ht="15.75" thickBot="1" x14ac:dyDescent="0.25">
      <c r="B216" s="16"/>
      <c r="C216" s="74" t="s">
        <v>270</v>
      </c>
      <c r="D216" s="75"/>
      <c r="E216" s="75"/>
      <c r="F216" s="75"/>
      <c r="G216" s="75"/>
      <c r="H216" s="75"/>
      <c r="J216" s="75" t="s">
        <v>271</v>
      </c>
      <c r="K216" s="75"/>
      <c r="L216" s="48"/>
      <c r="M216" s="48"/>
      <c r="N216" s="48"/>
      <c r="O216" s="48"/>
      <c r="P216" s="48"/>
      <c r="Q216" s="48"/>
      <c r="R216" s="48"/>
      <c r="S216" s="48"/>
      <c r="T216" s="48"/>
      <c r="U216" s="48"/>
      <c r="V216" s="48"/>
      <c r="W216" s="48"/>
      <c r="X216" s="48"/>
      <c r="Y216" s="48"/>
      <c r="Z216" s="48"/>
      <c r="AA216" s="48"/>
      <c r="AB216" s="48"/>
      <c r="AC216" s="48"/>
      <c r="AD216" s="48"/>
      <c r="AE216" s="48"/>
      <c r="AF216" s="49"/>
    </row>
    <row r="217" spans="2:32" ht="3.75" customHeight="1" x14ac:dyDescent="0.2">
      <c r="B217" s="16"/>
      <c r="C217" s="50"/>
      <c r="D217" s="5"/>
      <c r="E217" s="5"/>
      <c r="F217" s="5"/>
      <c r="G217" s="5"/>
      <c r="H217" s="5"/>
      <c r="J217" s="5"/>
      <c r="K217" s="5"/>
      <c r="L217" s="5"/>
      <c r="M217" s="5"/>
      <c r="N217" s="5"/>
      <c r="O217" s="5"/>
      <c r="P217" s="5"/>
      <c r="Q217" s="5"/>
      <c r="R217" s="5"/>
      <c r="S217" s="5"/>
      <c r="T217" s="5"/>
      <c r="U217" s="5"/>
      <c r="V217" s="5"/>
      <c r="W217" s="5"/>
      <c r="X217" s="5"/>
      <c r="Y217" s="5"/>
      <c r="Z217" s="5"/>
      <c r="AA217" s="5"/>
      <c r="AB217" s="5"/>
      <c r="AC217" s="5"/>
      <c r="AD217" s="5"/>
      <c r="AE217" s="5"/>
      <c r="AF217" s="51"/>
    </row>
    <row r="218" spans="2:32" ht="34.5" thickBot="1" x14ac:dyDescent="0.25">
      <c r="B218" s="16"/>
      <c r="C218" s="76" t="s">
        <v>249</v>
      </c>
      <c r="D218" s="81" t="s">
        <v>234</v>
      </c>
      <c r="E218" s="71"/>
      <c r="F218" s="66" t="s">
        <v>260</v>
      </c>
      <c r="G218" s="66" t="s">
        <v>5</v>
      </c>
      <c r="H218" s="66" t="s">
        <v>6</v>
      </c>
      <c r="J218" s="66" t="s">
        <v>127</v>
      </c>
      <c r="K218" s="72" t="s">
        <v>261</v>
      </c>
      <c r="L218" s="72" t="s">
        <v>262</v>
      </c>
      <c r="M218" s="72" t="s">
        <v>1455</v>
      </c>
      <c r="N218" s="72" t="s">
        <v>1456</v>
      </c>
      <c r="O218" s="72" t="s">
        <v>963</v>
      </c>
      <c r="P218" s="72" t="s">
        <v>974</v>
      </c>
      <c r="Q218" s="72" t="s">
        <v>263</v>
      </c>
      <c r="R218" s="72" t="s">
        <v>264</v>
      </c>
      <c r="S218" s="72" t="s">
        <v>265</v>
      </c>
      <c r="T218" s="72" t="s">
        <v>280</v>
      </c>
      <c r="U218" s="72" t="s">
        <v>200</v>
      </c>
      <c r="V218" s="72" t="s">
        <v>753</v>
      </c>
      <c r="W218" s="72" t="s">
        <v>634</v>
      </c>
      <c r="X218" s="72" t="s">
        <v>754</v>
      </c>
      <c r="Y218" s="72" t="s">
        <v>266</v>
      </c>
      <c r="Z218" s="72" t="s">
        <v>1457</v>
      </c>
      <c r="AA218" s="72" t="s">
        <v>1458</v>
      </c>
      <c r="AB218" s="72" t="s">
        <v>964</v>
      </c>
      <c r="AC218" s="72" t="s">
        <v>975</v>
      </c>
      <c r="AD218" s="72" t="s">
        <v>267</v>
      </c>
      <c r="AE218" s="72" t="s">
        <v>268</v>
      </c>
      <c r="AF218" s="77" t="s">
        <v>269</v>
      </c>
    </row>
    <row r="219" spans="2:32" x14ac:dyDescent="0.2">
      <c r="B219" s="16"/>
      <c r="C219" s="61"/>
      <c r="D219" s="5"/>
      <c r="E219" s="5"/>
      <c r="F219" s="63" t="s">
        <v>178</v>
      </c>
      <c r="G219" s="67" t="str">
        <f>INDEX(Tbl_EquipmentDefinitions[Electricity Baseline Efficiency],MATCH(D220,Tbl_EquipmentDefinitions[Equipment ID],0))</f>
        <v>-</v>
      </c>
      <c r="H219" s="68" t="str">
        <f>INDEX(Tbl_EquipmentDefinitions[Electricity Code Efficiency],MATCH(D220,Tbl_EquipmentDefinitions[Equipment ID],0))</f>
        <v>-</v>
      </c>
      <c r="J219" s="63" t="str">
        <f>D218</f>
        <v>BASE08</v>
      </c>
      <c r="K219" s="148">
        <f>K229</f>
        <v>416.26168673540514</v>
      </c>
      <c r="L219" s="285">
        <f>P223</f>
        <v>0</v>
      </c>
      <c r="M219" s="285" t="s">
        <v>1449</v>
      </c>
      <c r="N219" s="285" t="s">
        <v>1449</v>
      </c>
      <c r="O219" s="117">
        <v>0</v>
      </c>
      <c r="P219" s="117">
        <v>0</v>
      </c>
      <c r="Q219" s="286">
        <v>0</v>
      </c>
      <c r="R219" s="286">
        <v>0</v>
      </c>
      <c r="S219" s="286">
        <f>K226</f>
        <v>18.533333333333335</v>
      </c>
      <c r="T219" s="148">
        <f>K230</f>
        <v>371.66222029946886</v>
      </c>
      <c r="U219" s="148">
        <f>P225</f>
        <v>600</v>
      </c>
      <c r="V219" s="148">
        <v>0</v>
      </c>
      <c r="W219" s="148">
        <f>((PV(DiscountRate, (D231-D232),PMT(DiscountRate, D231, U219))/(1+DiscountRate)^(D232)))</f>
        <v>350.93874836025759</v>
      </c>
      <c r="X219" s="148">
        <f>((PV(DiscountRate, (D231-D232),PMT(DiscountRate, D231, V219))/(1+DiscountRate)^(D232)))</f>
        <v>0</v>
      </c>
      <c r="Y219" s="285">
        <v>0</v>
      </c>
      <c r="Z219" s="285" t="s">
        <v>1449</v>
      </c>
      <c r="AA219" s="285" t="s">
        <v>1449</v>
      </c>
      <c r="AB219" s="117">
        <v>0</v>
      </c>
      <c r="AC219" s="117">
        <v>0</v>
      </c>
      <c r="AD219" s="286">
        <v>0</v>
      </c>
      <c r="AE219" s="286">
        <v>0</v>
      </c>
      <c r="AF219" s="287">
        <f>K227</f>
        <v>16.547619047619047</v>
      </c>
    </row>
    <row r="220" spans="2:32" x14ac:dyDescent="0.2">
      <c r="B220" s="16"/>
      <c r="C220" s="283" t="s">
        <v>2</v>
      </c>
      <c r="D220" s="62" t="str">
        <f>INDEX(Tbl_BaselineSummary[Equipment ID],MATCH(D218,Tbl_BaselineSummary[Baseline ID],0))</f>
        <v>EQUI014</v>
      </c>
      <c r="E220" s="5"/>
      <c r="F220" s="63" t="s">
        <v>55</v>
      </c>
      <c r="G220" s="68" t="str">
        <f>INDEX(Tbl_EquipmentDefinitions[Natural Gas Baseline Efficiency],MATCH(D220,Tbl_EquipmentDefinitions[Equipment ID],0))</f>
        <v>-</v>
      </c>
      <c r="H220" s="69" t="str">
        <f>INDEX(Tbl_EquipmentDefinitions[Natural Gas Code Efficiency],MATCH(D220,Tbl_EquipmentDefinitions[Equipment ID],0))</f>
        <v>-</v>
      </c>
      <c r="J220" s="5"/>
      <c r="K220" s="5"/>
      <c r="L220" s="5"/>
      <c r="M220" s="5"/>
      <c r="N220" s="5"/>
      <c r="O220" s="5"/>
      <c r="P220" s="5"/>
      <c r="Q220" s="5"/>
      <c r="R220" s="5"/>
      <c r="S220" s="5"/>
      <c r="T220" s="5"/>
      <c r="U220" s="5"/>
      <c r="V220" s="5"/>
      <c r="W220" s="5"/>
      <c r="X220" s="5"/>
      <c r="Y220" s="5"/>
      <c r="Z220" s="5"/>
      <c r="AA220" s="5"/>
      <c r="AB220" s="5"/>
      <c r="AC220" s="5"/>
      <c r="AD220" s="5"/>
      <c r="AE220" s="5"/>
      <c r="AF220" s="51"/>
    </row>
    <row r="221" spans="2:32" ht="12.75" x14ac:dyDescent="0.2">
      <c r="B221" s="16"/>
      <c r="C221" s="283" t="s">
        <v>4</v>
      </c>
      <c r="D221" s="64" t="str">
        <f>INDEX(Tbl_EquipmentDefinitions[Equipment Name],MATCH(D220,Tbl_EquipmentDefinitions[Equipment ID],0))</f>
        <v>Tankless Coil WH</v>
      </c>
      <c r="E221" s="5"/>
      <c r="F221" s="63" t="s">
        <v>28</v>
      </c>
      <c r="G221" s="70" t="str">
        <f>INDEX(Tbl_EquipmentDefinitions[Propane Baseline Efficiency],MATCH(D220,Tbl_EquipmentDefinitions[Equipment ID],0))</f>
        <v>-</v>
      </c>
      <c r="H221" s="68" t="str">
        <f>INDEX(Tbl_EquipmentDefinitions[Propane Code Efficiency],MATCH(D220,Tbl_EquipmentDefinitions[Equipment ID],0))</f>
        <v>-</v>
      </c>
      <c r="J221" s="78" t="s">
        <v>272</v>
      </c>
      <c r="K221" s="78"/>
      <c r="L221" s="5"/>
      <c r="M221" s="5"/>
      <c r="N221" s="5"/>
      <c r="S221" s="5"/>
      <c r="T221" s="5"/>
      <c r="U221" s="5"/>
      <c r="V221" s="5"/>
      <c r="W221" s="5"/>
      <c r="X221" s="5"/>
      <c r="Y221" s="5"/>
      <c r="Z221" s="5"/>
      <c r="AA221" s="5"/>
      <c r="AB221" s="5"/>
      <c r="AC221" s="5"/>
      <c r="AD221" s="5"/>
      <c r="AE221" s="5"/>
      <c r="AF221" s="51"/>
    </row>
    <row r="222" spans="2:32" x14ac:dyDescent="0.2">
      <c r="B222" s="16"/>
      <c r="C222" s="283" t="s">
        <v>125</v>
      </c>
      <c r="D222" s="62" t="str">
        <f>INDEX(Tbl_EquipmentDefinitions[Equipment Level],MATCH(D220,Tbl_EquipmentDefinitions[Equipment ID],0))</f>
        <v>Primary</v>
      </c>
      <c r="E222" s="5"/>
      <c r="F222" s="63" t="s">
        <v>27</v>
      </c>
      <c r="G222" s="68" t="str">
        <f>INDEX(Tbl_EquipmentDefinitions[Oil Baseline Efficiency],MATCH(D220,Tbl_EquipmentDefinitions[Equipment ID],0))</f>
        <v>75% AFUE</v>
      </c>
      <c r="H222" s="70" t="str">
        <f>INDEX(Tbl_EquipmentDefinitions[Oil Code Efficiency],MATCH(D220,Tbl_EquipmentDefinitions[Equipment ID],0))</f>
        <v>84% AFUE</v>
      </c>
      <c r="J222" s="5"/>
      <c r="K222" s="5"/>
      <c r="L222" s="5"/>
      <c r="M222" s="5"/>
      <c r="N222" s="5"/>
      <c r="S222" s="5"/>
      <c r="T222" s="5"/>
      <c r="U222" s="5"/>
      <c r="V222" s="5"/>
      <c r="W222" s="5"/>
      <c r="X222" s="5"/>
      <c r="Y222" s="5"/>
      <c r="Z222" s="5"/>
      <c r="AA222" s="5"/>
      <c r="AB222" s="5"/>
      <c r="AC222" s="5"/>
      <c r="AD222" s="5"/>
      <c r="AE222" s="5"/>
      <c r="AF222" s="51"/>
    </row>
    <row r="223" spans="2:32" ht="13.35" customHeight="1" x14ac:dyDescent="0.2">
      <c r="B223" s="16"/>
      <c r="C223" s="283" t="s">
        <v>24</v>
      </c>
      <c r="D223" s="64" t="str">
        <f>INDEX(Tbl_EquipmentDefinitions[Function],MATCH(D220,Tbl_EquipmentDefinitions[Equipment ID],0))</f>
        <v>HW</v>
      </c>
      <c r="E223" s="5"/>
      <c r="F223" s="5"/>
      <c r="G223" s="5"/>
      <c r="H223" s="5"/>
      <c r="J223" s="115" t="s">
        <v>157</v>
      </c>
      <c r="K223" s="211">
        <v>0.75</v>
      </c>
      <c r="L223" s="5" t="s">
        <v>158</v>
      </c>
      <c r="M223" s="5"/>
      <c r="N223" s="5"/>
      <c r="O223" s="53" t="s">
        <v>251</v>
      </c>
      <c r="P223" s="54">
        <v>0</v>
      </c>
      <c r="Q223" s="5" t="s">
        <v>354</v>
      </c>
      <c r="W223" s="5"/>
      <c r="X223" s="5"/>
      <c r="Y223" s="5"/>
      <c r="Z223" s="5"/>
      <c r="AA223" s="5"/>
      <c r="AB223" s="5"/>
      <c r="AC223" s="5"/>
      <c r="AD223" s="5"/>
      <c r="AE223" s="5"/>
      <c r="AF223" s="51"/>
    </row>
    <row r="224" spans="2:32" ht="12.75" x14ac:dyDescent="0.2">
      <c r="B224" s="16"/>
      <c r="C224" s="283" t="s">
        <v>7</v>
      </c>
      <c r="D224" s="62" t="str">
        <f>INDEX(Tbl_EquipmentDefinitions[Fuel Type],MATCH(D220,Tbl_EquipmentDefinitions[Equipment ID],0))</f>
        <v>Oil</v>
      </c>
      <c r="E224" s="65"/>
      <c r="F224" s="671" t="s">
        <v>273</v>
      </c>
      <c r="G224" s="672"/>
      <c r="H224" s="672"/>
      <c r="J224" s="115" t="s">
        <v>159</v>
      </c>
      <c r="K224" s="211">
        <v>0.84</v>
      </c>
      <c r="L224" s="5" t="s">
        <v>158</v>
      </c>
      <c r="M224" s="5"/>
      <c r="N224" s="5"/>
      <c r="O224" s="5"/>
      <c r="P224" s="5"/>
      <c r="Q224" s="5"/>
      <c r="W224" s="5"/>
      <c r="X224" s="5"/>
      <c r="Y224" s="5"/>
      <c r="Z224" s="5"/>
      <c r="AA224" s="5"/>
      <c r="AB224" s="5"/>
      <c r="AC224" s="5"/>
      <c r="AD224" s="5"/>
      <c r="AE224" s="5"/>
      <c r="AF224" s="51"/>
    </row>
    <row r="225" spans="1:32" ht="12.75" x14ac:dyDescent="0.2">
      <c r="B225" s="16"/>
      <c r="C225" s="283" t="s">
        <v>126</v>
      </c>
      <c r="D225" s="64">
        <f>IF(ISERR(SEARCH("+",D224,1)),1,2)</f>
        <v>1</v>
      </c>
      <c r="E225" s="65"/>
      <c r="F225" s="672"/>
      <c r="G225" s="672"/>
      <c r="H225" s="672"/>
      <c r="J225" s="73"/>
      <c r="K225" s="5"/>
      <c r="L225" s="5"/>
      <c r="M225" s="5"/>
      <c r="N225" s="5"/>
      <c r="O225" s="53" t="s">
        <v>736</v>
      </c>
      <c r="P225" s="138">
        <v>600</v>
      </c>
      <c r="Q225" s="5" t="s">
        <v>737</v>
      </c>
      <c r="W225" s="5"/>
      <c r="X225" s="5"/>
      <c r="Y225" s="5"/>
      <c r="Z225" s="5"/>
      <c r="AA225" s="5"/>
      <c r="AB225" s="5"/>
      <c r="AC225" s="5"/>
      <c r="AD225" s="5"/>
      <c r="AE225" s="5"/>
      <c r="AF225" s="51"/>
    </row>
    <row r="226" spans="1:32" ht="12.75" x14ac:dyDescent="0.2">
      <c r="B226" s="16"/>
      <c r="C226" s="284"/>
      <c r="D226" s="5"/>
      <c r="E226" s="5"/>
      <c r="F226" s="672"/>
      <c r="G226" s="672"/>
      <c r="H226" s="672"/>
      <c r="J226" s="115" t="s">
        <v>353</v>
      </c>
      <c r="K226" s="56">
        <f>$D$229/K223</f>
        <v>18.533333333333335</v>
      </c>
      <c r="L226" s="5" t="s">
        <v>156</v>
      </c>
      <c r="M226" s="5"/>
      <c r="N226" s="5"/>
      <c r="O226" s="5"/>
      <c r="P226" s="5"/>
      <c r="Q226" s="5"/>
      <c r="R226" s="5"/>
      <c r="W226" s="5"/>
      <c r="X226" s="5"/>
      <c r="Y226" s="5"/>
      <c r="Z226" s="5"/>
      <c r="AA226" s="5"/>
      <c r="AB226" s="5"/>
      <c r="AC226" s="5"/>
      <c r="AD226" s="5"/>
      <c r="AE226" s="5"/>
      <c r="AF226" s="51"/>
    </row>
    <row r="227" spans="1:32" ht="12.75" x14ac:dyDescent="0.2">
      <c r="B227" s="16"/>
      <c r="C227" s="283" t="s">
        <v>155</v>
      </c>
      <c r="D227" s="62">
        <f>INDEX(Tbl_BaselineSummary[Space Heating Load (MMBtu/yr)],MATCH(D218,Tbl_BaselineSummary[Baseline ID],0))</f>
        <v>76.7</v>
      </c>
      <c r="E227" s="5" t="s">
        <v>156</v>
      </c>
      <c r="F227" s="672"/>
      <c r="G227" s="672"/>
      <c r="H227" s="672"/>
      <c r="J227" s="115" t="s">
        <v>385</v>
      </c>
      <c r="K227" s="56">
        <f>$D$229/K224</f>
        <v>16.547619047619047</v>
      </c>
      <c r="L227" s="5" t="s">
        <v>156</v>
      </c>
      <c r="M227" s="5"/>
      <c r="N227" s="5"/>
      <c r="O227" s="5"/>
      <c r="P227" s="5"/>
      <c r="Q227" s="5"/>
      <c r="R227" s="5"/>
      <c r="W227" s="5"/>
      <c r="X227" s="5"/>
      <c r="Y227" s="5"/>
      <c r="Z227" s="5"/>
      <c r="AA227" s="5"/>
      <c r="AB227" s="5"/>
      <c r="AC227" s="5"/>
      <c r="AD227" s="5"/>
      <c r="AE227" s="5"/>
      <c r="AF227" s="51"/>
    </row>
    <row r="228" spans="1:32" x14ac:dyDescent="0.2">
      <c r="B228" s="16"/>
      <c r="C228" s="283" t="s">
        <v>167</v>
      </c>
      <c r="D228" s="62">
        <f>INDEX(Tbl_BaselineSummary[Space Cooling Load (MMBtu/yr)],MATCH(D218,Tbl_BaselineSummary[Baseline ID],0))</f>
        <v>13.072800000000001</v>
      </c>
      <c r="E228" s="5" t="s">
        <v>156</v>
      </c>
      <c r="F228" s="672"/>
      <c r="G228" s="672"/>
      <c r="H228" s="672"/>
      <c r="O228" s="5"/>
      <c r="P228" s="5"/>
      <c r="Q228" s="5"/>
      <c r="R228" s="5"/>
      <c r="T228" s="5"/>
      <c r="U228" s="5"/>
      <c r="V228" s="5"/>
      <c r="W228" s="5"/>
      <c r="X228" s="5"/>
      <c r="Y228" s="5"/>
      <c r="Z228" s="5"/>
      <c r="AA228" s="5"/>
      <c r="AB228" s="5"/>
      <c r="AC228" s="5"/>
      <c r="AD228" s="5"/>
      <c r="AE228" s="5"/>
      <c r="AF228" s="51"/>
    </row>
    <row r="229" spans="1:32" ht="12.75" x14ac:dyDescent="0.2">
      <c r="B229" s="16"/>
      <c r="C229" s="283" t="s">
        <v>244</v>
      </c>
      <c r="D229" s="112">
        <f>INDEX(Tbl_BaselineSummary[Water Heating Load (MMBtu/yr)],MATCH(D218,Tbl_BaselineSummary[Baseline ID],0))</f>
        <v>13.9</v>
      </c>
      <c r="E229" s="5" t="s">
        <v>156</v>
      </c>
      <c r="F229" s="672"/>
      <c r="G229" s="672"/>
      <c r="H229" s="672"/>
      <c r="J229" s="115" t="s">
        <v>253</v>
      </c>
      <c r="K229" s="292">
        <f>K226*PRICE_PER_MMBTU_2018_OIL</f>
        <v>416.26168673540514</v>
      </c>
      <c r="L229" s="5" t="s">
        <v>164</v>
      </c>
      <c r="M229" s="5"/>
      <c r="N229" s="5"/>
      <c r="O229" s="5"/>
      <c r="P229" s="5"/>
      <c r="Q229" s="5"/>
      <c r="R229" s="5"/>
      <c r="S229" s="5"/>
      <c r="T229" s="5"/>
      <c r="U229" s="5"/>
      <c r="V229" s="5"/>
      <c r="W229" s="5"/>
      <c r="X229" s="5"/>
      <c r="Y229" s="5"/>
      <c r="Z229" s="5"/>
      <c r="AA229" s="5"/>
      <c r="AB229" s="5"/>
      <c r="AC229" s="5"/>
      <c r="AD229" s="5"/>
      <c r="AE229" s="5"/>
      <c r="AF229" s="51"/>
    </row>
    <row r="230" spans="1:32" ht="12.75" x14ac:dyDescent="0.2">
      <c r="B230" s="16"/>
      <c r="C230" s="284"/>
      <c r="D230" s="5"/>
      <c r="E230" s="5"/>
      <c r="F230" s="5"/>
      <c r="G230" s="5"/>
      <c r="H230" s="5"/>
      <c r="J230" s="115" t="s">
        <v>254</v>
      </c>
      <c r="K230" s="292">
        <f>K227*PRICE_PER_MMBTU_2018_OIL</f>
        <v>371.66222029946886</v>
      </c>
      <c r="L230" s="5" t="s">
        <v>164</v>
      </c>
      <c r="M230" s="5"/>
      <c r="N230" s="5"/>
      <c r="O230" s="5"/>
      <c r="P230" s="5"/>
      <c r="Q230" s="5"/>
      <c r="R230" s="5"/>
      <c r="S230" s="5"/>
      <c r="T230" s="5"/>
      <c r="U230" s="5"/>
      <c r="V230" s="5"/>
      <c r="W230" s="5"/>
      <c r="X230" s="5"/>
      <c r="Y230" s="5"/>
      <c r="Z230" s="5"/>
      <c r="AA230" s="5"/>
      <c r="AB230" s="5"/>
      <c r="AC230" s="5"/>
      <c r="AD230" s="5"/>
      <c r="AE230" s="5"/>
      <c r="AF230" s="51"/>
    </row>
    <row r="231" spans="1:32" x14ac:dyDescent="0.2">
      <c r="B231" s="16"/>
      <c r="C231" s="283" t="s">
        <v>635</v>
      </c>
      <c r="D231" s="62">
        <f>INDEX(Tbl_EquipmentDefinitions[New Unit Equipment Life (years)],MATCH('Baseline Calculations'!D220,Tbl_EquipmentDefinitions[Equipment ID],0))</f>
        <v>20</v>
      </c>
      <c r="E231" s="188" t="s">
        <v>376</v>
      </c>
      <c r="F231" s="5"/>
      <c r="G231" s="5"/>
      <c r="H231" s="5"/>
      <c r="K231" s="226"/>
      <c r="O231" s="5"/>
      <c r="P231" s="5"/>
      <c r="Q231" s="5"/>
      <c r="R231" s="5"/>
      <c r="T231" s="5"/>
      <c r="U231" s="5"/>
      <c r="V231" s="5"/>
      <c r="W231" s="5"/>
      <c r="X231" s="5"/>
      <c r="Y231" s="5"/>
      <c r="Z231" s="5"/>
      <c r="AA231" s="5"/>
      <c r="AB231" s="5"/>
      <c r="AC231" s="5"/>
      <c r="AD231" s="5"/>
      <c r="AE231" s="5"/>
      <c r="AF231" s="51"/>
    </row>
    <row r="232" spans="1:32" x14ac:dyDescent="0.2">
      <c r="B232" s="16"/>
      <c r="C232" s="283" t="s">
        <v>636</v>
      </c>
      <c r="D232" s="62">
        <f>INDEX(Tbl_EquipmentDefinitions[Remaining Life for Early Replacement (years)],MATCH('Baseline Calculations'!D220,Tbl_EquipmentDefinitions[Equipment ID],0))</f>
        <v>7</v>
      </c>
      <c r="E232" s="188" t="s">
        <v>376</v>
      </c>
      <c r="F232" s="5"/>
      <c r="G232" s="5"/>
      <c r="H232" s="5"/>
      <c r="O232" s="5"/>
      <c r="P232" s="5"/>
      <c r="Q232" s="5"/>
      <c r="R232" s="5"/>
      <c r="T232" s="5"/>
      <c r="U232" s="5"/>
      <c r="V232" s="5"/>
      <c r="W232" s="5"/>
      <c r="X232" s="5"/>
      <c r="Y232" s="5"/>
      <c r="Z232" s="5"/>
      <c r="AA232" s="5"/>
      <c r="AB232" s="5"/>
      <c r="AC232" s="5"/>
      <c r="AD232" s="5"/>
      <c r="AE232" s="5"/>
      <c r="AF232" s="51"/>
    </row>
    <row r="233" spans="1:32" x14ac:dyDescent="0.2">
      <c r="A233" s="137"/>
      <c r="B233" s="16"/>
      <c r="C233" s="58"/>
      <c r="D233" s="59"/>
      <c r="E233" s="59"/>
      <c r="F233" s="59"/>
      <c r="G233" s="59"/>
      <c r="H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60"/>
    </row>
    <row r="234" spans="1:32" x14ac:dyDescent="0.2">
      <c r="B234" s="16"/>
    </row>
    <row r="235" spans="1:32" ht="15.75" thickBot="1" x14ac:dyDescent="0.25">
      <c r="B235" s="16"/>
      <c r="C235" s="74" t="s">
        <v>270</v>
      </c>
      <c r="D235" s="75"/>
      <c r="E235" s="75"/>
      <c r="F235" s="75"/>
      <c r="G235" s="75"/>
      <c r="H235" s="75"/>
      <c r="J235" s="75" t="s">
        <v>271</v>
      </c>
      <c r="K235" s="75"/>
      <c r="L235" s="48"/>
      <c r="M235" s="48"/>
      <c r="N235" s="48"/>
      <c r="O235" s="48"/>
      <c r="P235" s="48"/>
      <c r="Q235" s="48"/>
      <c r="R235" s="48"/>
      <c r="S235" s="48"/>
      <c r="T235" s="48"/>
      <c r="U235" s="48"/>
      <c r="V235" s="48"/>
      <c r="W235" s="48"/>
      <c r="X235" s="48"/>
      <c r="Y235" s="48"/>
      <c r="Z235" s="48"/>
      <c r="AA235" s="48"/>
      <c r="AB235" s="48"/>
      <c r="AC235" s="48"/>
      <c r="AD235" s="48"/>
      <c r="AE235" s="48"/>
      <c r="AF235" s="49"/>
    </row>
    <row r="236" spans="1:32" ht="3.75" customHeight="1" x14ac:dyDescent="0.2">
      <c r="B236" s="16"/>
      <c r="C236" s="50"/>
      <c r="D236" s="5"/>
      <c r="E236" s="5"/>
      <c r="F236" s="5"/>
      <c r="G236" s="5"/>
      <c r="H236" s="5"/>
      <c r="J236" s="5"/>
      <c r="K236" s="5"/>
      <c r="L236" s="5"/>
      <c r="M236" s="5"/>
      <c r="N236" s="5"/>
      <c r="O236" s="5"/>
      <c r="P236" s="5"/>
      <c r="Q236" s="5"/>
      <c r="R236" s="5"/>
      <c r="S236" s="5"/>
      <c r="T236" s="5"/>
      <c r="U236" s="5"/>
      <c r="V236" s="5"/>
      <c r="W236" s="5"/>
      <c r="X236" s="5"/>
      <c r="Y236" s="5"/>
      <c r="Z236" s="5"/>
      <c r="AA236" s="5"/>
      <c r="AB236" s="5"/>
      <c r="AC236" s="5"/>
      <c r="AD236" s="5"/>
      <c r="AE236" s="5"/>
      <c r="AF236" s="51"/>
    </row>
    <row r="237" spans="1:32" ht="34.5" thickBot="1" x14ac:dyDescent="0.25">
      <c r="B237" s="16"/>
      <c r="C237" s="76" t="s">
        <v>249</v>
      </c>
      <c r="D237" s="81" t="s">
        <v>235</v>
      </c>
      <c r="E237" s="71"/>
      <c r="F237" s="66" t="s">
        <v>260</v>
      </c>
      <c r="G237" s="66" t="s">
        <v>5</v>
      </c>
      <c r="H237" s="66" t="s">
        <v>6</v>
      </c>
      <c r="J237" s="66" t="s">
        <v>127</v>
      </c>
      <c r="K237" s="72" t="s">
        <v>261</v>
      </c>
      <c r="L237" s="72" t="s">
        <v>262</v>
      </c>
      <c r="M237" s="72" t="s">
        <v>1455</v>
      </c>
      <c r="N237" s="72" t="s">
        <v>1456</v>
      </c>
      <c r="O237" s="72" t="s">
        <v>963</v>
      </c>
      <c r="P237" s="72" t="s">
        <v>974</v>
      </c>
      <c r="Q237" s="72" t="s">
        <v>263</v>
      </c>
      <c r="R237" s="72" t="s">
        <v>264</v>
      </c>
      <c r="S237" s="72" t="s">
        <v>265</v>
      </c>
      <c r="T237" s="72" t="s">
        <v>280</v>
      </c>
      <c r="U237" s="72" t="s">
        <v>200</v>
      </c>
      <c r="V237" s="72" t="s">
        <v>753</v>
      </c>
      <c r="W237" s="72" t="s">
        <v>634</v>
      </c>
      <c r="X237" s="72" t="s">
        <v>754</v>
      </c>
      <c r="Y237" s="72" t="s">
        <v>266</v>
      </c>
      <c r="Z237" s="72" t="s">
        <v>1457</v>
      </c>
      <c r="AA237" s="72" t="s">
        <v>1458</v>
      </c>
      <c r="AB237" s="72" t="s">
        <v>964</v>
      </c>
      <c r="AC237" s="72" t="s">
        <v>975</v>
      </c>
      <c r="AD237" s="72" t="s">
        <v>267</v>
      </c>
      <c r="AE237" s="72" t="s">
        <v>268</v>
      </c>
      <c r="AF237" s="77" t="s">
        <v>269</v>
      </c>
    </row>
    <row r="238" spans="1:32" x14ac:dyDescent="0.2">
      <c r="B238" s="16"/>
      <c r="C238" s="61"/>
      <c r="D238" s="5"/>
      <c r="E238" s="5"/>
      <c r="F238" s="63" t="s">
        <v>178</v>
      </c>
      <c r="G238" s="67" t="str">
        <f>INDEX(Tbl_EquipmentDefinitions[Electricity Baseline Efficiency],MATCH(D239,Tbl_EquipmentDefinitions[Equipment ID],0))</f>
        <v>-</v>
      </c>
      <c r="H238" s="68" t="str">
        <f>INDEX(Tbl_EquipmentDefinitions[Electricity Code Efficiency],MATCH(D239,Tbl_EquipmentDefinitions[Equipment ID],0))</f>
        <v>-</v>
      </c>
      <c r="J238" s="63" t="str">
        <f>D237</f>
        <v>BASE09</v>
      </c>
      <c r="K238" s="148">
        <f>K248</f>
        <v>2766.9662989400827</v>
      </c>
      <c r="L238" s="285">
        <f>X242</f>
        <v>230</v>
      </c>
      <c r="M238" s="285" t="s">
        <v>1449</v>
      </c>
      <c r="N238" s="285" t="s">
        <v>1449</v>
      </c>
      <c r="O238" s="117">
        <f>X253</f>
        <v>3.5282837967401733E-2</v>
      </c>
      <c r="P238" s="117">
        <f>AD244</f>
        <v>0</v>
      </c>
      <c r="Q238" s="286">
        <v>0</v>
      </c>
      <c r="R238" s="286">
        <v>0</v>
      </c>
      <c r="S238" s="286">
        <f>K245</f>
        <v>123.19440000000002</v>
      </c>
      <c r="T238" s="148">
        <f>K249</f>
        <v>2470.5056240536455</v>
      </c>
      <c r="U238" s="148">
        <f>SUM(R248:R250)</f>
        <v>10452</v>
      </c>
      <c r="V238" s="148">
        <v>0</v>
      </c>
      <c r="W238" s="148">
        <f>((PV(DiscountRate, (D250-D251),PMT(DiscountRate, D250, U238))/(1+DiscountRate)^(D251)))</f>
        <v>4498.9953369271116</v>
      </c>
      <c r="X238" s="148">
        <f>((PV(DiscountRate, (D250-D251),PMT(DiscountRate, D250, V238))/(1+DiscountRate)^(D251)))</f>
        <v>0</v>
      </c>
      <c r="Y238" s="285">
        <f>X243</f>
        <v>230</v>
      </c>
      <c r="Z238" s="285" t="s">
        <v>1449</v>
      </c>
      <c r="AA238" s="285" t="s">
        <v>1449</v>
      </c>
      <c r="AB238" s="117">
        <f>X254</f>
        <v>3.5282837967401733E-2</v>
      </c>
      <c r="AC238" s="117">
        <f>AD245</f>
        <v>0</v>
      </c>
      <c r="AD238" s="286">
        <v>0</v>
      </c>
      <c r="AE238" s="286">
        <v>0</v>
      </c>
      <c r="AF238" s="287">
        <f>K246</f>
        <v>109.99500000000002</v>
      </c>
    </row>
    <row r="239" spans="1:32" x14ac:dyDescent="0.2">
      <c r="B239" s="16"/>
      <c r="C239" s="283" t="s">
        <v>2</v>
      </c>
      <c r="D239" s="62" t="str">
        <f>INDEX(Tbl_BaselineSummary[Equipment ID],MATCH(D237,Tbl_BaselineSummary[Baseline ID],0))</f>
        <v>EQUI017</v>
      </c>
      <c r="E239" s="5"/>
      <c r="F239" s="63" t="s">
        <v>55</v>
      </c>
      <c r="G239" s="68" t="str">
        <f>INDEX(Tbl_EquipmentDefinitions[Natural Gas Baseline Efficiency],MATCH(D239,Tbl_EquipmentDefinitions[Equipment ID],0))</f>
        <v>-</v>
      </c>
      <c r="H239" s="69" t="str">
        <f>INDEX(Tbl_EquipmentDefinitions[Natural Gas Code Efficiency],MATCH(D239,Tbl_EquipmentDefinitions[Equipment ID],0))</f>
        <v>-</v>
      </c>
      <c r="J239" s="5"/>
      <c r="K239" s="5"/>
      <c r="L239" s="5"/>
      <c r="M239" s="5"/>
      <c r="N239" s="5"/>
      <c r="O239" s="5"/>
      <c r="P239" s="5"/>
      <c r="Q239" s="5"/>
      <c r="R239" s="5"/>
      <c r="S239" s="5"/>
      <c r="T239" s="5"/>
      <c r="U239" s="5"/>
      <c r="V239" s="5"/>
      <c r="W239" s="5"/>
      <c r="X239" s="5"/>
      <c r="Y239" s="5"/>
      <c r="Z239" s="5"/>
      <c r="AA239" s="5"/>
      <c r="AB239" s="5"/>
      <c r="AC239" s="5"/>
      <c r="AD239" s="5"/>
      <c r="AE239" s="5"/>
      <c r="AF239" s="51"/>
    </row>
    <row r="240" spans="1:32" ht="12.75" x14ac:dyDescent="0.2">
      <c r="B240" s="16"/>
      <c r="C240" s="283" t="s">
        <v>4</v>
      </c>
      <c r="D240" s="64" t="str">
        <f>INDEX(Tbl_EquipmentDefinitions[Equipment Name],MATCH(D239,Tbl_EquipmentDefinitions[Equipment ID],0))</f>
        <v>Oil Boiler+Indirect WH</v>
      </c>
      <c r="E240" s="5"/>
      <c r="F240" s="63" t="s">
        <v>28</v>
      </c>
      <c r="G240" s="70" t="str">
        <f>INDEX(Tbl_EquipmentDefinitions[Propane Baseline Efficiency],MATCH(D239,Tbl_EquipmentDefinitions[Equipment ID],0))</f>
        <v>-</v>
      </c>
      <c r="H240" s="68" t="str">
        <f>INDEX(Tbl_EquipmentDefinitions[Propane Code Efficiency],MATCH(D239,Tbl_EquipmentDefinitions[Equipment ID],0))</f>
        <v>-</v>
      </c>
      <c r="J240" s="78" t="s">
        <v>272</v>
      </c>
      <c r="K240" s="78"/>
      <c r="L240" s="5"/>
      <c r="M240" s="5"/>
      <c r="N240" s="5"/>
      <c r="S240" s="5"/>
      <c r="T240" s="5"/>
      <c r="U240" s="5"/>
      <c r="V240" s="5"/>
      <c r="W240" s="5"/>
      <c r="X240" s="5"/>
      <c r="Y240" s="5"/>
      <c r="Z240" s="5"/>
      <c r="AA240" s="5"/>
      <c r="AB240" s="5"/>
      <c r="AC240" s="5"/>
      <c r="AD240" s="5"/>
      <c r="AE240" s="5"/>
      <c r="AF240" s="51"/>
    </row>
    <row r="241" spans="1:32" ht="22.5" x14ac:dyDescent="0.2">
      <c r="B241" s="16"/>
      <c r="C241" s="283" t="s">
        <v>125</v>
      </c>
      <c r="D241" s="62" t="str">
        <f>INDEX(Tbl_EquipmentDefinitions[Equipment Level],MATCH(D239,Tbl_EquipmentDefinitions[Equipment ID],0))</f>
        <v>Secondary</v>
      </c>
      <c r="E241" s="5"/>
      <c r="F241" s="63" t="s">
        <v>27</v>
      </c>
      <c r="G241" s="214" t="str">
        <f>INDEX(Tbl_EquipmentDefinitions[Oil Baseline Efficiency],MATCH(D239,Tbl_EquipmentDefinitions[Equipment ID],0))</f>
        <v>75% AFUE, UA 4.1 Btu/hr-F</v>
      </c>
      <c r="H241" s="213" t="str">
        <f>INDEX(Tbl_EquipmentDefinitions[Oil Code Efficiency],MATCH(D239,Tbl_EquipmentDefinitions[Equipment ID],0))</f>
        <v>84% AFUE, UA 4.1 Btu/hr-F</v>
      </c>
      <c r="J241" s="5"/>
      <c r="K241" s="5"/>
      <c r="L241" s="5"/>
      <c r="M241" s="5"/>
      <c r="N241" s="5"/>
      <c r="S241" s="5"/>
      <c r="T241" s="5"/>
      <c r="U241" s="5"/>
      <c r="V241" s="5"/>
      <c r="W241" s="5" t="s">
        <v>604</v>
      </c>
      <c r="X241" s="5"/>
      <c r="Y241" s="5"/>
      <c r="Z241" s="5"/>
      <c r="AA241" s="5"/>
      <c r="AD241" s="5"/>
      <c r="AE241" s="5"/>
      <c r="AF241" s="51"/>
    </row>
    <row r="242" spans="1:32" ht="13.35" customHeight="1" x14ac:dyDescent="0.2">
      <c r="B242" s="16"/>
      <c r="C242" s="283" t="s">
        <v>24</v>
      </c>
      <c r="D242" s="64" t="str">
        <f>INDEX(Tbl_EquipmentDefinitions[Function],MATCH(D239,Tbl_EquipmentDefinitions[Equipment ID],0))</f>
        <v>Heat+HW</v>
      </c>
      <c r="E242" s="5"/>
      <c r="F242" s="5"/>
      <c r="G242" s="5"/>
      <c r="H242" s="5"/>
      <c r="J242" s="115" t="s">
        <v>445</v>
      </c>
      <c r="K242" s="210">
        <v>0.75</v>
      </c>
      <c r="L242" s="5" t="s">
        <v>158</v>
      </c>
      <c r="M242" s="5"/>
      <c r="N242" s="5"/>
      <c r="O242" s="5"/>
      <c r="P242" s="5"/>
      <c r="Q242" s="115" t="s">
        <v>592</v>
      </c>
      <c r="R242" s="144">
        <v>50</v>
      </c>
      <c r="S242" s="5" t="s">
        <v>593</v>
      </c>
      <c r="T242" s="6" t="s">
        <v>594</v>
      </c>
      <c r="W242" s="5" t="s">
        <v>420</v>
      </c>
      <c r="X242" s="144">
        <v>230</v>
      </c>
      <c r="Y242" s="5" t="s">
        <v>170</v>
      </c>
      <c r="Z242" s="5"/>
      <c r="AA242" s="5"/>
      <c r="AC242" s="6" t="s">
        <v>976</v>
      </c>
      <c r="AF242" s="51"/>
    </row>
    <row r="243" spans="1:32" ht="12.75" x14ac:dyDescent="0.2">
      <c r="B243" s="16"/>
      <c r="C243" s="283" t="s">
        <v>7</v>
      </c>
      <c r="D243" s="62" t="str">
        <f>INDEX(Tbl_EquipmentDefinitions[Fuel Type],MATCH(D239,Tbl_EquipmentDefinitions[Equipment ID],0))</f>
        <v>Oil</v>
      </c>
      <c r="E243" s="65"/>
      <c r="F243" s="671" t="s">
        <v>273</v>
      </c>
      <c r="G243" s="672"/>
      <c r="H243" s="672"/>
      <c r="J243" s="115" t="s">
        <v>446</v>
      </c>
      <c r="K243" s="210">
        <v>0.84</v>
      </c>
      <c r="L243" s="5" t="s">
        <v>158</v>
      </c>
      <c r="M243" s="5"/>
      <c r="N243" s="5"/>
      <c r="O243" s="5"/>
      <c r="P243" s="5"/>
      <c r="Q243" s="115" t="s">
        <v>595</v>
      </c>
      <c r="R243" s="144">
        <f>24*365</f>
        <v>8760</v>
      </c>
      <c r="S243" s="5" t="s">
        <v>397</v>
      </c>
      <c r="T243" s="6" t="s">
        <v>606</v>
      </c>
      <c r="W243" s="5" t="s">
        <v>408</v>
      </c>
      <c r="X243" s="144">
        <v>230</v>
      </c>
      <c r="Y243" s="5" t="s">
        <v>170</v>
      </c>
      <c r="Z243" s="5"/>
      <c r="AA243" s="5"/>
      <c r="AC243" s="6" t="s">
        <v>977</v>
      </c>
      <c r="AE243" s="5"/>
      <c r="AF243" s="51"/>
    </row>
    <row r="244" spans="1:32" ht="12.75" x14ac:dyDescent="0.2">
      <c r="B244" s="16"/>
      <c r="C244" s="283" t="s">
        <v>126</v>
      </c>
      <c r="D244" s="64">
        <f>IF(ISERR(SEARCH("+",D243,1)),1,2)</f>
        <v>1</v>
      </c>
      <c r="E244" s="65"/>
      <c r="F244" s="672"/>
      <c r="G244" s="672"/>
      <c r="H244" s="672"/>
      <c r="J244" s="73"/>
      <c r="K244" s="5"/>
      <c r="L244" s="5"/>
      <c r="M244" s="5"/>
      <c r="N244" s="5"/>
      <c r="O244" s="5"/>
      <c r="P244" s="5"/>
      <c r="Q244" s="115" t="s">
        <v>596</v>
      </c>
      <c r="R244" s="135">
        <v>4.0999999999999996</v>
      </c>
      <c r="S244" s="6" t="s">
        <v>597</v>
      </c>
      <c r="T244" s="6" t="s">
        <v>599</v>
      </c>
      <c r="W244" s="5"/>
      <c r="X244" s="5"/>
      <c r="Y244" s="162"/>
      <c r="Z244" s="568"/>
      <c r="AA244" s="568"/>
      <c r="AC244" s="156" t="s">
        <v>980</v>
      </c>
      <c r="AD244" s="387">
        <v>0</v>
      </c>
      <c r="AE244" s="5" t="s">
        <v>176</v>
      </c>
      <c r="AF244" s="51"/>
    </row>
    <row r="245" spans="1:32" ht="12.75" x14ac:dyDescent="0.2">
      <c r="B245" s="16"/>
      <c r="C245" s="284"/>
      <c r="D245" s="5"/>
      <c r="E245" s="5"/>
      <c r="F245" s="672"/>
      <c r="G245" s="672"/>
      <c r="H245" s="672"/>
      <c r="J245" s="115" t="s">
        <v>353</v>
      </c>
      <c r="K245" s="56">
        <f>($D$246+$D$248+$R$245)/K242</f>
        <v>123.19440000000002</v>
      </c>
      <c r="L245" s="5" t="s">
        <v>156</v>
      </c>
      <c r="M245" s="5"/>
      <c r="N245" s="5"/>
      <c r="O245" s="5"/>
      <c r="P245" s="5"/>
      <c r="Q245" s="115" t="s">
        <v>598</v>
      </c>
      <c r="R245" s="56">
        <f>R244*R243*R242/Btu_per_MMBtu</f>
        <v>1.7958000000000001</v>
      </c>
      <c r="S245" s="6" t="s">
        <v>381</v>
      </c>
      <c r="T245" s="6" t="s">
        <v>605</v>
      </c>
      <c r="W245" s="55" t="s">
        <v>426</v>
      </c>
      <c r="X245" s="57">
        <f>X242*PRICE_PER_KWH_2018_ELECTRICITY</f>
        <v>45.494</v>
      </c>
      <c r="Y245" s="5" t="s">
        <v>164</v>
      </c>
      <c r="Z245" s="5"/>
      <c r="AA245" s="5"/>
      <c r="AC245" s="156" t="s">
        <v>981</v>
      </c>
      <c r="AD245" s="387">
        <v>0</v>
      </c>
      <c r="AE245" s="5" t="s">
        <v>176</v>
      </c>
      <c r="AF245" s="51"/>
    </row>
    <row r="246" spans="1:32" ht="12.75" x14ac:dyDescent="0.2">
      <c r="B246" s="16"/>
      <c r="C246" s="283" t="s">
        <v>155</v>
      </c>
      <c r="D246" s="62">
        <f>INDEX(Tbl_BaselineSummary[Space Heating Load (MMBtu/yr)],MATCH(D237,Tbl_BaselineSummary[Baseline ID],0))</f>
        <v>76.7</v>
      </c>
      <c r="E246" s="5" t="s">
        <v>156</v>
      </c>
      <c r="F246" s="672"/>
      <c r="G246" s="672"/>
      <c r="H246" s="672"/>
      <c r="J246" s="115" t="s">
        <v>385</v>
      </c>
      <c r="K246" s="56">
        <f>($D$246+$D$248+$R$245)/K243</f>
        <v>109.99500000000002</v>
      </c>
      <c r="L246" s="5" t="s">
        <v>156</v>
      </c>
      <c r="M246" s="5"/>
      <c r="N246" s="5"/>
      <c r="O246" s="5"/>
      <c r="P246" s="5"/>
      <c r="Q246" s="5"/>
      <c r="R246" s="5"/>
      <c r="W246" s="55" t="s">
        <v>427</v>
      </c>
      <c r="X246" s="57">
        <f>X243*PRICE_PER_KWH_2018_ELECTRICITY</f>
        <v>45.494</v>
      </c>
      <c r="Y246" s="5" t="s">
        <v>164</v>
      </c>
      <c r="Z246" s="5"/>
      <c r="AA246" s="5"/>
      <c r="AF246" s="51"/>
    </row>
    <row r="247" spans="1:32" x14ac:dyDescent="0.2">
      <c r="B247" s="16"/>
      <c r="C247" s="283" t="s">
        <v>167</v>
      </c>
      <c r="D247" s="62">
        <f>INDEX(Tbl_BaselineSummary[Space Cooling Load (MMBtu/yr)],MATCH(D237,Tbl_BaselineSummary[Baseline ID],0))</f>
        <v>13.072800000000001</v>
      </c>
      <c r="E247" s="5" t="s">
        <v>156</v>
      </c>
      <c r="F247" s="672"/>
      <c r="G247" s="672"/>
      <c r="H247" s="672"/>
      <c r="O247" s="5"/>
      <c r="P247" s="5"/>
      <c r="Q247" s="5" t="s">
        <v>602</v>
      </c>
      <c r="U247" s="5"/>
      <c r="V247" s="5"/>
      <c r="W247" s="6" t="s">
        <v>423</v>
      </c>
      <c r="AF247" s="51"/>
    </row>
    <row r="248" spans="1:32" ht="12.75" x14ac:dyDescent="0.2">
      <c r="B248" s="16"/>
      <c r="C248" s="283" t="s">
        <v>244</v>
      </c>
      <c r="D248" s="112">
        <f>INDEX(Tbl_BaselineSummary[Water Heating Load (MMBtu/yr)],MATCH(D237,Tbl_BaselineSummary[Baseline ID],0))</f>
        <v>13.9</v>
      </c>
      <c r="E248" s="5" t="s">
        <v>156</v>
      </c>
      <c r="F248" s="672"/>
      <c r="G248" s="672"/>
      <c r="H248" s="672"/>
      <c r="J248" s="115" t="s">
        <v>253</v>
      </c>
      <c r="K248" s="292">
        <f>K245*PRICE_PER_MMBTU_2018_OIL</f>
        <v>2766.9662989400827</v>
      </c>
      <c r="L248" s="5" t="s">
        <v>164</v>
      </c>
      <c r="M248" s="5"/>
      <c r="N248" s="5"/>
      <c r="O248" s="5"/>
      <c r="P248" s="5"/>
      <c r="Q248" s="115" t="s">
        <v>600</v>
      </c>
      <c r="R248" s="147">
        <v>6866</v>
      </c>
      <c r="S248" s="6" t="s">
        <v>164</v>
      </c>
      <c r="U248" s="5"/>
      <c r="V248" s="5"/>
      <c r="W248" s="5" t="s">
        <v>422</v>
      </c>
      <c r="X248" s="146">
        <f>AVERAGE(530,984,1329,1329)</f>
        <v>1043</v>
      </c>
      <c r="Y248" s="6" t="s">
        <v>397</v>
      </c>
      <c r="AE248" s="5"/>
      <c r="AF248" s="51"/>
    </row>
    <row r="249" spans="1:32" ht="12.75" x14ac:dyDescent="0.2">
      <c r="B249" s="16"/>
      <c r="C249" s="284"/>
      <c r="D249" s="5"/>
      <c r="E249" s="5"/>
      <c r="F249" s="5"/>
      <c r="G249" s="5"/>
      <c r="H249" s="5"/>
      <c r="J249" s="115" t="s">
        <v>254</v>
      </c>
      <c r="K249" s="292">
        <f>K246*PRICE_PER_MMBTU_2018_OIL</f>
        <v>2470.5056240536455</v>
      </c>
      <c r="L249" s="5" t="s">
        <v>164</v>
      </c>
      <c r="M249" s="5"/>
      <c r="N249" s="5"/>
      <c r="O249" s="5"/>
      <c r="P249" s="5"/>
      <c r="Q249" s="5" t="s">
        <v>603</v>
      </c>
      <c r="T249" s="5"/>
      <c r="U249" s="5"/>
      <c r="V249" s="5"/>
      <c r="AE249" s="5"/>
      <c r="AF249" s="51"/>
    </row>
    <row r="250" spans="1:32" ht="12.75" x14ac:dyDescent="0.2">
      <c r="B250" s="16"/>
      <c r="C250" s="283" t="s">
        <v>635</v>
      </c>
      <c r="D250" s="62">
        <f>INDEX(Tbl_EquipmentDefinitions[New Unit Equipment Life (years)],MATCH('Baseline Calculations'!D239,Tbl_EquipmentDefinitions[Equipment ID],0))</f>
        <v>20</v>
      </c>
      <c r="E250" s="188" t="s">
        <v>376</v>
      </c>
      <c r="F250" s="5"/>
      <c r="G250" s="5"/>
      <c r="H250" s="5"/>
      <c r="O250" s="5"/>
      <c r="P250" s="5"/>
      <c r="Q250" s="115" t="s">
        <v>601</v>
      </c>
      <c r="R250" s="147">
        <v>3586</v>
      </c>
      <c r="S250" s="5" t="s">
        <v>164</v>
      </c>
      <c r="T250" s="5"/>
      <c r="U250" s="5"/>
      <c r="V250" s="5"/>
      <c r="W250" s="6" t="s">
        <v>740</v>
      </c>
      <c r="AE250" s="5"/>
      <c r="AF250" s="51"/>
    </row>
    <row r="251" spans="1:32" x14ac:dyDescent="0.2">
      <c r="B251" s="16"/>
      <c r="C251" s="283" t="s">
        <v>636</v>
      </c>
      <c r="D251" s="62">
        <f>INDEX(Tbl_EquipmentDefinitions[Remaining Life for Early Replacement (years)],MATCH('Baseline Calculations'!D239,Tbl_EquipmentDefinitions[Equipment ID],0))</f>
        <v>10</v>
      </c>
      <c r="E251" s="188" t="s">
        <v>376</v>
      </c>
      <c r="F251" s="5"/>
      <c r="G251" s="5"/>
      <c r="H251" s="5"/>
      <c r="O251" s="5"/>
      <c r="P251" s="5"/>
      <c r="Q251" s="5"/>
      <c r="R251" s="5"/>
      <c r="T251" s="5"/>
      <c r="U251" s="5"/>
      <c r="V251" s="5"/>
      <c r="W251" s="155" t="s">
        <v>739</v>
      </c>
      <c r="X251" s="146">
        <v>0.16</v>
      </c>
      <c r="Y251" s="5"/>
      <c r="Z251" s="5"/>
      <c r="AA251" s="5"/>
      <c r="AE251" s="5"/>
      <c r="AF251" s="51"/>
    </row>
    <row r="252" spans="1:32" s="5" customFormat="1" x14ac:dyDescent="0.2">
      <c r="A252" s="188"/>
      <c r="B252" s="16"/>
      <c r="C252" s="50"/>
      <c r="AF252" s="51"/>
    </row>
    <row r="253" spans="1:32" s="5" customFormat="1" x14ac:dyDescent="0.2">
      <c r="A253" s="188"/>
      <c r="B253" s="16"/>
      <c r="C253" s="50"/>
      <c r="W253" s="156" t="s">
        <v>978</v>
      </c>
      <c r="X253" s="145">
        <f>X251*X242/X248</f>
        <v>3.5282837967401733E-2</v>
      </c>
      <c r="Y253" s="5" t="s">
        <v>176</v>
      </c>
      <c r="AF253" s="51"/>
    </row>
    <row r="254" spans="1:32" s="5" customFormat="1" x14ac:dyDescent="0.2">
      <c r="A254" s="188"/>
      <c r="B254" s="16"/>
      <c r="C254" s="50"/>
      <c r="W254" s="156" t="s">
        <v>979</v>
      </c>
      <c r="X254" s="145">
        <f>X251*X243/X248</f>
        <v>3.5282837967401733E-2</v>
      </c>
      <c r="Y254" s="5" t="s">
        <v>176</v>
      </c>
      <c r="AF254" s="51"/>
    </row>
    <row r="255" spans="1:32" s="5" customFormat="1" x14ac:dyDescent="0.2">
      <c r="A255" s="188"/>
      <c r="B255" s="16"/>
      <c r="C255" s="58"/>
      <c r="D255" s="59"/>
      <c r="E255" s="59"/>
      <c r="F255" s="59"/>
      <c r="G255" s="59"/>
      <c r="H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60"/>
    </row>
    <row r="256" spans="1:32" x14ac:dyDescent="0.2">
      <c r="B256" s="16"/>
    </row>
    <row r="257" spans="2:32" ht="15.75" thickBot="1" x14ac:dyDescent="0.25">
      <c r="B257" s="16"/>
      <c r="C257" s="74" t="s">
        <v>270</v>
      </c>
      <c r="D257" s="75"/>
      <c r="E257" s="75"/>
      <c r="F257" s="75"/>
      <c r="G257" s="75"/>
      <c r="H257" s="75"/>
      <c r="J257" s="75" t="s">
        <v>271</v>
      </c>
      <c r="K257" s="75"/>
      <c r="L257" s="48"/>
      <c r="M257" s="48"/>
      <c r="N257" s="48"/>
      <c r="O257" s="48"/>
      <c r="P257" s="48"/>
      <c r="Q257" s="48"/>
      <c r="R257" s="48"/>
      <c r="S257" s="48"/>
      <c r="T257" s="48"/>
      <c r="U257" s="48"/>
      <c r="V257" s="48"/>
      <c r="W257" s="48"/>
      <c r="X257" s="48"/>
      <c r="Y257" s="48"/>
      <c r="Z257" s="48"/>
      <c r="AA257" s="48"/>
      <c r="AB257" s="48"/>
      <c r="AC257" s="48"/>
      <c r="AD257" s="48"/>
      <c r="AE257" s="48"/>
      <c r="AF257" s="49"/>
    </row>
    <row r="258" spans="2:32" ht="3.75" customHeight="1" x14ac:dyDescent="0.2">
      <c r="B258" s="16"/>
      <c r="C258" s="50"/>
      <c r="D258" s="5"/>
      <c r="E258" s="5"/>
      <c r="F258" s="5"/>
      <c r="G258" s="5"/>
      <c r="H258" s="5"/>
      <c r="J258" s="5"/>
      <c r="K258" s="5"/>
      <c r="L258" s="5"/>
      <c r="M258" s="5"/>
      <c r="N258" s="5"/>
      <c r="O258" s="5"/>
      <c r="P258" s="5"/>
      <c r="Q258" s="5"/>
      <c r="R258" s="5"/>
      <c r="S258" s="5"/>
      <c r="T258" s="5"/>
      <c r="U258" s="5"/>
      <c r="V258" s="5"/>
      <c r="W258" s="5"/>
      <c r="X258" s="5"/>
      <c r="Y258" s="5"/>
      <c r="Z258" s="5"/>
      <c r="AA258" s="5"/>
      <c r="AB258" s="5"/>
      <c r="AC258" s="5"/>
      <c r="AD258" s="5"/>
      <c r="AE258" s="5"/>
      <c r="AF258" s="51"/>
    </row>
    <row r="259" spans="2:32" ht="34.5" thickBot="1" x14ac:dyDescent="0.25">
      <c r="B259" s="16"/>
      <c r="C259" s="76" t="s">
        <v>249</v>
      </c>
      <c r="D259" s="81" t="s">
        <v>236</v>
      </c>
      <c r="E259" s="71"/>
      <c r="F259" s="66" t="s">
        <v>260</v>
      </c>
      <c r="G259" s="66" t="s">
        <v>5</v>
      </c>
      <c r="H259" s="66" t="s">
        <v>6</v>
      </c>
      <c r="J259" s="66" t="s">
        <v>127</v>
      </c>
      <c r="K259" s="72" t="s">
        <v>261</v>
      </c>
      <c r="L259" s="72" t="s">
        <v>262</v>
      </c>
      <c r="M259" s="72" t="s">
        <v>1455</v>
      </c>
      <c r="N259" s="72" t="s">
        <v>1456</v>
      </c>
      <c r="O259" s="72" t="s">
        <v>963</v>
      </c>
      <c r="P259" s="72" t="s">
        <v>974</v>
      </c>
      <c r="Q259" s="72" t="s">
        <v>263</v>
      </c>
      <c r="R259" s="72" t="s">
        <v>264</v>
      </c>
      <c r="S259" s="72" t="s">
        <v>265</v>
      </c>
      <c r="T259" s="72" t="s">
        <v>280</v>
      </c>
      <c r="U259" s="72" t="s">
        <v>200</v>
      </c>
      <c r="V259" s="72" t="s">
        <v>753</v>
      </c>
      <c r="W259" s="72" t="s">
        <v>634</v>
      </c>
      <c r="X259" s="72" t="s">
        <v>754</v>
      </c>
      <c r="Y259" s="72" t="s">
        <v>266</v>
      </c>
      <c r="Z259" s="72" t="s">
        <v>1457</v>
      </c>
      <c r="AA259" s="72" t="s">
        <v>1458</v>
      </c>
      <c r="AB259" s="72" t="s">
        <v>964</v>
      </c>
      <c r="AC259" s="72" t="s">
        <v>975</v>
      </c>
      <c r="AD259" s="72" t="s">
        <v>267</v>
      </c>
      <c r="AE259" s="72" t="s">
        <v>268</v>
      </c>
      <c r="AF259" s="77" t="s">
        <v>269</v>
      </c>
    </row>
    <row r="260" spans="2:32" x14ac:dyDescent="0.2">
      <c r="B260" s="16"/>
      <c r="C260" s="61"/>
      <c r="D260" s="5"/>
      <c r="E260" s="5"/>
      <c r="F260" s="63" t="s">
        <v>178</v>
      </c>
      <c r="G260" s="67" t="str">
        <f>INDEX(Tbl_EquipmentDefinitions[Electricity Baseline Efficiency],MATCH(D261,Tbl_EquipmentDefinitions[Equipment ID],0))</f>
        <v>-</v>
      </c>
      <c r="H260" s="68" t="str">
        <f>INDEX(Tbl_EquipmentDefinitions[Electricity Code Efficiency],MATCH(D261,Tbl_EquipmentDefinitions[Equipment ID],0))</f>
        <v>-</v>
      </c>
      <c r="J260" s="63" t="str">
        <f>D259</f>
        <v>BASE10</v>
      </c>
      <c r="K260" s="148">
        <f>K270</f>
        <v>4303.6596688309082</v>
      </c>
      <c r="L260" s="285">
        <f>X263</f>
        <v>197</v>
      </c>
      <c r="M260" s="285" t="s">
        <v>1449</v>
      </c>
      <c r="N260" s="285" t="s">
        <v>1449</v>
      </c>
      <c r="O260" s="117">
        <f>X275</f>
        <v>3.0220517737296261E-2</v>
      </c>
      <c r="P260" s="117">
        <f>AD265</f>
        <v>0</v>
      </c>
      <c r="Q260" s="286">
        <v>0</v>
      </c>
      <c r="R260" s="286">
        <f>K267</f>
        <v>119.72773333333333</v>
      </c>
      <c r="S260" s="286">
        <v>0</v>
      </c>
      <c r="T260" s="148">
        <f>K271</f>
        <v>3936.2740873453431</v>
      </c>
      <c r="U260" s="148">
        <f>SUM(R269:R270)</f>
        <v>10181</v>
      </c>
      <c r="V260" s="148">
        <v>0</v>
      </c>
      <c r="W260" s="148">
        <f>((PV(DiscountRate, (D272-D273),PMT(DiscountRate, D272, U260))/(1+DiscountRate)^(D273)))</f>
        <v>4382.3451516700088</v>
      </c>
      <c r="X260" s="148">
        <f>((PV(DiscountRate, (D272-D273),PMT(DiscountRate, D272, V260))/(1+DiscountRate)^(D273)))</f>
        <v>0</v>
      </c>
      <c r="Y260" s="285">
        <f>X264</f>
        <v>197</v>
      </c>
      <c r="Z260" s="285" t="s">
        <v>1449</v>
      </c>
      <c r="AA260" s="285" t="s">
        <v>1449</v>
      </c>
      <c r="AB260" s="117">
        <f>X276</f>
        <v>3.7430488974113135E-2</v>
      </c>
      <c r="AC260" s="117">
        <f>AD266</f>
        <v>0</v>
      </c>
      <c r="AD260" s="286">
        <v>0</v>
      </c>
      <c r="AE260" s="286">
        <f>K268</f>
        <v>109.50707317073172</v>
      </c>
      <c r="AF260" s="287">
        <v>0</v>
      </c>
    </row>
    <row r="261" spans="2:32" x14ac:dyDescent="0.2">
      <c r="B261" s="16"/>
      <c r="C261" s="283" t="s">
        <v>2</v>
      </c>
      <c r="D261" s="62" t="str">
        <f>INDEX(Tbl_BaselineSummary[Equipment ID],MATCH(D259,Tbl_BaselineSummary[Baseline ID],0))</f>
        <v>EQUI018</v>
      </c>
      <c r="E261" s="5"/>
      <c r="F261" s="63" t="s">
        <v>55</v>
      </c>
      <c r="G261" s="68" t="str">
        <f>INDEX(Tbl_EquipmentDefinitions[Natural Gas Baseline Efficiency],MATCH(D261,Tbl_EquipmentDefinitions[Equipment ID],0))</f>
        <v>-</v>
      </c>
      <c r="H261" s="69" t="str">
        <f>INDEX(Tbl_EquipmentDefinitions[Natural Gas Code Efficiency],MATCH(D261,Tbl_EquipmentDefinitions[Equipment ID],0))</f>
        <v>-</v>
      </c>
      <c r="J261" s="5"/>
      <c r="K261" s="5"/>
      <c r="L261" s="5"/>
      <c r="M261" s="5"/>
      <c r="N261" s="5"/>
      <c r="O261" s="5"/>
      <c r="P261" s="5"/>
      <c r="Q261" s="5"/>
      <c r="R261" s="5"/>
      <c r="S261" s="5"/>
      <c r="T261" s="5"/>
      <c r="U261" s="5"/>
      <c r="V261" s="5"/>
      <c r="W261" s="5"/>
      <c r="X261" s="5"/>
      <c r="Y261" s="5"/>
      <c r="Z261" s="5"/>
      <c r="AA261" s="5"/>
      <c r="AB261" s="5"/>
      <c r="AC261" s="5"/>
      <c r="AD261" s="5"/>
      <c r="AE261" s="5"/>
      <c r="AF261" s="51"/>
    </row>
    <row r="262" spans="2:32" ht="33.75" x14ac:dyDescent="0.2">
      <c r="B262" s="16"/>
      <c r="C262" s="283" t="s">
        <v>4</v>
      </c>
      <c r="D262" s="214" t="str">
        <f>INDEX(Tbl_EquipmentDefinitions[Equipment Name],MATCH(D261,Tbl_EquipmentDefinitions[Equipment ID],0))</f>
        <v>Propane Boiler+Indirect WH</v>
      </c>
      <c r="E262" s="5"/>
      <c r="F262" s="63" t="s">
        <v>28</v>
      </c>
      <c r="G262" s="213" t="str">
        <f>INDEX(Tbl_EquipmentDefinitions[Propane Baseline Efficiency],MATCH(D261,Tbl_EquipmentDefinitions[Equipment ID],0))</f>
        <v>75% AFUE, UA 4.1 Btu/hr-F</v>
      </c>
      <c r="H262" s="212" t="str">
        <f>INDEX(Tbl_EquipmentDefinitions[Propane Code Efficiency],MATCH(D261,Tbl_EquipmentDefinitions[Equipment ID],0))</f>
        <v>82% AFUE (79.3% actual), UA 4.1 Btu/hr-F</v>
      </c>
      <c r="J262" s="78" t="s">
        <v>272</v>
      </c>
      <c r="K262" s="78"/>
      <c r="L262" s="5"/>
      <c r="M262" s="5"/>
      <c r="N262" s="5"/>
      <c r="S262" s="5"/>
      <c r="T262" s="5"/>
      <c r="U262" s="5"/>
      <c r="V262" s="5"/>
      <c r="W262" s="5" t="s">
        <v>604</v>
      </c>
      <c r="X262" s="5"/>
      <c r="Y262" s="5"/>
      <c r="Z262" s="5"/>
      <c r="AA262" s="5"/>
      <c r="AD262" s="5"/>
      <c r="AE262" s="5"/>
      <c r="AF262" s="51"/>
    </row>
    <row r="263" spans="2:32" x14ac:dyDescent="0.2">
      <c r="B263" s="16"/>
      <c r="C263" s="283" t="s">
        <v>125</v>
      </c>
      <c r="D263" s="62" t="str">
        <f>INDEX(Tbl_EquipmentDefinitions[Equipment Level],MATCH(D261,Tbl_EquipmentDefinitions[Equipment ID],0))</f>
        <v>Secondary</v>
      </c>
      <c r="E263" s="5"/>
      <c r="F263" s="63" t="s">
        <v>27</v>
      </c>
      <c r="G263" s="68" t="str">
        <f>INDEX(Tbl_EquipmentDefinitions[Oil Baseline Efficiency],MATCH(D261,Tbl_EquipmentDefinitions[Equipment ID],0))</f>
        <v>-</v>
      </c>
      <c r="H263" s="70" t="str">
        <f>INDEX(Tbl_EquipmentDefinitions[Oil Code Efficiency],MATCH(D261,Tbl_EquipmentDefinitions[Equipment ID],0))</f>
        <v>-</v>
      </c>
      <c r="J263" s="5"/>
      <c r="K263" s="5"/>
      <c r="L263" s="5"/>
      <c r="M263" s="5"/>
      <c r="N263" s="5"/>
      <c r="S263" s="5"/>
      <c r="T263" s="5"/>
      <c r="U263" s="5"/>
      <c r="V263" s="5"/>
      <c r="W263" s="5" t="s">
        <v>420</v>
      </c>
      <c r="X263" s="144">
        <v>197</v>
      </c>
      <c r="Y263" s="5" t="s">
        <v>170</v>
      </c>
      <c r="Z263" s="5"/>
      <c r="AA263" s="5"/>
      <c r="AC263" s="6" t="s">
        <v>976</v>
      </c>
      <c r="AF263" s="51"/>
    </row>
    <row r="264" spans="2:32" ht="13.35" customHeight="1" x14ac:dyDescent="0.2">
      <c r="B264" s="16"/>
      <c r="C264" s="283" t="s">
        <v>24</v>
      </c>
      <c r="D264" s="64" t="str">
        <f>INDEX(Tbl_EquipmentDefinitions[Function],MATCH(D261,Tbl_EquipmentDefinitions[Equipment ID],0))</f>
        <v>Heat+HW</v>
      </c>
      <c r="E264" s="5"/>
      <c r="F264" s="5"/>
      <c r="G264" s="5"/>
      <c r="H264" s="5"/>
      <c r="J264" s="115" t="s">
        <v>445</v>
      </c>
      <c r="K264" s="210">
        <v>0.75</v>
      </c>
      <c r="L264" s="5" t="s">
        <v>158</v>
      </c>
      <c r="M264" s="5"/>
      <c r="N264" s="5"/>
      <c r="O264" s="5"/>
      <c r="P264" s="5"/>
      <c r="Q264" s="115" t="s">
        <v>592</v>
      </c>
      <c r="R264" s="144">
        <v>50</v>
      </c>
      <c r="S264" s="5" t="s">
        <v>593</v>
      </c>
      <c r="T264" s="6" t="s">
        <v>594</v>
      </c>
      <c r="W264" s="5" t="s">
        <v>408</v>
      </c>
      <c r="X264" s="144">
        <v>197</v>
      </c>
      <c r="Y264" s="5" t="s">
        <v>170</v>
      </c>
      <c r="Z264" s="5"/>
      <c r="AA264" s="5"/>
      <c r="AC264" s="6" t="s">
        <v>977</v>
      </c>
      <c r="AE264" s="5"/>
      <c r="AF264" s="51"/>
    </row>
    <row r="265" spans="2:32" ht="12.75" x14ac:dyDescent="0.2">
      <c r="B265" s="16"/>
      <c r="C265" s="283" t="s">
        <v>7</v>
      </c>
      <c r="D265" s="62" t="str">
        <f>INDEX(Tbl_EquipmentDefinitions[Fuel Type],MATCH(D261,Tbl_EquipmentDefinitions[Equipment ID],0))</f>
        <v>Propane</v>
      </c>
      <c r="E265" s="65"/>
      <c r="F265" s="671" t="s">
        <v>273</v>
      </c>
      <c r="G265" s="672"/>
      <c r="H265" s="672"/>
      <c r="J265" s="115" t="s">
        <v>446</v>
      </c>
      <c r="K265" s="210">
        <v>0.82</v>
      </c>
      <c r="L265" s="5" t="s">
        <v>158</v>
      </c>
      <c r="M265" s="5"/>
      <c r="N265" s="5"/>
      <c r="O265" s="5"/>
      <c r="P265" s="5"/>
      <c r="Q265" s="115" t="s">
        <v>595</v>
      </c>
      <c r="R265" s="144">
        <f>24*365</f>
        <v>8760</v>
      </c>
      <c r="S265" s="5" t="s">
        <v>397</v>
      </c>
      <c r="T265" s="6" t="s">
        <v>606</v>
      </c>
      <c r="W265" s="5"/>
      <c r="X265" s="5"/>
      <c r="Y265" s="162"/>
      <c r="Z265" s="568"/>
      <c r="AA265" s="568"/>
      <c r="AC265" s="156" t="s">
        <v>980</v>
      </c>
      <c r="AD265" s="387">
        <v>0</v>
      </c>
      <c r="AE265" s="5" t="s">
        <v>176</v>
      </c>
      <c r="AF265" s="51"/>
    </row>
    <row r="266" spans="2:32" ht="12.75" x14ac:dyDescent="0.2">
      <c r="B266" s="16"/>
      <c r="C266" s="283" t="s">
        <v>126</v>
      </c>
      <c r="D266" s="64">
        <f>IF(ISERR(SEARCH("+",D265,1)),1,2)</f>
        <v>1</v>
      </c>
      <c r="E266" s="65"/>
      <c r="F266" s="672"/>
      <c r="G266" s="672"/>
      <c r="H266" s="672"/>
      <c r="J266" s="73"/>
      <c r="K266" s="5"/>
      <c r="L266" s="5"/>
      <c r="M266" s="5"/>
      <c r="N266" s="5"/>
      <c r="O266" s="5"/>
      <c r="P266" s="5"/>
      <c r="Q266" s="115" t="s">
        <v>596</v>
      </c>
      <c r="R266" s="135">
        <v>4.0999999999999996</v>
      </c>
      <c r="S266" s="6" t="s">
        <v>597</v>
      </c>
      <c r="T266" s="6" t="s">
        <v>599</v>
      </c>
      <c r="W266" s="55" t="s">
        <v>426</v>
      </c>
      <c r="X266" s="57">
        <f>X263*PRICE_PER_KWH_2018_ELECTRICITY</f>
        <v>38.9666</v>
      </c>
      <c r="Y266" s="5" t="s">
        <v>164</v>
      </c>
      <c r="Z266" s="5"/>
      <c r="AA266" s="5"/>
      <c r="AC266" s="156" t="s">
        <v>981</v>
      </c>
      <c r="AD266" s="387">
        <v>0</v>
      </c>
      <c r="AE266" s="5" t="s">
        <v>176</v>
      </c>
      <c r="AF266" s="51"/>
    </row>
    <row r="267" spans="2:32" ht="12.75" x14ac:dyDescent="0.2">
      <c r="B267" s="16"/>
      <c r="C267" s="284"/>
      <c r="D267" s="5"/>
      <c r="E267" s="5"/>
      <c r="F267" s="672"/>
      <c r="G267" s="672"/>
      <c r="H267" s="672"/>
      <c r="J267" s="115" t="s">
        <v>334</v>
      </c>
      <c r="K267" s="56">
        <f>($D$268+$D$270+$R$245)/K264</f>
        <v>119.72773333333333</v>
      </c>
      <c r="L267" s="5" t="s">
        <v>156</v>
      </c>
      <c r="M267" s="5"/>
      <c r="N267" s="5"/>
      <c r="O267" s="5"/>
      <c r="P267" s="5"/>
      <c r="Q267" s="115" t="s">
        <v>598</v>
      </c>
      <c r="R267" s="56">
        <f>R266*R265*R264/Btu_per_MMBtu</f>
        <v>1.7958000000000001</v>
      </c>
      <c r="S267" s="6" t="s">
        <v>381</v>
      </c>
      <c r="T267" s="6" t="s">
        <v>605</v>
      </c>
      <c r="W267" s="55" t="s">
        <v>427</v>
      </c>
      <c r="X267" s="57">
        <f>X264*PRICE_PER_KWH_2018_ELECTRICITY</f>
        <v>38.9666</v>
      </c>
      <c r="Y267" s="5" t="s">
        <v>164</v>
      </c>
      <c r="Z267" s="5"/>
      <c r="AA267" s="5"/>
      <c r="AF267" s="51"/>
    </row>
    <row r="268" spans="2:32" ht="12.75" x14ac:dyDescent="0.2">
      <c r="B268" s="16"/>
      <c r="C268" s="283" t="s">
        <v>155</v>
      </c>
      <c r="D268" s="62">
        <f>INDEX(Tbl_BaselineSummary[Space Heating Load (MMBtu/yr)],MATCH(D259,Tbl_BaselineSummary[Baseline ID],0))</f>
        <v>76.7</v>
      </c>
      <c r="E268" s="5" t="s">
        <v>156</v>
      </c>
      <c r="F268" s="672"/>
      <c r="G268" s="672"/>
      <c r="H268" s="672"/>
      <c r="J268" s="115" t="s">
        <v>384</v>
      </c>
      <c r="K268" s="56">
        <f>($D$268+$D$270+$R$245)/K265</f>
        <v>109.50707317073172</v>
      </c>
      <c r="L268" s="5" t="s">
        <v>156</v>
      </c>
      <c r="M268" s="5"/>
      <c r="N268" s="5"/>
      <c r="O268" s="5"/>
      <c r="P268" s="5"/>
      <c r="Q268" s="5"/>
      <c r="R268" s="5"/>
      <c r="AF268" s="51"/>
    </row>
    <row r="269" spans="2:32" ht="12.75" x14ac:dyDescent="0.2">
      <c r="B269" s="16"/>
      <c r="C269" s="283" t="s">
        <v>167</v>
      </c>
      <c r="D269" s="62">
        <f>INDEX(Tbl_BaselineSummary[Space Cooling Load (MMBtu/yr)],MATCH(D259,Tbl_BaselineSummary[Baseline ID],0))</f>
        <v>13.072800000000001</v>
      </c>
      <c r="E269" s="5" t="s">
        <v>156</v>
      </c>
      <c r="F269" s="672"/>
      <c r="G269" s="672"/>
      <c r="H269" s="672"/>
      <c r="O269" s="5"/>
      <c r="P269" s="5"/>
      <c r="Q269" s="115" t="s">
        <v>607</v>
      </c>
      <c r="R269" s="147">
        <v>6595</v>
      </c>
      <c r="S269" s="6" t="s">
        <v>164</v>
      </c>
      <c r="T269" s="5" t="s">
        <v>429</v>
      </c>
      <c r="U269" s="5"/>
      <c r="V269" s="5"/>
      <c r="W269" s="6" t="s">
        <v>423</v>
      </c>
      <c r="AF269" s="51"/>
    </row>
    <row r="270" spans="2:32" ht="12.75" x14ac:dyDescent="0.2">
      <c r="B270" s="16"/>
      <c r="C270" s="283" t="s">
        <v>244</v>
      </c>
      <c r="D270" s="112">
        <f>INDEX(Tbl_BaselineSummary[Water Heating Load (MMBtu/yr)],MATCH(D259,Tbl_BaselineSummary[Baseline ID],0))</f>
        <v>11.3</v>
      </c>
      <c r="E270" s="5" t="s">
        <v>156</v>
      </c>
      <c r="F270" s="672"/>
      <c r="G270" s="672"/>
      <c r="H270" s="672"/>
      <c r="J270" s="115" t="s">
        <v>313</v>
      </c>
      <c r="K270" s="292">
        <f>K267*PRICE_PER_MMBTU_2018_PROPANE</f>
        <v>4303.6596688309082</v>
      </c>
      <c r="L270" s="5" t="s">
        <v>164</v>
      </c>
      <c r="M270" s="5"/>
      <c r="N270" s="5"/>
      <c r="O270" s="5"/>
      <c r="P270" s="5"/>
      <c r="Q270" s="115" t="s">
        <v>601</v>
      </c>
      <c r="R270" s="147">
        <v>3586</v>
      </c>
      <c r="S270" s="5" t="s">
        <v>164</v>
      </c>
      <c r="T270" s="5" t="s">
        <v>603</v>
      </c>
      <c r="U270" s="5"/>
      <c r="V270" s="5"/>
      <c r="W270" s="5" t="s">
        <v>422</v>
      </c>
      <c r="X270" s="146">
        <f>AVERAGE(530,984,1329,1329)</f>
        <v>1043</v>
      </c>
      <c r="Y270" s="6" t="s">
        <v>397</v>
      </c>
      <c r="AE270" s="5"/>
      <c r="AF270" s="51"/>
    </row>
    <row r="271" spans="2:32" ht="12.75" x14ac:dyDescent="0.2">
      <c r="B271" s="16"/>
      <c r="C271" s="284"/>
      <c r="D271" s="5"/>
      <c r="E271" s="5"/>
      <c r="F271" s="5"/>
      <c r="G271" s="5"/>
      <c r="H271" s="5"/>
      <c r="J271" s="115" t="s">
        <v>314</v>
      </c>
      <c r="K271" s="292">
        <f>K268*PRICE_PER_MMBTU_2018_PROPANE</f>
        <v>3936.2740873453431</v>
      </c>
      <c r="L271" s="5" t="s">
        <v>164</v>
      </c>
      <c r="M271" s="5"/>
      <c r="N271" s="5"/>
      <c r="O271" s="5"/>
      <c r="P271" s="5"/>
      <c r="Q271" s="5"/>
      <c r="R271" s="5"/>
      <c r="T271" s="5"/>
      <c r="U271" s="5"/>
      <c r="V271" s="5"/>
      <c r="AE271" s="5"/>
      <c r="AF271" s="51"/>
    </row>
    <row r="272" spans="2:32" x14ac:dyDescent="0.2">
      <c r="B272" s="16"/>
      <c r="C272" s="283" t="s">
        <v>635</v>
      </c>
      <c r="D272" s="62">
        <f>INDEX(Tbl_EquipmentDefinitions[New Unit Equipment Life (years)],MATCH('Baseline Calculations'!D261,Tbl_EquipmentDefinitions[Equipment ID],0))</f>
        <v>20</v>
      </c>
      <c r="E272" s="188" t="s">
        <v>376</v>
      </c>
      <c r="F272" s="5"/>
      <c r="G272" s="5"/>
      <c r="H272" s="5"/>
      <c r="O272" s="5"/>
      <c r="P272" s="5"/>
      <c r="Q272" s="5"/>
      <c r="R272" s="5"/>
      <c r="T272" s="5"/>
      <c r="U272" s="5"/>
      <c r="V272" s="5"/>
      <c r="W272" s="6" t="s">
        <v>740</v>
      </c>
      <c r="AE272" s="5"/>
      <c r="AF272" s="51"/>
    </row>
    <row r="273" spans="1:32" x14ac:dyDescent="0.2">
      <c r="B273" s="16"/>
      <c r="C273" s="283" t="s">
        <v>636</v>
      </c>
      <c r="D273" s="62">
        <f>INDEX(Tbl_EquipmentDefinitions[Remaining Life for Early Replacement (years)],MATCH('Baseline Calculations'!D261,Tbl_EquipmentDefinitions[Equipment ID],0))</f>
        <v>10</v>
      </c>
      <c r="E273" s="188" t="s">
        <v>376</v>
      </c>
      <c r="F273" s="5"/>
      <c r="G273" s="5"/>
      <c r="H273" s="5"/>
      <c r="O273" s="5"/>
      <c r="P273" s="5"/>
      <c r="Q273" s="5"/>
      <c r="R273" s="5"/>
      <c r="T273" s="5"/>
      <c r="U273" s="5"/>
      <c r="V273" s="5"/>
      <c r="W273" s="155" t="s">
        <v>739</v>
      </c>
      <c r="X273" s="146">
        <v>0.16</v>
      </c>
      <c r="Y273" s="5"/>
      <c r="Z273" s="5"/>
      <c r="AA273" s="5"/>
      <c r="AE273" s="5"/>
      <c r="AF273" s="51"/>
    </row>
    <row r="274" spans="1:32" s="5" customFormat="1" x14ac:dyDescent="0.2">
      <c r="A274" s="188"/>
      <c r="B274" s="16"/>
      <c r="C274" s="50"/>
      <c r="AF274" s="51"/>
    </row>
    <row r="275" spans="1:32" s="5" customFormat="1" x14ac:dyDescent="0.2">
      <c r="A275" s="188"/>
      <c r="B275" s="16"/>
      <c r="C275" s="50"/>
      <c r="W275" s="5" t="s">
        <v>424</v>
      </c>
      <c r="X275" s="145">
        <f>X273*X263/X270</f>
        <v>3.0220517737296261E-2</v>
      </c>
      <c r="Y275" s="5" t="s">
        <v>176</v>
      </c>
      <c r="AF275" s="51"/>
    </row>
    <row r="276" spans="1:32" s="5" customFormat="1" x14ac:dyDescent="0.2">
      <c r="A276" s="188"/>
      <c r="B276" s="16"/>
      <c r="C276" s="50"/>
      <c r="W276" s="5" t="s">
        <v>425</v>
      </c>
      <c r="X276" s="145">
        <f>X273*244/X270</f>
        <v>3.7430488974113135E-2</v>
      </c>
      <c r="Y276" s="5" t="s">
        <v>176</v>
      </c>
      <c r="AF276" s="51"/>
    </row>
    <row r="277" spans="1:32" s="5" customFormat="1" x14ac:dyDescent="0.2">
      <c r="A277" s="188"/>
      <c r="B277" s="16"/>
      <c r="C277" s="58"/>
      <c r="D277" s="59"/>
      <c r="E277" s="59"/>
      <c r="F277" s="59"/>
      <c r="G277" s="59"/>
      <c r="H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60"/>
    </row>
    <row r="278" spans="1:32" x14ac:dyDescent="0.2">
      <c r="B278" s="16"/>
    </row>
    <row r="279" spans="1:32" ht="15.75" thickBot="1" x14ac:dyDescent="0.25">
      <c r="B279" s="16"/>
      <c r="C279" s="74" t="s">
        <v>270</v>
      </c>
      <c r="D279" s="75"/>
      <c r="E279" s="75"/>
      <c r="F279" s="75"/>
      <c r="G279" s="75"/>
      <c r="H279" s="75"/>
      <c r="J279" s="75" t="s">
        <v>271</v>
      </c>
      <c r="K279" s="75"/>
      <c r="L279" s="48"/>
      <c r="M279" s="48"/>
      <c r="N279" s="48"/>
      <c r="O279" s="48"/>
      <c r="P279" s="48"/>
      <c r="Q279" s="48"/>
      <c r="R279" s="48"/>
      <c r="S279" s="48"/>
      <c r="T279" s="48"/>
      <c r="U279" s="48"/>
      <c r="V279" s="48"/>
      <c r="W279" s="48"/>
      <c r="X279" s="48"/>
      <c r="Y279" s="48"/>
      <c r="Z279" s="48"/>
      <c r="AA279" s="48"/>
      <c r="AB279" s="48"/>
      <c r="AC279" s="48"/>
      <c r="AD279" s="48"/>
      <c r="AE279" s="48"/>
      <c r="AF279" s="49"/>
    </row>
    <row r="280" spans="1:32" ht="3.75" customHeight="1" x14ac:dyDescent="0.2">
      <c r="A280" s="137"/>
      <c r="B280" s="16"/>
      <c r="C280" s="50"/>
      <c r="D280" s="5"/>
      <c r="E280" s="5"/>
      <c r="F280" s="5"/>
      <c r="G280" s="5"/>
      <c r="H280" s="5"/>
      <c r="J280" s="5"/>
      <c r="K280" s="5"/>
      <c r="L280" s="5"/>
      <c r="M280" s="5"/>
      <c r="N280" s="5"/>
      <c r="O280" s="5"/>
      <c r="P280" s="5"/>
      <c r="Q280" s="5"/>
      <c r="R280" s="5"/>
      <c r="S280" s="5"/>
      <c r="T280" s="5"/>
      <c r="U280" s="5"/>
      <c r="V280" s="5"/>
      <c r="W280" s="5"/>
      <c r="X280" s="5"/>
      <c r="Y280" s="5"/>
      <c r="Z280" s="5"/>
      <c r="AA280" s="5"/>
      <c r="AB280" s="5"/>
      <c r="AC280" s="5"/>
      <c r="AD280" s="5"/>
      <c r="AE280" s="5"/>
      <c r="AF280" s="51"/>
    </row>
    <row r="281" spans="1:32" ht="34.5" thickBot="1" x14ac:dyDescent="0.25">
      <c r="A281" s="137"/>
      <c r="B281" s="16"/>
      <c r="C281" s="76" t="s">
        <v>249</v>
      </c>
      <c r="D281" s="81" t="s">
        <v>237</v>
      </c>
      <c r="E281" s="71"/>
      <c r="F281" s="66" t="s">
        <v>260</v>
      </c>
      <c r="G281" s="66" t="s">
        <v>5</v>
      </c>
      <c r="H281" s="66" t="s">
        <v>6</v>
      </c>
      <c r="J281" s="66" t="s">
        <v>127</v>
      </c>
      <c r="K281" s="72" t="s">
        <v>261</v>
      </c>
      <c r="L281" s="72" t="s">
        <v>262</v>
      </c>
      <c r="M281" s="72" t="s">
        <v>1455</v>
      </c>
      <c r="N281" s="72" t="s">
        <v>1456</v>
      </c>
      <c r="O281" s="72" t="s">
        <v>963</v>
      </c>
      <c r="P281" s="72" t="s">
        <v>974</v>
      </c>
      <c r="Q281" s="72" t="s">
        <v>263</v>
      </c>
      <c r="R281" s="72" t="s">
        <v>264</v>
      </c>
      <c r="S281" s="72" t="s">
        <v>265</v>
      </c>
      <c r="T281" s="72" t="s">
        <v>280</v>
      </c>
      <c r="U281" s="72" t="s">
        <v>200</v>
      </c>
      <c r="V281" s="72" t="s">
        <v>753</v>
      </c>
      <c r="W281" s="72" t="s">
        <v>634</v>
      </c>
      <c r="X281" s="72" t="s">
        <v>754</v>
      </c>
      <c r="Y281" s="72" t="s">
        <v>266</v>
      </c>
      <c r="Z281" s="72" t="s">
        <v>1457</v>
      </c>
      <c r="AA281" s="72" t="s">
        <v>1458</v>
      </c>
      <c r="AB281" s="72" t="s">
        <v>964</v>
      </c>
      <c r="AC281" s="72" t="s">
        <v>975</v>
      </c>
      <c r="AD281" s="72" t="s">
        <v>267</v>
      </c>
      <c r="AE281" s="72" t="s">
        <v>268</v>
      </c>
      <c r="AF281" s="77" t="s">
        <v>269</v>
      </c>
    </row>
    <row r="282" spans="1:32" x14ac:dyDescent="0.2">
      <c r="A282" s="137"/>
      <c r="B282" s="16"/>
      <c r="C282" s="61"/>
      <c r="D282" s="5"/>
      <c r="E282" s="5"/>
      <c r="F282" s="63" t="s">
        <v>178</v>
      </c>
      <c r="G282" s="67" t="str">
        <f>INDEX(Tbl_EquipmentDefinitions[Electricity Baseline Efficiency],MATCH(D283,Tbl_EquipmentDefinitions[Equipment ID],0))</f>
        <v>-</v>
      </c>
      <c r="H282" s="68" t="str">
        <f>INDEX(Tbl_EquipmentDefinitions[Electricity Code Efficiency],MATCH(D283,Tbl_EquipmentDefinitions[Equipment ID],0))</f>
        <v>-</v>
      </c>
      <c r="J282" s="63" t="str">
        <f>D281</f>
        <v>BASE11</v>
      </c>
      <c r="K282" s="148">
        <f>K292+P288</f>
        <v>2758.6816847645832</v>
      </c>
      <c r="L282" s="285">
        <f>P285</f>
        <v>230</v>
      </c>
      <c r="M282" s="285" t="s">
        <v>1449</v>
      </c>
      <c r="N282" s="285" t="s">
        <v>1449</v>
      </c>
      <c r="O282" s="117">
        <f>U294</f>
        <v>3.5282837967401733E-2</v>
      </c>
      <c r="P282" s="117">
        <f>AD287</f>
        <v>0</v>
      </c>
      <c r="Q282" s="286">
        <v>0</v>
      </c>
      <c r="R282" s="286">
        <v>0</v>
      </c>
      <c r="S282" s="286">
        <f>K289</f>
        <v>120.80000000000001</v>
      </c>
      <c r="T282" s="148">
        <f>K293+P289</f>
        <v>2467.9830042540925</v>
      </c>
      <c r="U282" s="148">
        <f>U286</f>
        <v>7380.95</v>
      </c>
      <c r="V282" s="148">
        <v>0</v>
      </c>
      <c r="W282" s="148">
        <f>((PV(DiscountRate, (D294-D295),PMT(DiscountRate, D294, U282))/(1+DiscountRate)^(D295)))</f>
        <v>3177.0818630015465</v>
      </c>
      <c r="X282" s="148">
        <f>((PV(DiscountRate, (D294-D295),PMT(DiscountRate, D294, V282))/(1+DiscountRate)^(D295)))</f>
        <v>0</v>
      </c>
      <c r="Y282" s="285">
        <f>P286</f>
        <v>230</v>
      </c>
      <c r="Z282" s="285" t="s">
        <v>1449</v>
      </c>
      <c r="AA282" s="285" t="s">
        <v>1449</v>
      </c>
      <c r="AB282" s="117">
        <f>U295</f>
        <v>3.5282837967401733E-2</v>
      </c>
      <c r="AC282" s="117">
        <f>AD288</f>
        <v>0</v>
      </c>
      <c r="AD282" s="286">
        <v>0</v>
      </c>
      <c r="AE282" s="286">
        <v>0</v>
      </c>
      <c r="AF282" s="287">
        <f>K290</f>
        <v>107.85714285714288</v>
      </c>
    </row>
    <row r="283" spans="1:32" x14ac:dyDescent="0.2">
      <c r="A283" s="137"/>
      <c r="B283" s="16"/>
      <c r="C283" s="283" t="s">
        <v>2</v>
      </c>
      <c r="D283" s="62" t="str">
        <f>INDEX(Tbl_BaselineSummary[Equipment ID],MATCH(D281,Tbl_BaselineSummary[Baseline ID],0))</f>
        <v>EQUI021</v>
      </c>
      <c r="E283" s="5"/>
      <c r="F283" s="63" t="s">
        <v>55</v>
      </c>
      <c r="G283" s="68" t="str">
        <f>INDEX(Tbl_EquipmentDefinitions[Natural Gas Baseline Efficiency],MATCH(D283,Tbl_EquipmentDefinitions[Equipment ID],0))</f>
        <v>-</v>
      </c>
      <c r="H283" s="69" t="str">
        <f>INDEX(Tbl_EquipmentDefinitions[Natural Gas Code Efficiency],MATCH(D283,Tbl_EquipmentDefinitions[Equipment ID],0))</f>
        <v>-</v>
      </c>
      <c r="J283" s="5"/>
      <c r="K283" s="5"/>
      <c r="L283" s="5"/>
      <c r="M283" s="5"/>
      <c r="N283" s="5"/>
      <c r="O283" s="5"/>
      <c r="P283" s="5"/>
      <c r="Q283" s="5"/>
      <c r="R283" s="5"/>
      <c r="S283" s="5"/>
      <c r="T283" s="5"/>
      <c r="U283" s="5"/>
      <c r="V283" s="5"/>
      <c r="W283" s="5"/>
      <c r="X283" s="5"/>
      <c r="Y283" s="5"/>
      <c r="Z283" s="5"/>
      <c r="AA283" s="5"/>
      <c r="AB283" s="5"/>
      <c r="AC283" s="5"/>
      <c r="AD283" s="5"/>
      <c r="AE283" s="5"/>
      <c r="AF283" s="51"/>
    </row>
    <row r="284" spans="1:32" ht="12.75" x14ac:dyDescent="0.2">
      <c r="A284" s="137"/>
      <c r="B284" s="16"/>
      <c r="C284" s="283" t="s">
        <v>4</v>
      </c>
      <c r="D284" s="214" t="str">
        <f>INDEX(Tbl_EquipmentDefinitions[Equipment Name],MATCH(D283,Tbl_EquipmentDefinitions[Equipment ID],0))</f>
        <v>Oil Boiler+Tankless Coil WH</v>
      </c>
      <c r="E284" s="5"/>
      <c r="F284" s="63" t="s">
        <v>28</v>
      </c>
      <c r="G284" s="70" t="str">
        <f>INDEX(Tbl_EquipmentDefinitions[Propane Baseline Efficiency],MATCH(D283,Tbl_EquipmentDefinitions[Equipment ID],0))</f>
        <v>-</v>
      </c>
      <c r="H284" s="68" t="str">
        <f>INDEX(Tbl_EquipmentDefinitions[Propane Code Efficiency],MATCH(D283,Tbl_EquipmentDefinitions[Equipment ID],0))</f>
        <v>-</v>
      </c>
      <c r="J284" s="78" t="s">
        <v>272</v>
      </c>
      <c r="K284" s="78"/>
      <c r="L284" s="5"/>
      <c r="M284" s="5"/>
      <c r="N284" s="5"/>
      <c r="O284" s="5" t="s">
        <v>421</v>
      </c>
      <c r="P284" s="5"/>
      <c r="Q284" s="5"/>
      <c r="R284" s="5"/>
      <c r="S284" s="5"/>
      <c r="T284" s="5"/>
      <c r="U284" s="5"/>
      <c r="V284" s="5"/>
      <c r="W284" s="5"/>
      <c r="X284" s="5"/>
      <c r="Y284" s="5"/>
      <c r="Z284" s="5"/>
      <c r="AA284" s="5"/>
      <c r="AB284" s="5"/>
      <c r="AC284" s="5"/>
      <c r="AD284" s="5"/>
      <c r="AE284" s="5"/>
      <c r="AF284" s="51"/>
    </row>
    <row r="285" spans="1:32" x14ac:dyDescent="0.2">
      <c r="A285" s="137"/>
      <c r="B285" s="16"/>
      <c r="C285" s="283" t="s">
        <v>125</v>
      </c>
      <c r="D285" s="62" t="str">
        <f>INDEX(Tbl_EquipmentDefinitions[Equipment Level],MATCH(D283,Tbl_EquipmentDefinitions[Equipment ID],0))</f>
        <v>Secondary</v>
      </c>
      <c r="E285" s="5"/>
      <c r="F285" s="63" t="s">
        <v>27</v>
      </c>
      <c r="G285" s="68" t="str">
        <f>INDEX(Tbl_EquipmentDefinitions[Oil Baseline Efficiency],MATCH(D283,Tbl_EquipmentDefinitions[Equipment ID],0))</f>
        <v>75% AFUE</v>
      </c>
      <c r="H285" s="70" t="str">
        <f>INDEX(Tbl_EquipmentDefinitions[Oil Code Efficiency],MATCH(D283,Tbl_EquipmentDefinitions[Equipment ID],0))</f>
        <v>84% AFUE</v>
      </c>
      <c r="J285" s="5"/>
      <c r="K285" s="5"/>
      <c r="L285" s="5"/>
      <c r="M285" s="5"/>
      <c r="N285" s="5"/>
      <c r="O285" s="5" t="s">
        <v>420</v>
      </c>
      <c r="P285" s="144">
        <v>230</v>
      </c>
      <c r="Q285" s="5" t="s">
        <v>170</v>
      </c>
      <c r="T285" s="5" t="s">
        <v>608</v>
      </c>
      <c r="AC285" s="6" t="s">
        <v>976</v>
      </c>
      <c r="AF285" s="51"/>
    </row>
    <row r="286" spans="1:32" ht="12.75" x14ac:dyDescent="0.2">
      <c r="A286" s="137"/>
      <c r="B286" s="16"/>
      <c r="C286" s="283" t="s">
        <v>24</v>
      </c>
      <c r="D286" s="64" t="str">
        <f>INDEX(Tbl_EquipmentDefinitions[Function],MATCH(D283,Tbl_EquipmentDefinitions[Equipment ID],0))</f>
        <v>Heat+HW</v>
      </c>
      <c r="E286" s="5"/>
      <c r="F286" s="5"/>
      <c r="G286" s="5"/>
      <c r="H286" s="5"/>
      <c r="J286" s="115" t="s">
        <v>157</v>
      </c>
      <c r="K286" s="52">
        <v>0.75</v>
      </c>
      <c r="L286" s="5" t="s">
        <v>158</v>
      </c>
      <c r="M286" s="5"/>
      <c r="N286" s="5"/>
      <c r="O286" s="5" t="s">
        <v>408</v>
      </c>
      <c r="P286" s="144">
        <v>230</v>
      </c>
      <c r="Q286" s="5" t="s">
        <v>170</v>
      </c>
      <c r="T286" s="115" t="s">
        <v>428</v>
      </c>
      <c r="U286" s="147">
        <f>6866*1.075</f>
        <v>7380.95</v>
      </c>
      <c r="V286" s="5" t="s">
        <v>164</v>
      </c>
      <c r="W286" s="5"/>
      <c r="AC286" s="6" t="s">
        <v>977</v>
      </c>
      <c r="AE286" s="5"/>
      <c r="AF286" s="51"/>
    </row>
    <row r="287" spans="1:32" ht="12.75" x14ac:dyDescent="0.2">
      <c r="A287" s="137"/>
      <c r="B287" s="16"/>
      <c r="C287" s="283" t="s">
        <v>7</v>
      </c>
      <c r="D287" s="62" t="str">
        <f>INDEX(Tbl_EquipmentDefinitions[Fuel Type],MATCH(D283,Tbl_EquipmentDefinitions[Equipment ID],0))</f>
        <v>Oil</v>
      </c>
      <c r="E287" s="65"/>
      <c r="F287" s="671" t="s">
        <v>273</v>
      </c>
      <c r="G287" s="672"/>
      <c r="H287" s="672"/>
      <c r="J287" s="115" t="s">
        <v>159</v>
      </c>
      <c r="K287" s="52">
        <v>0.84</v>
      </c>
      <c r="L287" s="5" t="s">
        <v>158</v>
      </c>
      <c r="M287" s="5"/>
      <c r="N287" s="5"/>
      <c r="O287" s="5"/>
      <c r="P287" s="5"/>
      <c r="Q287" s="162"/>
      <c r="S287" s="162"/>
      <c r="Y287" s="5"/>
      <c r="Z287" s="5"/>
      <c r="AA287" s="5"/>
      <c r="AB287" s="5"/>
      <c r="AC287" s="156" t="s">
        <v>980</v>
      </c>
      <c r="AD287" s="387">
        <v>0</v>
      </c>
      <c r="AE287" s="5" t="s">
        <v>176</v>
      </c>
      <c r="AF287" s="51"/>
    </row>
    <row r="288" spans="1:32" ht="12.75" x14ac:dyDescent="0.2">
      <c r="A288" s="137"/>
      <c r="B288" s="16"/>
      <c r="C288" s="283" t="s">
        <v>126</v>
      </c>
      <c r="D288" s="64">
        <f>IF(ISERR(SEARCH("+",D287,1)),1,2)</f>
        <v>1</v>
      </c>
      <c r="E288" s="65"/>
      <c r="F288" s="672"/>
      <c r="G288" s="672"/>
      <c r="H288" s="672"/>
      <c r="J288" s="156"/>
      <c r="K288" s="5"/>
      <c r="L288" s="5"/>
      <c r="M288" s="5"/>
      <c r="N288" s="5"/>
      <c r="O288" s="55" t="s">
        <v>426</v>
      </c>
      <c r="P288" s="57">
        <f>P285*PRICE_PER_KWH_2018_ELECTRICITY</f>
        <v>45.494</v>
      </c>
      <c r="Q288" s="5" t="s">
        <v>164</v>
      </c>
      <c r="T288" s="6" t="s">
        <v>423</v>
      </c>
      <c r="Y288" s="5"/>
      <c r="Z288" s="5"/>
      <c r="AA288" s="5"/>
      <c r="AB288" s="5"/>
      <c r="AC288" s="156" t="s">
        <v>981</v>
      </c>
      <c r="AD288" s="387">
        <v>0</v>
      </c>
      <c r="AE288" s="5" t="s">
        <v>176</v>
      </c>
      <c r="AF288" s="51"/>
    </row>
    <row r="289" spans="1:32" ht="12.75" x14ac:dyDescent="0.2">
      <c r="A289" s="137"/>
      <c r="B289" s="16"/>
      <c r="C289" s="284"/>
      <c r="D289" s="5"/>
      <c r="E289" s="5"/>
      <c r="F289" s="672"/>
      <c r="G289" s="672"/>
      <c r="H289" s="672"/>
      <c r="J289" s="115" t="s">
        <v>353</v>
      </c>
      <c r="K289" s="56">
        <f>($D$290+$D$292)/K286</f>
        <v>120.80000000000001</v>
      </c>
      <c r="L289" s="5" t="s">
        <v>156</v>
      </c>
      <c r="M289" s="5"/>
      <c r="N289" s="5"/>
      <c r="O289" s="55" t="s">
        <v>427</v>
      </c>
      <c r="P289" s="57">
        <f>P286*PRICE_PER_KWH_2018_ELECTRICITY</f>
        <v>45.494</v>
      </c>
      <c r="Q289" s="5" t="s">
        <v>164</v>
      </c>
      <c r="T289" s="5" t="s">
        <v>422</v>
      </c>
      <c r="U289" s="146">
        <f>AVERAGE(530,984,1329,1329)</f>
        <v>1043</v>
      </c>
      <c r="V289" s="6" t="s">
        <v>397</v>
      </c>
      <c r="Y289" s="5"/>
      <c r="Z289" s="5"/>
      <c r="AA289" s="5"/>
      <c r="AB289" s="5"/>
      <c r="AC289" s="5"/>
      <c r="AD289" s="5"/>
      <c r="AE289" s="5"/>
      <c r="AF289" s="51"/>
    </row>
    <row r="290" spans="1:32" ht="12.75" x14ac:dyDescent="0.2">
      <c r="A290" s="137"/>
      <c r="B290" s="16"/>
      <c r="C290" s="283" t="s">
        <v>155</v>
      </c>
      <c r="D290" s="62">
        <f>INDEX(Tbl_BaselineSummary[Space Heating Load (MMBtu/yr)],MATCH(D281,Tbl_BaselineSummary[Baseline ID],0))</f>
        <v>76.7</v>
      </c>
      <c r="E290" s="5" t="s">
        <v>156</v>
      </c>
      <c r="F290" s="672"/>
      <c r="G290" s="672"/>
      <c r="H290" s="672"/>
      <c r="J290" s="115" t="s">
        <v>385</v>
      </c>
      <c r="K290" s="56">
        <f>($D$290+$D$292)/K287</f>
        <v>107.85714285714288</v>
      </c>
      <c r="L290" s="5" t="s">
        <v>156</v>
      </c>
      <c r="M290" s="5"/>
      <c r="N290" s="5"/>
      <c r="Y290" s="5"/>
      <c r="Z290" s="5"/>
      <c r="AA290" s="5"/>
      <c r="AB290" s="5"/>
      <c r="AC290" s="5"/>
      <c r="AD290" s="5"/>
      <c r="AE290" s="5"/>
      <c r="AF290" s="51"/>
    </row>
    <row r="291" spans="1:32" x14ac:dyDescent="0.2">
      <c r="A291" s="137"/>
      <c r="B291" s="16"/>
      <c r="C291" s="283" t="s">
        <v>167</v>
      </c>
      <c r="D291" s="62">
        <f>INDEX(Tbl_BaselineSummary[Space Cooling Load (MMBtu/yr)],MATCH(D281,Tbl_BaselineSummary[Baseline ID],0))</f>
        <v>13.072800000000001</v>
      </c>
      <c r="E291" s="5" t="s">
        <v>156</v>
      </c>
      <c r="F291" s="672"/>
      <c r="G291" s="672"/>
      <c r="H291" s="672"/>
      <c r="J291" s="156"/>
      <c r="K291" s="5"/>
      <c r="L291" s="5"/>
      <c r="M291" s="5"/>
      <c r="N291" s="5"/>
      <c r="S291" s="5"/>
      <c r="T291" s="6" t="s">
        <v>740</v>
      </c>
      <c r="Y291" s="5"/>
      <c r="Z291" s="5"/>
      <c r="AA291" s="5"/>
      <c r="AB291" s="5"/>
      <c r="AC291" s="5"/>
      <c r="AD291" s="5"/>
      <c r="AE291" s="5"/>
      <c r="AF291" s="51"/>
    </row>
    <row r="292" spans="1:32" ht="12.75" x14ac:dyDescent="0.2">
      <c r="A292" s="137"/>
      <c r="B292" s="16"/>
      <c r="C292" s="283" t="s">
        <v>244</v>
      </c>
      <c r="D292" s="62">
        <f>INDEX(Tbl_BaselineSummary[Water Heating Load (MMBtu/yr)],MATCH(D281,Tbl_BaselineSummary[Baseline ID],0))</f>
        <v>13.9</v>
      </c>
      <c r="E292" s="5" t="s">
        <v>156</v>
      </c>
      <c r="F292" s="672"/>
      <c r="G292" s="672"/>
      <c r="H292" s="672"/>
      <c r="J292" s="115" t="s">
        <v>253</v>
      </c>
      <c r="K292" s="292">
        <f>K289*PRICE_PER_MMBTU_2018_OIL</f>
        <v>2713.1876847645831</v>
      </c>
      <c r="L292" s="5" t="s">
        <v>164</v>
      </c>
      <c r="M292" s="5"/>
      <c r="N292" s="5"/>
      <c r="S292" s="5"/>
      <c r="T292" s="155" t="s">
        <v>739</v>
      </c>
      <c r="U292" s="146">
        <v>0.16</v>
      </c>
      <c r="V292" s="5"/>
      <c r="W292" s="5"/>
      <c r="Y292" s="5"/>
      <c r="Z292" s="5"/>
      <c r="AA292" s="5"/>
      <c r="AB292" s="5"/>
      <c r="AC292" s="5"/>
      <c r="AD292" s="5"/>
      <c r="AE292" s="5"/>
      <c r="AF292" s="51"/>
    </row>
    <row r="293" spans="1:32" ht="12.75" x14ac:dyDescent="0.2">
      <c r="A293" s="137"/>
      <c r="B293" s="16"/>
      <c r="C293" s="284"/>
      <c r="D293" s="5"/>
      <c r="E293" s="5"/>
      <c r="F293" s="5"/>
      <c r="G293" s="5"/>
      <c r="H293" s="5"/>
      <c r="J293" s="115" t="s">
        <v>254</v>
      </c>
      <c r="K293" s="292">
        <f>K290*PRICE_PER_MMBTU_2018_OIL</f>
        <v>2422.4890042540924</v>
      </c>
      <c r="L293" s="5" t="s">
        <v>164</v>
      </c>
      <c r="M293" s="5"/>
      <c r="N293" s="5"/>
      <c r="S293" s="5"/>
      <c r="Y293" s="5"/>
      <c r="Z293" s="5"/>
      <c r="AA293" s="5"/>
      <c r="AB293" s="5"/>
      <c r="AC293" s="5"/>
      <c r="AD293" s="5"/>
      <c r="AE293" s="5"/>
      <c r="AF293" s="51"/>
    </row>
    <row r="294" spans="1:32" ht="12.75" x14ac:dyDescent="0.2">
      <c r="A294" s="137"/>
      <c r="B294" s="16"/>
      <c r="C294" s="283" t="s">
        <v>635</v>
      </c>
      <c r="D294" s="62">
        <f>INDEX(Tbl_EquipmentDefinitions[New Unit Equipment Life (years)],MATCH('Baseline Calculations'!D283,Tbl_EquipmentDefinitions[Equipment ID],0))</f>
        <v>20</v>
      </c>
      <c r="E294" s="188" t="s">
        <v>376</v>
      </c>
      <c r="F294" s="5"/>
      <c r="G294" s="5"/>
      <c r="H294" s="5"/>
      <c r="J294" s="234"/>
      <c r="L294" s="5"/>
      <c r="M294" s="5"/>
      <c r="N294" s="5"/>
      <c r="S294" s="5"/>
      <c r="T294" s="5" t="s">
        <v>424</v>
      </c>
      <c r="U294" s="145">
        <f>U292*P285/U289</f>
        <v>3.5282837967401733E-2</v>
      </c>
      <c r="V294" s="5" t="s">
        <v>176</v>
      </c>
      <c r="W294" s="5"/>
      <c r="Y294" s="5"/>
      <c r="Z294" s="5"/>
      <c r="AA294" s="5"/>
      <c r="AB294" s="5"/>
      <c r="AC294" s="5"/>
      <c r="AD294" s="5"/>
      <c r="AE294" s="5"/>
      <c r="AF294" s="51"/>
    </row>
    <row r="295" spans="1:32" x14ac:dyDescent="0.2">
      <c r="A295" s="137"/>
      <c r="B295" s="16"/>
      <c r="C295" s="283" t="s">
        <v>636</v>
      </c>
      <c r="D295" s="62">
        <f>INDEX(Tbl_EquipmentDefinitions[Remaining Life for Early Replacement (years)],MATCH('Baseline Calculations'!D283,Tbl_EquipmentDefinitions[Equipment ID],0))</f>
        <v>10</v>
      </c>
      <c r="E295" s="188" t="s">
        <v>376</v>
      </c>
      <c r="F295" s="5"/>
      <c r="G295" s="5"/>
      <c r="H295" s="5"/>
      <c r="T295" s="5" t="s">
        <v>425</v>
      </c>
      <c r="U295" s="145">
        <f>U292*P286/U289</f>
        <v>3.5282837967401733E-2</v>
      </c>
      <c r="V295" s="5" t="s">
        <v>176</v>
      </c>
      <c r="W295" s="5"/>
      <c r="Y295" s="5"/>
      <c r="Z295" s="5"/>
      <c r="AA295" s="5"/>
      <c r="AB295" s="5"/>
      <c r="AC295" s="5"/>
      <c r="AD295" s="5"/>
      <c r="AE295" s="5"/>
      <c r="AF295" s="51"/>
    </row>
    <row r="296" spans="1:32" x14ac:dyDescent="0.2">
      <c r="A296" s="137"/>
      <c r="B296" s="16"/>
      <c r="C296" s="58"/>
      <c r="D296" s="59"/>
      <c r="E296" s="59"/>
      <c r="F296" s="59"/>
      <c r="G296" s="59"/>
      <c r="H296" s="59"/>
      <c r="J296" s="59"/>
      <c r="K296" s="59"/>
      <c r="L296" s="59"/>
      <c r="M296" s="59"/>
      <c r="N296" s="59"/>
      <c r="O296" s="59"/>
      <c r="P296" s="59"/>
      <c r="Q296" s="59"/>
      <c r="R296" s="59"/>
      <c r="S296" s="59"/>
      <c r="T296" s="59"/>
      <c r="U296" s="59"/>
      <c r="V296" s="59"/>
      <c r="W296" s="59"/>
      <c r="Y296" s="59"/>
      <c r="Z296" s="59"/>
      <c r="AA296" s="59"/>
      <c r="AB296" s="59"/>
      <c r="AC296" s="59"/>
      <c r="AD296" s="59"/>
      <c r="AE296" s="59"/>
      <c r="AF296" s="60"/>
    </row>
    <row r="297" spans="1:32" x14ac:dyDescent="0.2">
      <c r="A297" s="137"/>
      <c r="B297" s="16"/>
    </row>
    <row r="298" spans="1:32" ht="15.75" thickBot="1" x14ac:dyDescent="0.25">
      <c r="A298" s="137"/>
      <c r="B298" s="16"/>
      <c r="C298" s="74" t="s">
        <v>270</v>
      </c>
      <c r="D298" s="75"/>
      <c r="E298" s="75"/>
      <c r="F298" s="75"/>
      <c r="G298" s="75"/>
      <c r="H298" s="75"/>
      <c r="J298" s="75" t="s">
        <v>271</v>
      </c>
      <c r="K298" s="75"/>
      <c r="L298" s="48"/>
      <c r="M298" s="48"/>
      <c r="N298" s="48"/>
      <c r="O298" s="48"/>
      <c r="P298" s="48"/>
      <c r="Q298" s="48"/>
      <c r="R298" s="48"/>
      <c r="S298" s="48"/>
      <c r="T298" s="48"/>
      <c r="U298" s="48"/>
      <c r="V298" s="48"/>
      <c r="W298" s="48"/>
      <c r="X298" s="48"/>
      <c r="Y298" s="48"/>
      <c r="Z298" s="48"/>
      <c r="AA298" s="48"/>
      <c r="AB298" s="48"/>
      <c r="AC298" s="48"/>
      <c r="AD298" s="48"/>
      <c r="AE298" s="48"/>
      <c r="AF298" s="49"/>
    </row>
    <row r="299" spans="1:32" ht="3.75" customHeight="1" x14ac:dyDescent="0.2">
      <c r="A299" s="137"/>
      <c r="B299" s="16"/>
      <c r="C299" s="50"/>
      <c r="D299" s="5"/>
      <c r="E299" s="5"/>
      <c r="F299" s="5"/>
      <c r="G299" s="5"/>
      <c r="H299" s="5"/>
      <c r="J299" s="5"/>
      <c r="K299" s="5"/>
      <c r="L299" s="5"/>
      <c r="M299" s="5"/>
      <c r="N299" s="5"/>
      <c r="O299" s="5"/>
      <c r="P299" s="5"/>
      <c r="Q299" s="5"/>
      <c r="R299" s="5"/>
      <c r="S299" s="5"/>
      <c r="T299" s="5"/>
      <c r="U299" s="5"/>
      <c r="V299" s="5"/>
      <c r="W299" s="5"/>
      <c r="X299" s="5"/>
      <c r="Y299" s="5"/>
      <c r="Z299" s="5"/>
      <c r="AA299" s="5"/>
      <c r="AB299" s="5"/>
      <c r="AC299" s="5"/>
      <c r="AD299" s="5"/>
      <c r="AE299" s="5"/>
      <c r="AF299" s="51"/>
    </row>
    <row r="300" spans="1:32" ht="34.5" thickBot="1" x14ac:dyDescent="0.25">
      <c r="A300" s="137"/>
      <c r="B300" s="16"/>
      <c r="C300" s="76" t="s">
        <v>249</v>
      </c>
      <c r="D300" s="81" t="s">
        <v>238</v>
      </c>
      <c r="E300" s="71"/>
      <c r="F300" s="66" t="s">
        <v>260</v>
      </c>
      <c r="G300" s="66" t="s">
        <v>5</v>
      </c>
      <c r="H300" s="66" t="s">
        <v>6</v>
      </c>
      <c r="J300" s="66" t="s">
        <v>127</v>
      </c>
      <c r="K300" s="72" t="s">
        <v>261</v>
      </c>
      <c r="L300" s="72" t="s">
        <v>262</v>
      </c>
      <c r="M300" s="72" t="s">
        <v>1455</v>
      </c>
      <c r="N300" s="72" t="s">
        <v>1456</v>
      </c>
      <c r="O300" s="72" t="s">
        <v>963</v>
      </c>
      <c r="P300" s="72" t="s">
        <v>974</v>
      </c>
      <c r="Q300" s="72" t="s">
        <v>263</v>
      </c>
      <c r="R300" s="72" t="s">
        <v>264</v>
      </c>
      <c r="S300" s="72" t="s">
        <v>265</v>
      </c>
      <c r="T300" s="72" t="s">
        <v>280</v>
      </c>
      <c r="U300" s="72" t="s">
        <v>200</v>
      </c>
      <c r="V300" s="72" t="s">
        <v>753</v>
      </c>
      <c r="W300" s="72" t="s">
        <v>634</v>
      </c>
      <c r="X300" s="72" t="s">
        <v>754</v>
      </c>
      <c r="Y300" s="72" t="s">
        <v>266</v>
      </c>
      <c r="Z300" s="72" t="s">
        <v>1457</v>
      </c>
      <c r="AA300" s="72" t="s">
        <v>1458</v>
      </c>
      <c r="AB300" s="72" t="s">
        <v>964</v>
      </c>
      <c r="AC300" s="72" t="s">
        <v>975</v>
      </c>
      <c r="AD300" s="72" t="s">
        <v>267</v>
      </c>
      <c r="AE300" s="72" t="s">
        <v>268</v>
      </c>
      <c r="AF300" s="77" t="s">
        <v>269</v>
      </c>
    </row>
    <row r="301" spans="1:32" x14ac:dyDescent="0.2">
      <c r="A301" s="137"/>
      <c r="B301" s="16"/>
      <c r="C301" s="61"/>
      <c r="D301" s="5"/>
      <c r="E301" s="5"/>
      <c r="F301" s="63" t="s">
        <v>178</v>
      </c>
      <c r="G301" s="67" t="str">
        <f>INDEX(Tbl_EquipmentDefinitions[Electricity Baseline Efficiency],MATCH(D302,Tbl_EquipmentDefinitions[Equipment ID],0))</f>
        <v>-</v>
      </c>
      <c r="H301" s="68" t="str">
        <f>INDEX(Tbl_EquipmentDefinitions[Electricity Code Efficiency],MATCH(D302,Tbl_EquipmentDefinitions[Equipment ID],0))</f>
        <v>-</v>
      </c>
      <c r="J301" s="63" t="str">
        <f>D300</f>
        <v>BASE12</v>
      </c>
      <c r="K301" s="148">
        <f>K311+P307</f>
        <v>3448.9949028815445</v>
      </c>
      <c r="L301" s="285">
        <f>P304</f>
        <v>197</v>
      </c>
      <c r="M301" s="285" t="s">
        <v>1449</v>
      </c>
      <c r="N301" s="285" t="s">
        <v>1449</v>
      </c>
      <c r="O301" s="117">
        <f>U313</f>
        <v>3.0220517737296261E-2</v>
      </c>
      <c r="P301" s="117">
        <f>AD306</f>
        <v>0</v>
      </c>
      <c r="Q301" s="286">
        <v>0</v>
      </c>
      <c r="R301" s="286">
        <f>K308</f>
        <v>94.866925064599485</v>
      </c>
      <c r="S301" s="286">
        <v>0</v>
      </c>
      <c r="T301" s="148">
        <f>K312+P308</f>
        <v>2971.5909404781287</v>
      </c>
      <c r="U301" s="148">
        <f>U305</f>
        <v>10631</v>
      </c>
      <c r="V301" s="148">
        <v>0</v>
      </c>
      <c r="W301" s="148">
        <f>((PV(DiscountRate, (D313-D314),PMT(DiscountRate, D313, U301))/(1+DiscountRate)^(D314)))</f>
        <v>6218.0497230298324</v>
      </c>
      <c r="X301" s="148">
        <f>((PV(DiscountRate, (D313-D314),PMT(DiscountRate, D313, V301))/(1+DiscountRate)^(D314)))</f>
        <v>0</v>
      </c>
      <c r="Y301" s="285">
        <f>P305</f>
        <v>197</v>
      </c>
      <c r="Z301" s="285" t="s">
        <v>1449</v>
      </c>
      <c r="AA301" s="285" t="s">
        <v>1449</v>
      </c>
      <c r="AB301" s="117">
        <f>U314</f>
        <v>3.0220517737296261E-2</v>
      </c>
      <c r="AC301" s="117">
        <f>AD307</f>
        <v>0</v>
      </c>
      <c r="AD301" s="286">
        <v>0</v>
      </c>
      <c r="AE301" s="286">
        <f>K309</f>
        <v>81.585555555555558</v>
      </c>
      <c r="AF301" s="287">
        <v>0</v>
      </c>
    </row>
    <row r="302" spans="1:32" x14ac:dyDescent="0.2">
      <c r="A302" s="137"/>
      <c r="B302" s="16"/>
      <c r="C302" s="283" t="s">
        <v>2</v>
      </c>
      <c r="D302" s="62" t="str">
        <f>INDEX(Tbl_BaselineSummary[Equipment ID],MATCH(D300,Tbl_BaselineSummary[Baseline ID],0))</f>
        <v>EQUI023</v>
      </c>
      <c r="E302" s="5"/>
      <c r="F302" s="63" t="s">
        <v>55</v>
      </c>
      <c r="G302" s="68" t="str">
        <f>INDEX(Tbl_EquipmentDefinitions[Natural Gas Baseline Efficiency],MATCH(D302,Tbl_EquipmentDefinitions[Equipment ID],0))</f>
        <v>-</v>
      </c>
      <c r="H302" s="69" t="str">
        <f>INDEX(Tbl_EquipmentDefinitions[Natural Gas Code Efficiency],MATCH(D302,Tbl_EquipmentDefinitions[Equipment ID],0))</f>
        <v>-</v>
      </c>
      <c r="J302" s="5"/>
      <c r="K302" s="5"/>
      <c r="L302" s="5"/>
      <c r="M302" s="5"/>
      <c r="N302" s="5"/>
      <c r="O302" s="5"/>
      <c r="P302" s="5"/>
      <c r="Q302" s="5"/>
      <c r="R302" s="5"/>
      <c r="S302" s="5"/>
      <c r="T302" s="5"/>
      <c r="U302" s="5"/>
      <c r="V302" s="5"/>
      <c r="W302" s="5"/>
      <c r="X302" s="5"/>
      <c r="Y302" s="5"/>
      <c r="Z302" s="5"/>
      <c r="AA302" s="5"/>
      <c r="AB302" s="5"/>
      <c r="AC302" s="5"/>
      <c r="AD302" s="5"/>
      <c r="AE302" s="5"/>
      <c r="AF302" s="51"/>
    </row>
    <row r="303" spans="1:32" ht="22.5" x14ac:dyDescent="0.2">
      <c r="A303" s="137"/>
      <c r="B303" s="16"/>
      <c r="C303" s="283" t="s">
        <v>4</v>
      </c>
      <c r="D303" s="214" t="str">
        <f>INDEX(Tbl_EquipmentDefinitions[Equipment Name],MATCH(D302,Tbl_EquipmentDefinitions[Equipment ID],0))</f>
        <v>Propane Combination Boiler</v>
      </c>
      <c r="E303" s="5"/>
      <c r="F303" s="63" t="s">
        <v>28</v>
      </c>
      <c r="G303" s="213" t="str">
        <f>INDEX(Tbl_EquipmentDefinitions[Propane Baseline Efficiency],MATCH(D302,Tbl_EquipmentDefinitions[Equipment ID],0))</f>
        <v>80% AFUE (77.4% actual)</v>
      </c>
      <c r="H303" s="68" t="str">
        <f>INDEX(Tbl_EquipmentDefinitions[Propane Code Efficiency],MATCH(D302,Tbl_EquipmentDefinitions[Equipment ID],0))</f>
        <v>90% AFUE</v>
      </c>
      <c r="J303" s="78" t="s">
        <v>272</v>
      </c>
      <c r="K303" s="78"/>
      <c r="L303" s="5"/>
      <c r="M303" s="5"/>
      <c r="N303" s="5"/>
      <c r="O303" s="5" t="s">
        <v>421</v>
      </c>
      <c r="P303" s="5"/>
      <c r="Q303" s="5"/>
      <c r="R303" s="5"/>
      <c r="S303" s="5"/>
      <c r="Y303" s="5"/>
      <c r="Z303" s="5"/>
      <c r="AA303" s="5"/>
      <c r="AB303" s="5"/>
      <c r="AC303" s="5"/>
      <c r="AD303" s="5"/>
      <c r="AE303" s="5"/>
      <c r="AF303" s="51"/>
    </row>
    <row r="304" spans="1:32" x14ac:dyDescent="0.2">
      <c r="A304" s="137"/>
      <c r="B304" s="16"/>
      <c r="C304" s="283" t="s">
        <v>125</v>
      </c>
      <c r="D304" s="62" t="str">
        <f>INDEX(Tbl_EquipmentDefinitions[Equipment Level],MATCH(D302,Tbl_EquipmentDefinitions[Equipment ID],0))</f>
        <v>Primary</v>
      </c>
      <c r="E304" s="5"/>
      <c r="F304" s="63" t="s">
        <v>27</v>
      </c>
      <c r="G304" s="68" t="str">
        <f>INDEX(Tbl_EquipmentDefinitions[Oil Baseline Efficiency],MATCH(D302,Tbl_EquipmentDefinitions[Equipment ID],0))</f>
        <v>-</v>
      </c>
      <c r="H304" s="70" t="str">
        <f>INDEX(Tbl_EquipmentDefinitions[Oil Code Efficiency],MATCH(D302,Tbl_EquipmentDefinitions[Equipment ID],0))</f>
        <v>-</v>
      </c>
      <c r="J304" s="5"/>
      <c r="K304" s="5"/>
      <c r="L304" s="5"/>
      <c r="M304" s="5"/>
      <c r="N304" s="5"/>
      <c r="O304" s="5" t="s">
        <v>420</v>
      </c>
      <c r="P304" s="144">
        <v>197</v>
      </c>
      <c r="Q304" s="5" t="s">
        <v>170</v>
      </c>
      <c r="T304" s="5" t="s">
        <v>609</v>
      </c>
      <c r="U304" s="5"/>
      <c r="V304" s="5"/>
      <c r="W304" s="5"/>
      <c r="AB304" s="5"/>
      <c r="AC304" s="6" t="s">
        <v>976</v>
      </c>
      <c r="AF304" s="51"/>
    </row>
    <row r="305" spans="1:32" ht="12.75" x14ac:dyDescent="0.2">
      <c r="A305" s="137"/>
      <c r="B305" s="16"/>
      <c r="C305" s="283" t="s">
        <v>24</v>
      </c>
      <c r="D305" s="64" t="str">
        <f>INDEX(Tbl_EquipmentDefinitions[Function],MATCH(D302,Tbl_EquipmentDefinitions[Equipment ID],0))</f>
        <v>Heat+HW</v>
      </c>
      <c r="E305" s="5"/>
      <c r="F305" s="5"/>
      <c r="G305" s="5"/>
      <c r="H305" s="5"/>
      <c r="J305" s="115" t="s">
        <v>157</v>
      </c>
      <c r="K305" s="52">
        <v>0.77400000000000002</v>
      </c>
      <c r="L305" s="5" t="s">
        <v>158</v>
      </c>
      <c r="M305" s="5"/>
      <c r="N305" s="5"/>
      <c r="O305" s="5" t="s">
        <v>408</v>
      </c>
      <c r="P305" s="144">
        <v>197</v>
      </c>
      <c r="Q305" s="5" t="s">
        <v>170</v>
      </c>
      <c r="S305" s="5"/>
      <c r="T305" s="5" t="s">
        <v>428</v>
      </c>
      <c r="U305" s="147">
        <v>10631</v>
      </c>
      <c r="V305" s="5" t="s">
        <v>164</v>
      </c>
      <c r="W305" s="5"/>
      <c r="Y305" s="5"/>
      <c r="Z305" s="5"/>
      <c r="AA305" s="5"/>
      <c r="AB305" s="5"/>
      <c r="AC305" s="6" t="s">
        <v>977</v>
      </c>
      <c r="AE305" s="5"/>
      <c r="AF305" s="51"/>
    </row>
    <row r="306" spans="1:32" ht="12.75" x14ac:dyDescent="0.2">
      <c r="A306" s="137"/>
      <c r="B306" s="16"/>
      <c r="C306" s="283" t="s">
        <v>7</v>
      </c>
      <c r="D306" s="62" t="str">
        <f>INDEX(Tbl_EquipmentDefinitions[Fuel Type],MATCH(D302,Tbl_EquipmentDefinitions[Equipment ID],0))</f>
        <v>Propane</v>
      </c>
      <c r="E306" s="65"/>
      <c r="F306" s="671" t="s">
        <v>273</v>
      </c>
      <c r="G306" s="672"/>
      <c r="H306" s="672"/>
      <c r="J306" s="115" t="s">
        <v>159</v>
      </c>
      <c r="K306" s="52">
        <v>0.9</v>
      </c>
      <c r="L306" s="5" t="s">
        <v>158</v>
      </c>
      <c r="M306" s="5"/>
      <c r="N306" s="5"/>
      <c r="O306" s="5"/>
      <c r="P306" s="5"/>
      <c r="Q306" s="162"/>
      <c r="S306" s="162"/>
      <c r="Y306" s="5"/>
      <c r="Z306" s="5"/>
      <c r="AA306" s="5"/>
      <c r="AB306" s="5"/>
      <c r="AC306" s="156" t="s">
        <v>980</v>
      </c>
      <c r="AD306" s="387">
        <v>0</v>
      </c>
      <c r="AE306" s="5" t="s">
        <v>176</v>
      </c>
      <c r="AF306" s="51"/>
    </row>
    <row r="307" spans="1:32" ht="12.75" x14ac:dyDescent="0.2">
      <c r="A307" s="137"/>
      <c r="B307" s="16"/>
      <c r="C307" s="283" t="s">
        <v>126</v>
      </c>
      <c r="D307" s="64">
        <f>IF(ISERR(SEARCH("+",D306,1)),1,2)</f>
        <v>1</v>
      </c>
      <c r="E307" s="65"/>
      <c r="F307" s="672"/>
      <c r="G307" s="672"/>
      <c r="H307" s="672"/>
      <c r="J307" s="156"/>
      <c r="K307" s="5"/>
      <c r="L307" s="5"/>
      <c r="M307" s="5"/>
      <c r="N307" s="5"/>
      <c r="O307" s="55" t="s">
        <v>426</v>
      </c>
      <c r="P307" s="57">
        <f>P304*PRICE_PER_KWH_2018_ELECTRICITY</f>
        <v>38.9666</v>
      </c>
      <c r="Q307" s="5" t="s">
        <v>164</v>
      </c>
      <c r="T307" s="6" t="s">
        <v>423</v>
      </c>
      <c r="U307" s="5"/>
      <c r="V307" s="5"/>
      <c r="W307" s="5"/>
      <c r="Y307" s="5"/>
      <c r="Z307" s="5"/>
      <c r="AA307" s="5"/>
      <c r="AB307" s="5"/>
      <c r="AC307" s="156" t="s">
        <v>981</v>
      </c>
      <c r="AD307" s="387">
        <v>0</v>
      </c>
      <c r="AE307" s="5" t="s">
        <v>176</v>
      </c>
      <c r="AF307" s="51"/>
    </row>
    <row r="308" spans="1:32" ht="12.75" x14ac:dyDescent="0.2">
      <c r="A308" s="137"/>
      <c r="B308" s="16"/>
      <c r="C308" s="284"/>
      <c r="D308" s="5"/>
      <c r="E308" s="5"/>
      <c r="F308" s="672"/>
      <c r="G308" s="672"/>
      <c r="H308" s="672"/>
      <c r="J308" s="115" t="s">
        <v>334</v>
      </c>
      <c r="K308" s="56">
        <f>($D$309+$D$311)/K305</f>
        <v>94.866925064599485</v>
      </c>
      <c r="L308" s="5" t="s">
        <v>156</v>
      </c>
      <c r="M308" s="5"/>
      <c r="N308" s="5"/>
      <c r="O308" s="55" t="s">
        <v>427</v>
      </c>
      <c r="P308" s="57">
        <f>P305*PRICE_PER_KWH_2018_ELECTRICITY</f>
        <v>38.9666</v>
      </c>
      <c r="Q308" s="5" t="s">
        <v>164</v>
      </c>
      <c r="T308" s="5" t="s">
        <v>422</v>
      </c>
      <c r="U308" s="146">
        <f>AVERAGE(530,984,1329,1329)</f>
        <v>1043</v>
      </c>
      <c r="V308" s="6" t="s">
        <v>397</v>
      </c>
      <c r="Y308" s="5"/>
      <c r="Z308" s="5"/>
      <c r="AA308" s="5"/>
      <c r="AB308" s="5"/>
      <c r="AC308" s="5"/>
      <c r="AD308" s="5"/>
      <c r="AE308" s="5"/>
      <c r="AF308" s="51"/>
    </row>
    <row r="309" spans="1:32" ht="12.75" x14ac:dyDescent="0.2">
      <c r="A309" s="137"/>
      <c r="B309" s="16"/>
      <c r="C309" s="283" t="s">
        <v>155</v>
      </c>
      <c r="D309" s="62">
        <f>INDEX(Tbl_BaselineSummary[Space Heating Load (MMBtu/yr)],MATCH(D300,Tbl_BaselineSummary[Baseline ID],0))</f>
        <v>62.12700000000001</v>
      </c>
      <c r="E309" s="5" t="s">
        <v>156</v>
      </c>
      <c r="F309" s="672"/>
      <c r="G309" s="672"/>
      <c r="H309" s="672"/>
      <c r="J309" s="115" t="s">
        <v>384</v>
      </c>
      <c r="K309" s="56">
        <f>($D$309+$D$311)/K306</f>
        <v>81.585555555555558</v>
      </c>
      <c r="L309" s="5" t="s">
        <v>156</v>
      </c>
      <c r="M309" s="5"/>
      <c r="N309" s="5"/>
      <c r="Y309" s="5"/>
      <c r="Z309" s="5"/>
      <c r="AA309" s="5"/>
      <c r="AB309" s="5"/>
      <c r="AC309" s="5"/>
      <c r="AD309" s="5"/>
      <c r="AE309" s="5"/>
      <c r="AF309" s="51"/>
    </row>
    <row r="310" spans="1:32" x14ac:dyDescent="0.2">
      <c r="A310" s="137"/>
      <c r="B310" s="16"/>
      <c r="C310" s="283" t="s">
        <v>167</v>
      </c>
      <c r="D310" s="62">
        <f>INDEX(Tbl_BaselineSummary[Space Cooling Load (MMBtu/yr)],MATCH(D300,Tbl_BaselineSummary[Baseline ID],0))</f>
        <v>13.072800000000001</v>
      </c>
      <c r="E310" s="5" t="s">
        <v>156</v>
      </c>
      <c r="F310" s="672"/>
      <c r="G310" s="672"/>
      <c r="H310" s="672"/>
      <c r="J310" s="156"/>
      <c r="K310" s="5"/>
      <c r="L310" s="5"/>
      <c r="M310" s="5"/>
      <c r="N310" s="5"/>
      <c r="T310" s="6" t="s">
        <v>740</v>
      </c>
      <c r="V310" s="5"/>
      <c r="W310" s="5"/>
      <c r="Y310" s="5"/>
      <c r="Z310" s="5"/>
      <c r="AA310" s="5"/>
      <c r="AB310" s="5"/>
      <c r="AC310" s="5"/>
      <c r="AD310" s="5"/>
      <c r="AE310" s="5"/>
      <c r="AF310" s="51"/>
    </row>
    <row r="311" spans="1:32" ht="12.75" x14ac:dyDescent="0.2">
      <c r="A311" s="137"/>
      <c r="B311" s="16"/>
      <c r="C311" s="283" t="s">
        <v>244</v>
      </c>
      <c r="D311" s="62">
        <f>INDEX(Tbl_BaselineSummary[Water Heating Load (MMBtu/yr)],MATCH(D300,Tbl_BaselineSummary[Baseline ID],0))</f>
        <v>11.3</v>
      </c>
      <c r="E311" s="5" t="s">
        <v>156</v>
      </c>
      <c r="F311" s="672"/>
      <c r="G311" s="672"/>
      <c r="H311" s="672"/>
      <c r="J311" s="115" t="s">
        <v>313</v>
      </c>
      <c r="K311" s="292">
        <f>K308*PRICE_PER_MMBTU_2018_PROPANE</f>
        <v>3410.0283028815443</v>
      </c>
      <c r="L311" s="5" t="s">
        <v>164</v>
      </c>
      <c r="M311" s="5"/>
      <c r="N311" s="5"/>
      <c r="T311" s="155" t="s">
        <v>739</v>
      </c>
      <c r="U311" s="146">
        <v>0.16</v>
      </c>
      <c r="V311" s="5"/>
      <c r="W311" s="5"/>
      <c r="Y311" s="5"/>
      <c r="Z311" s="5"/>
      <c r="AA311" s="5"/>
      <c r="AB311" s="5"/>
      <c r="AC311" s="5"/>
      <c r="AD311" s="5"/>
      <c r="AE311" s="5"/>
      <c r="AF311" s="51"/>
    </row>
    <row r="312" spans="1:32" ht="12.75" x14ac:dyDescent="0.2">
      <c r="A312" s="137"/>
      <c r="B312" s="16"/>
      <c r="C312" s="284"/>
      <c r="D312" s="5"/>
      <c r="E312" s="5"/>
      <c r="F312" s="5"/>
      <c r="G312" s="5"/>
      <c r="H312" s="5"/>
      <c r="J312" s="115" t="s">
        <v>314</v>
      </c>
      <c r="K312" s="292">
        <f>K309*PRICE_PER_MMBTU_2018_PROPANE</f>
        <v>2932.6243404781285</v>
      </c>
      <c r="L312" s="5" t="s">
        <v>164</v>
      </c>
      <c r="M312" s="5"/>
      <c r="N312" s="5"/>
      <c r="V312" s="5"/>
      <c r="W312" s="5"/>
      <c r="Y312" s="5"/>
      <c r="Z312" s="5"/>
      <c r="AA312" s="5"/>
      <c r="AB312" s="5"/>
      <c r="AC312" s="5"/>
      <c r="AD312" s="5"/>
      <c r="AE312" s="5"/>
      <c r="AF312" s="51"/>
    </row>
    <row r="313" spans="1:32" ht="12.75" x14ac:dyDescent="0.2">
      <c r="A313" s="137"/>
      <c r="B313" s="16"/>
      <c r="C313" s="283" t="s">
        <v>635</v>
      </c>
      <c r="D313" s="62">
        <f>INDEX(Tbl_EquipmentDefinitions[New Unit Equipment Life (years)],MATCH('Baseline Calculations'!D302,Tbl_EquipmentDefinitions[Equipment ID],0))</f>
        <v>20</v>
      </c>
      <c r="E313" s="188" t="s">
        <v>376</v>
      </c>
      <c r="F313" s="5"/>
      <c r="G313" s="5"/>
      <c r="H313" s="5"/>
      <c r="J313" s="234"/>
      <c r="L313" s="5"/>
      <c r="M313" s="5"/>
      <c r="N313" s="5"/>
      <c r="T313" s="5" t="s">
        <v>424</v>
      </c>
      <c r="U313" s="145">
        <f>U311*P304/U308</f>
        <v>3.0220517737296261E-2</v>
      </c>
      <c r="V313" s="5" t="s">
        <v>176</v>
      </c>
      <c r="W313" s="5"/>
      <c r="Y313" s="5"/>
      <c r="Z313" s="5"/>
      <c r="AA313" s="5"/>
      <c r="AB313" s="5"/>
      <c r="AC313" s="5"/>
      <c r="AD313" s="5"/>
      <c r="AE313" s="5"/>
      <c r="AF313" s="51"/>
    </row>
    <row r="314" spans="1:32" x14ac:dyDescent="0.2">
      <c r="A314" s="137"/>
      <c r="B314" s="16"/>
      <c r="C314" s="283" t="s">
        <v>636</v>
      </c>
      <c r="D314" s="62">
        <f>INDEX(Tbl_EquipmentDefinitions[Remaining Life for Early Replacement (years)],MATCH('Baseline Calculations'!D302,Tbl_EquipmentDefinitions[Equipment ID],0))</f>
        <v>7</v>
      </c>
      <c r="E314" s="188" t="s">
        <v>376</v>
      </c>
      <c r="F314" s="5"/>
      <c r="G314" s="5"/>
      <c r="H314" s="5"/>
      <c r="T314" s="5" t="s">
        <v>425</v>
      </c>
      <c r="U314" s="145">
        <f>U311*P305/U308</f>
        <v>3.0220517737296261E-2</v>
      </c>
      <c r="V314" s="5" t="s">
        <v>176</v>
      </c>
      <c r="W314" s="5"/>
      <c r="Y314" s="5"/>
      <c r="Z314" s="5"/>
      <c r="AA314" s="5"/>
      <c r="AB314" s="5"/>
      <c r="AC314" s="5"/>
      <c r="AD314" s="5"/>
      <c r="AE314" s="5"/>
      <c r="AF314" s="51"/>
    </row>
    <row r="315" spans="1:32" x14ac:dyDescent="0.2">
      <c r="A315" s="137"/>
      <c r="B315" s="16"/>
      <c r="C315" s="58"/>
      <c r="D315" s="59"/>
      <c r="E315" s="59"/>
      <c r="F315" s="59"/>
      <c r="G315" s="59"/>
      <c r="H315" s="59"/>
      <c r="J315" s="59"/>
      <c r="K315" s="59"/>
      <c r="L315" s="59"/>
      <c r="M315" s="59"/>
      <c r="N315" s="59"/>
      <c r="O315" s="59"/>
      <c r="P315" s="59"/>
      <c r="Q315" s="59"/>
      <c r="R315" s="59"/>
      <c r="S315" s="59"/>
      <c r="T315" s="59"/>
      <c r="U315" s="59"/>
      <c r="V315" s="59"/>
      <c r="W315" s="59"/>
      <c r="Y315" s="59"/>
      <c r="Z315" s="59"/>
      <c r="AA315" s="59"/>
      <c r="AB315" s="59"/>
      <c r="AC315" s="59"/>
      <c r="AD315" s="59"/>
      <c r="AE315" s="59"/>
      <c r="AF315" s="60"/>
    </row>
    <row r="316" spans="1:32" x14ac:dyDescent="0.2">
      <c r="B316" s="16"/>
    </row>
    <row r="317" spans="1:32" ht="15.75" thickBot="1" x14ac:dyDescent="0.25">
      <c r="B317" s="16"/>
      <c r="C317" s="74" t="s">
        <v>270</v>
      </c>
      <c r="D317" s="75"/>
      <c r="E317" s="75"/>
      <c r="F317" s="75"/>
      <c r="G317" s="75"/>
      <c r="H317" s="75"/>
      <c r="J317" s="75" t="s">
        <v>271</v>
      </c>
      <c r="K317" s="75"/>
      <c r="L317" s="48"/>
      <c r="M317" s="48"/>
      <c r="N317" s="48"/>
      <c r="O317" s="48"/>
      <c r="P317" s="48"/>
      <c r="Q317" s="48"/>
      <c r="R317" s="48"/>
      <c r="S317" s="48"/>
      <c r="T317" s="48"/>
      <c r="U317" s="48"/>
      <c r="V317" s="48"/>
      <c r="W317" s="48"/>
      <c r="X317" s="48"/>
      <c r="Y317" s="48"/>
      <c r="Z317" s="48"/>
      <c r="AA317" s="48"/>
      <c r="AB317" s="48"/>
      <c r="AC317" s="48"/>
      <c r="AD317" s="48"/>
      <c r="AE317" s="48"/>
      <c r="AF317" s="49"/>
    </row>
    <row r="318" spans="1:32" ht="3.75" customHeight="1" x14ac:dyDescent="0.2">
      <c r="B318" s="16"/>
      <c r="C318" s="50"/>
      <c r="D318" s="5"/>
      <c r="E318" s="5"/>
      <c r="F318" s="5"/>
      <c r="G318" s="5"/>
      <c r="H318" s="5"/>
      <c r="J318" s="5"/>
      <c r="K318" s="5"/>
      <c r="L318" s="5"/>
      <c r="M318" s="5"/>
      <c r="N318" s="5"/>
      <c r="O318" s="5"/>
      <c r="P318" s="5"/>
      <c r="Q318" s="5"/>
      <c r="R318" s="5"/>
      <c r="S318" s="5"/>
      <c r="T318" s="5"/>
      <c r="U318" s="5"/>
      <c r="V318" s="5"/>
      <c r="W318" s="5"/>
      <c r="X318" s="5"/>
      <c r="Y318" s="5"/>
      <c r="Z318" s="5"/>
      <c r="AA318" s="5"/>
      <c r="AB318" s="5"/>
      <c r="AC318" s="5"/>
      <c r="AD318" s="5"/>
      <c r="AE318" s="5"/>
      <c r="AF318" s="51"/>
    </row>
    <row r="319" spans="1:32" ht="34.5" thickBot="1" x14ac:dyDescent="0.25">
      <c r="A319" s="137"/>
      <c r="B319" s="16"/>
      <c r="C319" s="76" t="s">
        <v>249</v>
      </c>
      <c r="D319" s="81" t="s">
        <v>239</v>
      </c>
      <c r="E319" s="71"/>
      <c r="F319" s="66" t="s">
        <v>260</v>
      </c>
      <c r="G319" s="66" t="s">
        <v>5</v>
      </c>
      <c r="H319" s="66" t="s">
        <v>6</v>
      </c>
      <c r="J319" s="66" t="s">
        <v>127</v>
      </c>
      <c r="K319" s="72" t="s">
        <v>261</v>
      </c>
      <c r="L319" s="72" t="s">
        <v>262</v>
      </c>
      <c r="M319" s="72" t="s">
        <v>1455</v>
      </c>
      <c r="N319" s="72" t="s">
        <v>1456</v>
      </c>
      <c r="O319" s="72" t="s">
        <v>963</v>
      </c>
      <c r="P319" s="72" t="s">
        <v>974</v>
      </c>
      <c r="Q319" s="72" t="s">
        <v>263</v>
      </c>
      <c r="R319" s="72" t="s">
        <v>264</v>
      </c>
      <c r="S319" s="72" t="s">
        <v>265</v>
      </c>
      <c r="T319" s="72" t="s">
        <v>280</v>
      </c>
      <c r="U319" s="72" t="s">
        <v>200</v>
      </c>
      <c r="V319" s="72" t="s">
        <v>753</v>
      </c>
      <c r="W319" s="72" t="s">
        <v>634</v>
      </c>
      <c r="X319" s="72" t="s">
        <v>754</v>
      </c>
      <c r="Y319" s="72" t="s">
        <v>266</v>
      </c>
      <c r="Z319" s="72" t="s">
        <v>1457</v>
      </c>
      <c r="AA319" s="72" t="s">
        <v>1458</v>
      </c>
      <c r="AB319" s="72" t="s">
        <v>964</v>
      </c>
      <c r="AC319" s="72" t="s">
        <v>975</v>
      </c>
      <c r="AD319" s="72" t="s">
        <v>267</v>
      </c>
      <c r="AE319" s="72" t="s">
        <v>268</v>
      </c>
      <c r="AF319" s="77" t="s">
        <v>269</v>
      </c>
    </row>
    <row r="320" spans="1:32" x14ac:dyDescent="0.2">
      <c r="A320" s="137"/>
      <c r="B320" s="16"/>
      <c r="C320" s="61"/>
      <c r="D320" s="5"/>
      <c r="E320" s="5"/>
      <c r="F320" s="63" t="s">
        <v>178</v>
      </c>
      <c r="G320" s="67" t="str">
        <f>INDEX(Tbl_EquipmentDefinitions[Electricity Baseline Efficiency],MATCH(D321,Tbl_EquipmentDefinitions[Equipment ID],0))</f>
        <v>-</v>
      </c>
      <c r="H320" s="68" t="str">
        <f>INDEX(Tbl_EquipmentDefinitions[Electricity Code Efficiency],MATCH(D321,Tbl_EquipmentDefinitions[Equipment ID],0))</f>
        <v>-</v>
      </c>
      <c r="J320" s="63" t="str">
        <f>D319</f>
        <v>BASE13</v>
      </c>
      <c r="K320" s="148">
        <f>K336+P326</f>
        <v>2880.6894205318572</v>
      </c>
      <c r="L320" s="285">
        <f>P323</f>
        <v>230</v>
      </c>
      <c r="M320" s="285" t="s">
        <v>1449</v>
      </c>
      <c r="N320" s="285" t="s">
        <v>1449</v>
      </c>
      <c r="O320" s="117">
        <f>P336</f>
        <v>3.5282837967401733E-2</v>
      </c>
      <c r="P320" s="117">
        <f>T336</f>
        <v>0</v>
      </c>
      <c r="Q320" s="286">
        <v>0</v>
      </c>
      <c r="R320" s="286">
        <v>0</v>
      </c>
      <c r="S320" s="286">
        <f>K327+K333</f>
        <v>126.23218390804598</v>
      </c>
      <c r="T320" s="148">
        <f>K337+P327</f>
        <v>2599.8631469410007</v>
      </c>
      <c r="U320" s="148">
        <f>U323+U324</f>
        <v>8616</v>
      </c>
      <c r="V320" s="148">
        <v>0</v>
      </c>
      <c r="W320" s="148">
        <f>((PV(DiscountRate, (D332-D333),PMT(DiscountRate, D332, U320))/(1+DiscountRate)^(D333)))</f>
        <v>3708.7010928974355</v>
      </c>
      <c r="X320" s="148">
        <f>((PV(DiscountRate, (D332-D333),PMT(DiscountRate, D332, V320))/(1+DiscountRate)^(D333)))</f>
        <v>0</v>
      </c>
      <c r="Y320" s="285">
        <f>P324</f>
        <v>230</v>
      </c>
      <c r="Z320" s="285" t="s">
        <v>1449</v>
      </c>
      <c r="AA320" s="285" t="s">
        <v>1449</v>
      </c>
      <c r="AB320" s="117">
        <f>P337</f>
        <v>3.5282837967401733E-2</v>
      </c>
      <c r="AC320" s="117">
        <f>T337</f>
        <v>0</v>
      </c>
      <c r="AD320" s="286">
        <v>0</v>
      </c>
      <c r="AE320" s="286">
        <v>0</v>
      </c>
      <c r="AF320" s="287">
        <f>K328+K334</f>
        <v>113.72887864823349</v>
      </c>
    </row>
    <row r="321" spans="1:35" x14ac:dyDescent="0.2">
      <c r="A321" s="137"/>
      <c r="B321" s="16"/>
      <c r="C321" s="283" t="s">
        <v>2</v>
      </c>
      <c r="D321" s="62" t="str">
        <f>INDEX(Tbl_BaselineSummary[Equipment ID],MATCH(D319,Tbl_BaselineSummary[Baseline ID],0))</f>
        <v>EQUI024</v>
      </c>
      <c r="E321" s="5"/>
      <c r="F321" s="63" t="s">
        <v>55</v>
      </c>
      <c r="G321" s="68" t="str">
        <f>INDEX(Tbl_EquipmentDefinitions[Natural Gas Baseline Efficiency],MATCH(D321,Tbl_EquipmentDefinitions[Equipment ID],0))</f>
        <v>-</v>
      </c>
      <c r="H321" s="69" t="str">
        <f>INDEX(Tbl_EquipmentDefinitions[Natural Gas Code Efficiency],MATCH(D321,Tbl_EquipmentDefinitions[Equipment ID],0))</f>
        <v>-</v>
      </c>
      <c r="J321" s="5"/>
      <c r="K321" s="5"/>
      <c r="L321" s="5"/>
      <c r="M321" s="5"/>
      <c r="N321" s="5"/>
      <c r="O321" s="5"/>
      <c r="P321" s="5"/>
      <c r="Q321" s="5"/>
      <c r="R321" s="5"/>
      <c r="S321" s="5"/>
      <c r="T321" s="5"/>
      <c r="U321" s="5"/>
      <c r="V321" s="5"/>
      <c r="W321" s="5"/>
      <c r="X321" s="5"/>
      <c r="Y321" s="5"/>
      <c r="Z321" s="5"/>
      <c r="AA321" s="5"/>
      <c r="AB321" s="5"/>
      <c r="AC321" s="5"/>
      <c r="AD321" s="5"/>
      <c r="AE321" s="5"/>
      <c r="AF321" s="51"/>
    </row>
    <row r="322" spans="1:35" ht="12.75" x14ac:dyDescent="0.2">
      <c r="A322" s="137"/>
      <c r="B322" s="16"/>
      <c r="C322" s="283" t="s">
        <v>4</v>
      </c>
      <c r="D322" s="64" t="str">
        <f>INDEX(Tbl_EquipmentDefinitions[Equipment Name],MATCH(D321,Tbl_EquipmentDefinitions[Equipment ID],0))</f>
        <v>Oil Boiler+Storage WH</v>
      </c>
      <c r="E322" s="5"/>
      <c r="F322" s="63" t="s">
        <v>28</v>
      </c>
      <c r="G322" s="70" t="str">
        <f>INDEX(Tbl_EquipmentDefinitions[Propane Baseline Efficiency],MATCH(D321,Tbl_EquipmentDefinitions[Equipment ID],0))</f>
        <v>-</v>
      </c>
      <c r="H322" s="68" t="str">
        <f>INDEX(Tbl_EquipmentDefinitions[Propane Code Efficiency],MATCH(D321,Tbl_EquipmentDefinitions[Equipment ID],0))</f>
        <v>-</v>
      </c>
      <c r="J322" s="78" t="s">
        <v>272</v>
      </c>
      <c r="K322" s="78"/>
      <c r="L322" s="5"/>
      <c r="M322" s="5"/>
      <c r="N322" s="5"/>
      <c r="O322" s="5" t="s">
        <v>421</v>
      </c>
      <c r="P322" s="5"/>
      <c r="Q322" s="5"/>
      <c r="R322" s="5"/>
      <c r="S322" s="5"/>
      <c r="T322" s="5" t="s">
        <v>602</v>
      </c>
      <c r="U322" s="5"/>
      <c r="V322" s="5"/>
      <c r="W322" s="5"/>
      <c r="Y322" s="5"/>
      <c r="Z322" s="5"/>
      <c r="AA322" s="5"/>
      <c r="AB322" s="5"/>
      <c r="AC322" s="5"/>
      <c r="AD322" s="5"/>
      <c r="AE322" s="5"/>
      <c r="AF322" s="51"/>
    </row>
    <row r="323" spans="1:35" x14ac:dyDescent="0.2">
      <c r="A323" s="137"/>
      <c r="B323" s="16"/>
      <c r="C323" s="283" t="s">
        <v>125</v>
      </c>
      <c r="D323" s="62" t="str">
        <f>INDEX(Tbl_EquipmentDefinitions[Equipment Level],MATCH(D321,Tbl_EquipmentDefinitions[Equipment ID],0))</f>
        <v>Secondary</v>
      </c>
      <c r="E323" s="5"/>
      <c r="F323" s="63" t="s">
        <v>27</v>
      </c>
      <c r="G323" s="68" t="str">
        <f>INDEX(Tbl_EquipmentDefinitions[Oil Baseline Efficiency],MATCH(D321,Tbl_EquipmentDefinitions[Equipment ID],0))</f>
        <v>75% AFUE, 0.58 UEF</v>
      </c>
      <c r="H323" s="70" t="str">
        <f>INDEX(Tbl_EquipmentDefinitions[Oil Code Efficiency],MATCH(D321,Tbl_EquipmentDefinitions[Equipment ID],0))</f>
        <v>84% AFUE, 0.62 UEF</v>
      </c>
      <c r="J323" s="5"/>
      <c r="K323" s="5"/>
      <c r="L323" s="5"/>
      <c r="M323" s="5"/>
      <c r="N323" s="5"/>
      <c r="O323" s="5" t="s">
        <v>420</v>
      </c>
      <c r="P323" s="144">
        <v>230</v>
      </c>
      <c r="Q323" s="5" t="s">
        <v>170</v>
      </c>
      <c r="T323" s="156" t="s">
        <v>451</v>
      </c>
      <c r="U323" s="147">
        <v>6866</v>
      </c>
      <c r="V323" s="5" t="s">
        <v>164</v>
      </c>
      <c r="W323" s="5"/>
      <c r="AB323" s="5"/>
      <c r="AC323" s="5"/>
      <c r="AD323" s="5"/>
      <c r="AE323" s="5"/>
      <c r="AF323" s="51"/>
    </row>
    <row r="324" spans="1:35" ht="12.75" x14ac:dyDescent="0.2">
      <c r="A324" s="137"/>
      <c r="B324" s="16"/>
      <c r="C324" s="283" t="s">
        <v>24</v>
      </c>
      <c r="D324" s="64" t="str">
        <f>INDEX(Tbl_EquipmentDefinitions[Function],MATCH(D321,Tbl_EquipmentDefinitions[Equipment ID],0))</f>
        <v>Heat+HW</v>
      </c>
      <c r="E324" s="5"/>
      <c r="F324" s="5"/>
      <c r="G324" s="5"/>
      <c r="H324" s="5"/>
      <c r="J324" s="115" t="s">
        <v>445</v>
      </c>
      <c r="K324" s="52">
        <v>0.75</v>
      </c>
      <c r="L324" s="5" t="s">
        <v>158</v>
      </c>
      <c r="M324" s="5"/>
      <c r="N324" s="5"/>
      <c r="O324" s="5" t="s">
        <v>408</v>
      </c>
      <c r="P324" s="144">
        <v>230</v>
      </c>
      <c r="Q324" s="5" t="s">
        <v>170</v>
      </c>
      <c r="S324" s="5"/>
      <c r="T324" s="156" t="s">
        <v>452</v>
      </c>
      <c r="U324" s="147">
        <v>1750</v>
      </c>
      <c r="V324" s="5" t="s">
        <v>164</v>
      </c>
      <c r="W324" s="5"/>
      <c r="Y324" s="5"/>
      <c r="Z324" s="5"/>
      <c r="AA324" s="5"/>
      <c r="AB324" s="5"/>
      <c r="AC324" s="5"/>
      <c r="AD324" s="5"/>
      <c r="AE324" s="5"/>
      <c r="AF324" s="51"/>
    </row>
    <row r="325" spans="1:35" ht="12.75" x14ac:dyDescent="0.2">
      <c r="A325" s="137"/>
      <c r="B325" s="16"/>
      <c r="C325" s="283" t="s">
        <v>7</v>
      </c>
      <c r="D325" s="62" t="str">
        <f>INDEX(Tbl_EquipmentDefinitions[Fuel Type],MATCH(D321,Tbl_EquipmentDefinitions[Equipment ID],0))</f>
        <v>Oil</v>
      </c>
      <c r="E325" s="65"/>
      <c r="F325" s="671" t="s">
        <v>273</v>
      </c>
      <c r="G325" s="672"/>
      <c r="H325" s="672"/>
      <c r="J325" s="115" t="s">
        <v>446</v>
      </c>
      <c r="K325" s="52">
        <v>0.84</v>
      </c>
      <c r="L325" s="5" t="s">
        <v>158</v>
      </c>
      <c r="M325" s="5"/>
      <c r="N325" s="5"/>
      <c r="O325" s="5"/>
      <c r="P325" s="5"/>
      <c r="Q325" s="133"/>
      <c r="S325" s="133"/>
      <c r="T325" s="5"/>
      <c r="U325" s="5"/>
      <c r="V325" s="5"/>
      <c r="W325" s="5"/>
      <c r="X325" s="5"/>
      <c r="Y325" s="5"/>
      <c r="Z325" s="5"/>
      <c r="AA325" s="5"/>
      <c r="AB325" s="5"/>
      <c r="AC325" s="5"/>
      <c r="AD325" s="5"/>
      <c r="AE325" s="5"/>
      <c r="AF325" s="51"/>
    </row>
    <row r="326" spans="1:35" ht="12.75" x14ac:dyDescent="0.2">
      <c r="A326" s="137"/>
      <c r="B326" s="16"/>
      <c r="C326" s="283" t="s">
        <v>126</v>
      </c>
      <c r="D326" s="64">
        <f>IF(ISERR(SEARCH("+",D325,1)),1,2)</f>
        <v>1</v>
      </c>
      <c r="E326" s="65"/>
      <c r="F326" s="672"/>
      <c r="G326" s="672"/>
      <c r="H326" s="672"/>
      <c r="J326" s="156"/>
      <c r="K326" s="5"/>
      <c r="L326" s="5"/>
      <c r="M326" s="5"/>
      <c r="N326" s="5"/>
      <c r="O326" s="55" t="s">
        <v>426</v>
      </c>
      <c r="P326" s="57">
        <f>P323*PRICE_PER_KWH_2018_ELECTRICITY</f>
        <v>45.494</v>
      </c>
      <c r="Q326" s="5" t="s">
        <v>164</v>
      </c>
      <c r="T326" s="5"/>
      <c r="U326" s="5"/>
      <c r="V326" s="5"/>
      <c r="W326" s="5"/>
      <c r="X326" s="5"/>
      <c r="Y326" s="5"/>
      <c r="Z326" s="5"/>
      <c r="AA326" s="5"/>
      <c r="AB326" s="5"/>
      <c r="AC326" s="5"/>
      <c r="AD326" s="5"/>
      <c r="AE326" s="5"/>
      <c r="AF326" s="51"/>
    </row>
    <row r="327" spans="1:35" ht="12.75" x14ac:dyDescent="0.2">
      <c r="A327" s="137"/>
      <c r="B327" s="16"/>
      <c r="C327" s="284"/>
      <c r="D327" s="5"/>
      <c r="E327" s="5"/>
      <c r="F327" s="672"/>
      <c r="G327" s="672"/>
      <c r="H327" s="672"/>
      <c r="J327" s="115" t="s">
        <v>447</v>
      </c>
      <c r="K327" s="56">
        <f>$D$161/K324</f>
        <v>102.26666666666667</v>
      </c>
      <c r="L327" s="5" t="s">
        <v>156</v>
      </c>
      <c r="M327" s="5"/>
      <c r="N327" s="5"/>
      <c r="O327" s="55" t="s">
        <v>427</v>
      </c>
      <c r="P327" s="57">
        <f>P324*PRICE_PER_KWH_2018_ELECTRICITY</f>
        <v>45.494</v>
      </c>
      <c r="Q327" s="5" t="s">
        <v>164</v>
      </c>
      <c r="T327" s="5"/>
      <c r="U327" s="5"/>
      <c r="V327" s="5"/>
      <c r="W327" s="5"/>
      <c r="X327" s="5"/>
      <c r="Y327" s="5"/>
      <c r="Z327" s="5"/>
      <c r="AA327" s="5"/>
      <c r="AB327" s="5"/>
      <c r="AC327" s="5"/>
      <c r="AD327" s="5"/>
      <c r="AE327" s="5"/>
      <c r="AF327" s="51"/>
    </row>
    <row r="328" spans="1:35" ht="12.75" x14ac:dyDescent="0.2">
      <c r="A328" s="137"/>
      <c r="B328" s="16"/>
      <c r="C328" s="283" t="s">
        <v>155</v>
      </c>
      <c r="D328" s="62">
        <f>INDEX(Tbl_BaselineSummary[Space Heating Load (MMBtu/yr)],MATCH(D319,Tbl_BaselineSummary[Baseline ID],0))</f>
        <v>76.7</v>
      </c>
      <c r="E328" s="5" t="s">
        <v>156</v>
      </c>
      <c r="F328" s="672"/>
      <c r="G328" s="672"/>
      <c r="H328" s="672"/>
      <c r="J328" s="115" t="s">
        <v>448</v>
      </c>
      <c r="K328" s="56">
        <f>$D$161/K325</f>
        <v>91.30952380952381</v>
      </c>
      <c r="L328" s="5" t="s">
        <v>156</v>
      </c>
      <c r="M328" s="5"/>
      <c r="N328" s="5"/>
      <c r="T328" s="5"/>
      <c r="U328" s="5"/>
      <c r="V328" s="5"/>
      <c r="W328" s="5"/>
      <c r="X328" s="5"/>
      <c r="Y328" s="5"/>
      <c r="Z328" s="5"/>
      <c r="AA328" s="5"/>
      <c r="AB328" s="5"/>
      <c r="AC328" s="5"/>
      <c r="AD328" s="5"/>
      <c r="AE328" s="5"/>
      <c r="AF328" s="51"/>
    </row>
    <row r="329" spans="1:35" x14ac:dyDescent="0.2">
      <c r="A329" s="137"/>
      <c r="B329" s="16"/>
      <c r="C329" s="283" t="s">
        <v>167</v>
      </c>
      <c r="D329" s="62">
        <f>INDEX(Tbl_BaselineSummary[Space Cooling Load (MMBtu/yr)],MATCH(D319,Tbl_BaselineSummary[Baseline ID],0))</f>
        <v>13.072800000000001</v>
      </c>
      <c r="E329" s="5" t="s">
        <v>156</v>
      </c>
      <c r="F329" s="672"/>
      <c r="G329" s="672"/>
      <c r="H329" s="672"/>
      <c r="J329" s="156"/>
      <c r="K329" s="5"/>
      <c r="L329" s="5"/>
      <c r="M329" s="5"/>
      <c r="N329" s="5"/>
      <c r="O329" s="6" t="s">
        <v>423</v>
      </c>
      <c r="S329" s="5"/>
      <c r="T329" s="5"/>
      <c r="U329" s="5"/>
      <c r="V329" s="5"/>
      <c r="W329" s="5"/>
      <c r="X329" s="5"/>
      <c r="Y329" s="5"/>
      <c r="Z329" s="5"/>
      <c r="AA329" s="5"/>
      <c r="AB329" s="5"/>
      <c r="AC329" s="5"/>
      <c r="AD329" s="5"/>
      <c r="AE329" s="5"/>
      <c r="AF329" s="51"/>
    </row>
    <row r="330" spans="1:35" ht="12.75" x14ac:dyDescent="0.2">
      <c r="A330" s="137"/>
      <c r="B330" s="16"/>
      <c r="C330" s="283" t="s">
        <v>244</v>
      </c>
      <c r="D330" s="62">
        <f>INDEX(Tbl_BaselineSummary[Water Heating Load (MMBtu/yr)],MATCH(D319,Tbl_BaselineSummary[Baseline ID],0))</f>
        <v>13.9</v>
      </c>
      <c r="E330" s="5" t="s">
        <v>156</v>
      </c>
      <c r="F330" s="672"/>
      <c r="G330" s="672"/>
      <c r="H330" s="672"/>
      <c r="J330" s="115" t="s">
        <v>449</v>
      </c>
      <c r="K330" s="113">
        <v>0.57999999999999996</v>
      </c>
      <c r="L330" s="5" t="s">
        <v>319</v>
      </c>
      <c r="M330" s="5"/>
      <c r="N330" s="5"/>
      <c r="O330" s="5" t="s">
        <v>422</v>
      </c>
      <c r="P330" s="146">
        <f>AVERAGE(530,984,1329,1329)</f>
        <v>1043</v>
      </c>
      <c r="Q330" s="6" t="s">
        <v>397</v>
      </c>
      <c r="S330" s="5"/>
      <c r="T330" s="5"/>
      <c r="U330" s="5"/>
      <c r="V330" s="5"/>
      <c r="W330" s="5"/>
      <c r="X330" s="5"/>
      <c r="Y330" s="5"/>
      <c r="Z330" s="5"/>
      <c r="AA330" s="5"/>
      <c r="AB330" s="5"/>
      <c r="AC330" s="5"/>
      <c r="AD330" s="5"/>
      <c r="AE330" s="5"/>
      <c r="AF330" s="51"/>
    </row>
    <row r="331" spans="1:35" ht="12.75" x14ac:dyDescent="0.2">
      <c r="A331" s="137"/>
      <c r="B331" s="16"/>
      <c r="C331" s="284"/>
      <c r="D331" s="5"/>
      <c r="E331" s="5"/>
      <c r="F331" s="5"/>
      <c r="G331" s="5"/>
      <c r="H331" s="5"/>
      <c r="J331" s="115" t="s">
        <v>450</v>
      </c>
      <c r="K331" s="135">
        <v>0.62</v>
      </c>
      <c r="L331" s="5" t="s">
        <v>319</v>
      </c>
      <c r="M331" s="5"/>
      <c r="N331" s="5"/>
      <c r="S331" s="5"/>
      <c r="T331" s="5"/>
      <c r="U331" s="5"/>
      <c r="V331" s="5"/>
      <c r="W331" s="5"/>
      <c r="X331" s="5"/>
      <c r="Y331" s="5"/>
      <c r="Z331" s="5"/>
      <c r="AA331" s="5"/>
      <c r="AB331" s="5"/>
      <c r="AC331" s="5"/>
      <c r="AD331" s="5"/>
      <c r="AE331" s="5"/>
      <c r="AF331" s="51"/>
    </row>
    <row r="332" spans="1:35" x14ac:dyDescent="0.2">
      <c r="A332" s="137"/>
      <c r="B332" s="16"/>
      <c r="C332" s="283" t="s">
        <v>635</v>
      </c>
      <c r="D332" s="62">
        <f>INDEX(Tbl_EquipmentDefinitions[New Unit Equipment Life (years)],MATCH('Baseline Calculations'!D321,Tbl_EquipmentDefinitions[Equipment ID],0))</f>
        <v>20</v>
      </c>
      <c r="E332" s="188" t="s">
        <v>376</v>
      </c>
      <c r="F332" s="5"/>
      <c r="G332" s="5"/>
      <c r="H332" s="5"/>
      <c r="J332" s="156"/>
      <c r="K332" s="5"/>
      <c r="L332" s="5"/>
      <c r="M332" s="5"/>
      <c r="N332" s="5"/>
      <c r="T332" s="5"/>
      <c r="U332" s="5"/>
      <c r="V332" s="5"/>
      <c r="W332" s="5"/>
      <c r="X332" s="5"/>
      <c r="Y332" s="5"/>
      <c r="Z332" s="5"/>
      <c r="AA332" s="5"/>
      <c r="AB332" s="5"/>
      <c r="AC332" s="5"/>
      <c r="AD332" s="5"/>
      <c r="AE332" s="5"/>
      <c r="AF332" s="51"/>
    </row>
    <row r="333" spans="1:35" ht="12.75" x14ac:dyDescent="0.2">
      <c r="A333" s="137"/>
      <c r="B333" s="16"/>
      <c r="C333" s="283" t="s">
        <v>636</v>
      </c>
      <c r="D333" s="62">
        <f>INDEX(Tbl_EquipmentDefinitions[Remaining Life for Early Replacement (years)],MATCH('Baseline Calculations'!D321,Tbl_EquipmentDefinitions[Equipment ID],0))</f>
        <v>10</v>
      </c>
      <c r="E333" s="188" t="s">
        <v>376</v>
      </c>
      <c r="F333" s="5"/>
      <c r="G333" s="5"/>
      <c r="H333" s="5"/>
      <c r="J333" s="115" t="s">
        <v>613</v>
      </c>
      <c r="K333" s="56">
        <f>$D$330/K330</f>
        <v>23.965517241379313</v>
      </c>
      <c r="L333" s="5" t="s">
        <v>156</v>
      </c>
      <c r="M333" s="5"/>
      <c r="N333" s="5"/>
      <c r="O333" s="6" t="s">
        <v>740</v>
      </c>
      <c r="Q333" s="5"/>
      <c r="S333" s="6" t="s">
        <v>1110</v>
      </c>
      <c r="U333" s="5"/>
      <c r="V333" s="5"/>
      <c r="W333" s="5"/>
      <c r="X333" s="5"/>
      <c r="Y333" s="5"/>
      <c r="Z333" s="5"/>
      <c r="AA333" s="5"/>
      <c r="AB333" s="5"/>
      <c r="AC333" s="5"/>
      <c r="AD333" s="5"/>
      <c r="AE333" s="5"/>
      <c r="AF333" s="51"/>
      <c r="AG333" s="5"/>
      <c r="AH333" s="5"/>
      <c r="AI333" s="5"/>
    </row>
    <row r="334" spans="1:35" ht="12.75" x14ac:dyDescent="0.2">
      <c r="A334" s="137"/>
      <c r="B334" s="16"/>
      <c r="C334" s="50"/>
      <c r="D334" s="5"/>
      <c r="E334" s="5"/>
      <c r="F334" s="5"/>
      <c r="G334" s="5"/>
      <c r="H334" s="5"/>
      <c r="J334" s="115" t="s">
        <v>614</v>
      </c>
      <c r="K334" s="56">
        <f>$D$330/K331</f>
        <v>22.41935483870968</v>
      </c>
      <c r="L334" s="5" t="s">
        <v>156</v>
      </c>
      <c r="M334" s="5"/>
      <c r="N334" s="5"/>
      <c r="O334" s="155" t="s">
        <v>739</v>
      </c>
      <c r="P334" s="146">
        <v>0.16</v>
      </c>
      <c r="Q334" s="5"/>
      <c r="S334" s="155" t="s">
        <v>1105</v>
      </c>
      <c r="T334" s="403">
        <v>0</v>
      </c>
      <c r="U334" s="5"/>
      <c r="V334" s="5"/>
      <c r="W334" s="5"/>
      <c r="X334" s="5"/>
      <c r="Y334" s="5"/>
      <c r="Z334" s="5"/>
      <c r="AA334" s="5"/>
      <c r="AB334" s="5"/>
      <c r="AC334" s="5"/>
      <c r="AD334" s="5"/>
      <c r="AE334" s="5"/>
      <c r="AF334" s="51"/>
      <c r="AG334" s="5"/>
      <c r="AH334" s="5"/>
      <c r="AI334" s="5"/>
    </row>
    <row r="335" spans="1:35" x14ac:dyDescent="0.2">
      <c r="A335" s="137"/>
      <c r="B335" s="16"/>
      <c r="C335" s="50"/>
      <c r="D335" s="5"/>
      <c r="E335" s="5"/>
      <c r="F335" s="5"/>
      <c r="G335" s="5"/>
      <c r="H335" s="5"/>
      <c r="J335" s="156"/>
      <c r="K335" s="5"/>
      <c r="L335" s="5"/>
      <c r="M335" s="5"/>
      <c r="N335" s="5"/>
      <c r="O335" s="5"/>
      <c r="P335" s="5"/>
      <c r="Q335" s="5"/>
      <c r="S335" s="5"/>
      <c r="T335" s="5"/>
      <c r="U335" s="5"/>
      <c r="V335" s="5"/>
      <c r="W335" s="5"/>
      <c r="X335" s="5"/>
      <c r="Y335" s="5"/>
      <c r="Z335" s="5"/>
      <c r="AA335" s="5"/>
      <c r="AB335" s="5"/>
      <c r="AC335" s="5"/>
      <c r="AD335" s="5"/>
      <c r="AE335" s="5"/>
      <c r="AF335" s="51"/>
      <c r="AG335" s="5"/>
      <c r="AH335" s="5"/>
      <c r="AI335" s="5"/>
    </row>
    <row r="336" spans="1:35" ht="12.75" x14ac:dyDescent="0.2">
      <c r="A336" s="137"/>
      <c r="B336" s="16"/>
      <c r="C336" s="50"/>
      <c r="D336" s="5"/>
      <c r="E336" s="5"/>
      <c r="F336" s="5"/>
      <c r="G336" s="5"/>
      <c r="H336" s="5"/>
      <c r="J336" s="115" t="s">
        <v>253</v>
      </c>
      <c r="K336" s="292">
        <f>(K327+K333)*PRICE_PER_MMBTU_2018_OIL</f>
        <v>2835.1954205318571</v>
      </c>
      <c r="L336" s="5" t="s">
        <v>164</v>
      </c>
      <c r="M336" s="5"/>
      <c r="N336" s="5"/>
      <c r="O336" s="5" t="s">
        <v>1106</v>
      </c>
      <c r="P336" s="145">
        <f>P334*P323/P330</f>
        <v>3.5282837967401733E-2</v>
      </c>
      <c r="Q336" s="5" t="s">
        <v>176</v>
      </c>
      <c r="S336" s="5" t="s">
        <v>1108</v>
      </c>
      <c r="T336" s="145">
        <f>T334*P323/P330</f>
        <v>0</v>
      </c>
      <c r="U336" s="5" t="s">
        <v>176</v>
      </c>
      <c r="V336" s="5"/>
      <c r="W336" s="5"/>
      <c r="X336" s="5"/>
      <c r="Y336" s="5"/>
      <c r="Z336" s="5"/>
      <c r="AA336" s="5"/>
      <c r="AB336" s="5"/>
      <c r="AC336" s="5"/>
      <c r="AD336" s="5"/>
      <c r="AE336" s="5"/>
      <c r="AF336" s="51"/>
      <c r="AG336" s="5"/>
      <c r="AH336" s="5"/>
      <c r="AI336" s="5"/>
    </row>
    <row r="337" spans="1:35" ht="12.75" x14ac:dyDescent="0.2">
      <c r="A337" s="137"/>
      <c r="B337" s="16"/>
      <c r="C337" s="50"/>
      <c r="J337" s="115" t="s">
        <v>254</v>
      </c>
      <c r="K337" s="292">
        <f>(K328+K334)*PRICE_PER_MMBTU_2018_OIL</f>
        <v>2554.3691469410005</v>
      </c>
      <c r="L337" s="5" t="s">
        <v>164</v>
      </c>
      <c r="M337" s="5"/>
      <c r="N337" s="5"/>
      <c r="O337" s="5" t="s">
        <v>1107</v>
      </c>
      <c r="P337" s="145">
        <f>P334*P324/P330</f>
        <v>3.5282837967401733E-2</v>
      </c>
      <c r="Q337" s="5" t="s">
        <v>176</v>
      </c>
      <c r="S337" s="5" t="s">
        <v>1109</v>
      </c>
      <c r="T337" s="145">
        <f>T334*P324/P330</f>
        <v>0</v>
      </c>
      <c r="U337" s="5" t="s">
        <v>176</v>
      </c>
      <c r="V337" s="5"/>
      <c r="W337" s="5"/>
      <c r="X337" s="5"/>
      <c r="Y337" s="5"/>
      <c r="Z337" s="5"/>
      <c r="AA337" s="5"/>
      <c r="AB337" s="5"/>
      <c r="AC337" s="5"/>
      <c r="AD337" s="5"/>
      <c r="AE337" s="5"/>
      <c r="AF337" s="51"/>
      <c r="AG337" s="5"/>
      <c r="AH337" s="5"/>
      <c r="AI337" s="5"/>
    </row>
    <row r="338" spans="1:35" x14ac:dyDescent="0.2">
      <c r="A338" s="137"/>
      <c r="B338" s="16"/>
      <c r="C338" s="58"/>
      <c r="D338" s="59"/>
      <c r="E338" s="59"/>
      <c r="F338" s="59"/>
      <c r="G338" s="59"/>
      <c r="H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60"/>
    </row>
    <row r="339" spans="1:35" x14ac:dyDescent="0.2">
      <c r="B339" s="16"/>
    </row>
    <row r="340" spans="1:35" ht="15.75" thickBot="1" x14ac:dyDescent="0.25">
      <c r="A340" s="137"/>
      <c r="B340" s="16"/>
      <c r="C340" s="74" t="s">
        <v>270</v>
      </c>
      <c r="D340" s="75"/>
      <c r="E340" s="75"/>
      <c r="F340" s="75"/>
      <c r="G340" s="75"/>
      <c r="H340" s="75"/>
      <c r="J340" s="75" t="s">
        <v>271</v>
      </c>
      <c r="K340" s="75"/>
      <c r="L340" s="48"/>
      <c r="M340" s="48"/>
      <c r="N340" s="48"/>
      <c r="O340" s="48"/>
      <c r="P340" s="48"/>
      <c r="Q340" s="48"/>
      <c r="R340" s="48"/>
      <c r="S340" s="48"/>
      <c r="T340" s="48"/>
      <c r="U340" s="48"/>
      <c r="V340" s="48"/>
      <c r="W340" s="48"/>
      <c r="X340" s="48"/>
      <c r="Y340" s="48"/>
      <c r="Z340" s="48"/>
      <c r="AA340" s="48"/>
      <c r="AB340" s="48"/>
      <c r="AC340" s="48"/>
      <c r="AD340" s="48"/>
      <c r="AE340" s="48"/>
      <c r="AF340" s="49"/>
    </row>
    <row r="341" spans="1:35" ht="3.75" customHeight="1" x14ac:dyDescent="0.2">
      <c r="A341" s="137"/>
      <c r="B341" s="16"/>
      <c r="C341" s="50"/>
      <c r="D341" s="5"/>
      <c r="E341" s="5"/>
      <c r="F341" s="5"/>
      <c r="G341" s="5"/>
      <c r="H341" s="5"/>
      <c r="J341" s="5"/>
      <c r="K341" s="5"/>
      <c r="L341" s="5"/>
      <c r="M341" s="5"/>
      <c r="N341" s="5"/>
      <c r="O341" s="5"/>
      <c r="P341" s="5"/>
      <c r="Q341" s="5"/>
      <c r="R341" s="5"/>
      <c r="S341" s="5"/>
      <c r="T341" s="5"/>
      <c r="U341" s="5"/>
      <c r="V341" s="5"/>
      <c r="W341" s="5"/>
      <c r="X341" s="5"/>
      <c r="Y341" s="5"/>
      <c r="Z341" s="5"/>
      <c r="AA341" s="5"/>
      <c r="AB341" s="5"/>
      <c r="AC341" s="5"/>
      <c r="AD341" s="5"/>
      <c r="AE341" s="5"/>
      <c r="AF341" s="51"/>
    </row>
    <row r="342" spans="1:35" ht="34.5" thickBot="1" x14ac:dyDescent="0.25">
      <c r="A342" s="137"/>
      <c r="B342" s="16"/>
      <c r="C342" s="76" t="s">
        <v>249</v>
      </c>
      <c r="D342" s="81" t="s">
        <v>240</v>
      </c>
      <c r="E342" s="71"/>
      <c r="F342" s="66" t="s">
        <v>260</v>
      </c>
      <c r="G342" s="66" t="s">
        <v>5</v>
      </c>
      <c r="H342" s="66" t="s">
        <v>6</v>
      </c>
      <c r="J342" s="66" t="s">
        <v>127</v>
      </c>
      <c r="K342" s="72" t="s">
        <v>261</v>
      </c>
      <c r="L342" s="72" t="s">
        <v>262</v>
      </c>
      <c r="M342" s="72" t="s">
        <v>1455</v>
      </c>
      <c r="N342" s="72" t="s">
        <v>1456</v>
      </c>
      <c r="O342" s="72" t="s">
        <v>963</v>
      </c>
      <c r="P342" s="72" t="s">
        <v>974</v>
      </c>
      <c r="Q342" s="72" t="s">
        <v>263</v>
      </c>
      <c r="R342" s="72" t="s">
        <v>264</v>
      </c>
      <c r="S342" s="72" t="s">
        <v>265</v>
      </c>
      <c r="T342" s="72" t="s">
        <v>280</v>
      </c>
      <c r="U342" s="72" t="s">
        <v>200</v>
      </c>
      <c r="V342" s="72" t="s">
        <v>753</v>
      </c>
      <c r="W342" s="72" t="s">
        <v>634</v>
      </c>
      <c r="X342" s="72" t="s">
        <v>754</v>
      </c>
      <c r="Y342" s="72" t="s">
        <v>266</v>
      </c>
      <c r="Z342" s="72" t="s">
        <v>1457</v>
      </c>
      <c r="AA342" s="72" t="s">
        <v>1458</v>
      </c>
      <c r="AB342" s="72" t="s">
        <v>964</v>
      </c>
      <c r="AC342" s="72" t="s">
        <v>975</v>
      </c>
      <c r="AD342" s="72" t="s">
        <v>267</v>
      </c>
      <c r="AE342" s="72" t="s">
        <v>268</v>
      </c>
      <c r="AF342" s="77" t="s">
        <v>269</v>
      </c>
    </row>
    <row r="343" spans="1:35" x14ac:dyDescent="0.2">
      <c r="A343" s="137"/>
      <c r="B343" s="16"/>
      <c r="C343" s="61"/>
      <c r="D343" s="5"/>
      <c r="E343" s="5"/>
      <c r="F343" s="63" t="s">
        <v>178</v>
      </c>
      <c r="G343" s="67" t="str">
        <f>INDEX(Tbl_EquipmentDefinitions[Electricity Baseline Efficiency],MATCH(D344,Tbl_EquipmentDefinitions[Equipment ID],0))</f>
        <v>-</v>
      </c>
      <c r="H343" s="68" t="str">
        <f>INDEX(Tbl_EquipmentDefinitions[Electricity Code Efficiency],MATCH(D344,Tbl_EquipmentDefinitions[Equipment ID],0))</f>
        <v>-</v>
      </c>
      <c r="J343" s="63" t="str">
        <f>D342</f>
        <v>BASE14</v>
      </c>
      <c r="K343" s="148">
        <f>K359+P349</f>
        <v>4415.2967678297091</v>
      </c>
      <c r="L343" s="285">
        <f>P346</f>
        <v>197</v>
      </c>
      <c r="M343" s="285" t="s">
        <v>1449</v>
      </c>
      <c r="N343" s="285" t="s">
        <v>1449</v>
      </c>
      <c r="O343" s="117">
        <f>P359</f>
        <v>3.0220517737296261E-2</v>
      </c>
      <c r="P343" s="117">
        <f>T359</f>
        <v>0</v>
      </c>
      <c r="Q343" s="286">
        <v>0</v>
      </c>
      <c r="R343" s="286">
        <f>K350+K356</f>
        <v>121.74942528735633</v>
      </c>
      <c r="S343" s="286">
        <v>0</v>
      </c>
      <c r="T343" s="148">
        <f>K360+P350</f>
        <v>4170.7851995687824</v>
      </c>
      <c r="U343" s="148">
        <f>U346+U348</f>
        <v>8248</v>
      </c>
      <c r="V343" s="148">
        <v>0</v>
      </c>
      <c r="W343" s="148">
        <f>((PV(DiscountRate, (D355-D356),PMT(DiscountRate, D355, U343))/(1+DiscountRate)^(D356)))</f>
        <v>3550.2978893010736</v>
      </c>
      <c r="X343" s="148">
        <f>((PV(DiscountRate, (D355-D356),PMT(DiscountRate, D355, V343))/(1+DiscountRate)^(D356)))</f>
        <v>0</v>
      </c>
      <c r="Y343" s="285">
        <f>P347</f>
        <v>197</v>
      </c>
      <c r="Z343" s="285" t="s">
        <v>1449</v>
      </c>
      <c r="AA343" s="285" t="s">
        <v>1449</v>
      </c>
      <c r="AB343" s="117">
        <f>P360</f>
        <v>3.0220517737296261E-2</v>
      </c>
      <c r="AC343" s="117">
        <f>T360</f>
        <v>0</v>
      </c>
      <c r="AD343" s="286">
        <v>0</v>
      </c>
      <c r="AE343" s="286">
        <f>K351+K357</f>
        <v>114.94711792702273</v>
      </c>
      <c r="AF343" s="287">
        <v>0</v>
      </c>
    </row>
    <row r="344" spans="1:35" x14ac:dyDescent="0.2">
      <c r="A344" s="137"/>
      <c r="B344" s="16"/>
      <c r="C344" s="283" t="s">
        <v>2</v>
      </c>
      <c r="D344" s="62" t="str">
        <f>INDEX(Tbl_BaselineSummary[Equipment ID],MATCH(D342,Tbl_BaselineSummary[Baseline ID],0))</f>
        <v>EQUI025</v>
      </c>
      <c r="E344" s="5"/>
      <c r="F344" s="63" t="s">
        <v>55</v>
      </c>
      <c r="G344" s="68" t="str">
        <f>INDEX(Tbl_EquipmentDefinitions[Natural Gas Baseline Efficiency],MATCH(D344,Tbl_EquipmentDefinitions[Equipment ID],0))</f>
        <v>-</v>
      </c>
      <c r="H344" s="69" t="str">
        <f>INDEX(Tbl_EquipmentDefinitions[Natural Gas Code Efficiency],MATCH(D344,Tbl_EquipmentDefinitions[Equipment ID],0))</f>
        <v>-</v>
      </c>
      <c r="J344" s="5"/>
      <c r="K344" s="5"/>
      <c r="L344" s="5"/>
      <c r="M344" s="5"/>
      <c r="N344" s="5"/>
      <c r="O344" s="5"/>
      <c r="P344" s="5"/>
      <c r="Q344" s="5"/>
      <c r="R344" s="5"/>
      <c r="S344" s="5"/>
      <c r="T344" s="5"/>
      <c r="U344" s="5"/>
      <c r="V344" s="5"/>
      <c r="W344" s="5"/>
      <c r="X344" s="5"/>
      <c r="Y344" s="5"/>
      <c r="Z344" s="5"/>
      <c r="AA344" s="5"/>
      <c r="AB344" s="5"/>
      <c r="AC344" s="5"/>
      <c r="AD344" s="5"/>
      <c r="AE344" s="5"/>
      <c r="AF344" s="51"/>
    </row>
    <row r="345" spans="1:35" ht="22.5" x14ac:dyDescent="0.2">
      <c r="A345" s="137"/>
      <c r="B345" s="16"/>
      <c r="C345" s="283" t="s">
        <v>4</v>
      </c>
      <c r="D345" s="214" t="str">
        <f>INDEX(Tbl_EquipmentDefinitions[Equipment Name],MATCH(D344,Tbl_EquipmentDefinitions[Equipment ID],0))</f>
        <v>Propane Boiler+Storage WH</v>
      </c>
      <c r="E345" s="5"/>
      <c r="F345" s="63" t="s">
        <v>28</v>
      </c>
      <c r="G345" s="213" t="str">
        <f>INDEX(Tbl_EquipmentDefinitions[Propane Baseline Efficiency],MATCH(D344,Tbl_EquipmentDefinitions[Equipment ID],0))</f>
        <v>75% AFUE, 0.58 UEF</v>
      </c>
      <c r="H345" s="214" t="str">
        <f>INDEX(Tbl_EquipmentDefinitions[Propane Code Efficiency],MATCH(D344,Tbl_EquipmentDefinitions[Equipment ID],0))</f>
        <v>82% AFUE (79.3% actual), 0.62 UEF</v>
      </c>
      <c r="J345" s="78" t="s">
        <v>272</v>
      </c>
      <c r="K345" s="78"/>
      <c r="L345" s="5"/>
      <c r="M345" s="5"/>
      <c r="N345" s="5"/>
      <c r="O345" s="5" t="s">
        <v>421</v>
      </c>
      <c r="P345" s="5"/>
      <c r="Q345" s="5"/>
      <c r="R345" s="5"/>
      <c r="S345" s="5"/>
      <c r="T345" s="5" t="s">
        <v>429</v>
      </c>
      <c r="U345" s="5"/>
      <c r="V345" s="5"/>
      <c r="X345" s="5"/>
      <c r="Y345" s="5"/>
      <c r="Z345" s="5"/>
      <c r="AA345" s="5"/>
      <c r="AB345" s="5"/>
      <c r="AC345" s="5"/>
      <c r="AD345" s="5"/>
      <c r="AE345" s="5"/>
      <c r="AF345" s="51"/>
    </row>
    <row r="346" spans="1:35" ht="12.75" x14ac:dyDescent="0.2">
      <c r="A346" s="137"/>
      <c r="B346" s="16"/>
      <c r="C346" s="283" t="s">
        <v>125</v>
      </c>
      <c r="D346" s="62" t="str">
        <f>INDEX(Tbl_EquipmentDefinitions[Equipment Level],MATCH(D344,Tbl_EquipmentDefinitions[Equipment ID],0))</f>
        <v>Secondary</v>
      </c>
      <c r="E346" s="5"/>
      <c r="F346" s="63" t="s">
        <v>27</v>
      </c>
      <c r="G346" s="68" t="str">
        <f>INDEX(Tbl_EquipmentDefinitions[Oil Baseline Efficiency],MATCH(D344,Tbl_EquipmentDefinitions[Equipment ID],0))</f>
        <v>-</v>
      </c>
      <c r="H346" s="70" t="str">
        <f>INDEX(Tbl_EquipmentDefinitions[Oil Code Efficiency],MATCH(D344,Tbl_EquipmentDefinitions[Equipment ID],0))</f>
        <v>-</v>
      </c>
      <c r="J346" s="5"/>
      <c r="K346" s="5"/>
      <c r="L346" s="5"/>
      <c r="M346" s="5"/>
      <c r="N346" s="5"/>
      <c r="O346" s="5" t="s">
        <v>420</v>
      </c>
      <c r="P346" s="144">
        <v>197</v>
      </c>
      <c r="Q346" s="5" t="s">
        <v>170</v>
      </c>
      <c r="T346" s="115" t="s">
        <v>451</v>
      </c>
      <c r="U346" s="147">
        <v>6595</v>
      </c>
      <c r="V346" s="5" t="s">
        <v>164</v>
      </c>
      <c r="X346" s="5"/>
      <c r="AB346" s="5"/>
      <c r="AC346" s="5"/>
      <c r="AD346" s="5"/>
      <c r="AE346" s="5"/>
      <c r="AF346" s="51"/>
    </row>
    <row r="347" spans="1:35" ht="12.75" x14ac:dyDescent="0.2">
      <c r="A347" s="137"/>
      <c r="B347" s="16"/>
      <c r="C347" s="283" t="s">
        <v>24</v>
      </c>
      <c r="D347" s="64" t="str">
        <f>INDEX(Tbl_EquipmentDefinitions[Function],MATCH(D344,Tbl_EquipmentDefinitions[Equipment ID],0))</f>
        <v>Heat+HW</v>
      </c>
      <c r="E347" s="5"/>
      <c r="F347" s="5"/>
      <c r="G347" s="5"/>
      <c r="H347" s="5"/>
      <c r="J347" s="115" t="s">
        <v>445</v>
      </c>
      <c r="K347" s="52">
        <v>0.75</v>
      </c>
      <c r="L347" s="5" t="s">
        <v>158</v>
      </c>
      <c r="M347" s="5"/>
      <c r="N347" s="5"/>
      <c r="O347" s="5" t="s">
        <v>408</v>
      </c>
      <c r="P347" s="144">
        <v>197</v>
      </c>
      <c r="Q347" s="5" t="s">
        <v>170</v>
      </c>
      <c r="S347" s="5"/>
      <c r="T347" s="5" t="s">
        <v>465</v>
      </c>
      <c r="AB347" s="5"/>
      <c r="AC347" s="5"/>
      <c r="AD347" s="5"/>
      <c r="AE347" s="5"/>
      <c r="AF347" s="51"/>
    </row>
    <row r="348" spans="1:35" ht="12.75" x14ac:dyDescent="0.2">
      <c r="A348" s="137"/>
      <c r="B348" s="16"/>
      <c r="C348" s="283" t="s">
        <v>7</v>
      </c>
      <c r="D348" s="62" t="str">
        <f>INDEX(Tbl_EquipmentDefinitions[Fuel Type],MATCH(D344,Tbl_EquipmentDefinitions[Equipment ID],0))</f>
        <v>Propane</v>
      </c>
      <c r="E348" s="65"/>
      <c r="F348" s="671" t="s">
        <v>273</v>
      </c>
      <c r="G348" s="672"/>
      <c r="H348" s="672"/>
      <c r="J348" s="115" t="s">
        <v>446</v>
      </c>
      <c r="K348" s="52">
        <v>0.79300000000000004</v>
      </c>
      <c r="L348" s="5" t="s">
        <v>158</v>
      </c>
      <c r="M348" s="5"/>
      <c r="N348" s="5"/>
      <c r="O348" s="5"/>
      <c r="P348" s="5"/>
      <c r="Q348" s="133"/>
      <c r="S348" s="133"/>
      <c r="T348" s="115" t="s">
        <v>377</v>
      </c>
      <c r="U348" s="147">
        <v>1653</v>
      </c>
      <c r="V348" s="5" t="s">
        <v>164</v>
      </c>
      <c r="X348" s="5"/>
      <c r="Y348" s="5"/>
      <c r="Z348" s="5"/>
      <c r="AA348" s="5"/>
      <c r="AB348" s="5"/>
      <c r="AC348" s="5"/>
      <c r="AD348" s="5"/>
      <c r="AE348" s="5"/>
      <c r="AF348" s="51"/>
    </row>
    <row r="349" spans="1:35" ht="12.75" x14ac:dyDescent="0.2">
      <c r="A349" s="137"/>
      <c r="B349" s="16"/>
      <c r="C349" s="283" t="s">
        <v>126</v>
      </c>
      <c r="D349" s="64">
        <f>IF(ISERR(SEARCH("+",D348,1)),1,2)</f>
        <v>1</v>
      </c>
      <c r="E349" s="65"/>
      <c r="F349" s="672"/>
      <c r="G349" s="672"/>
      <c r="H349" s="672"/>
      <c r="J349" s="115"/>
      <c r="K349" s="5"/>
      <c r="L349" s="5"/>
      <c r="M349" s="5"/>
      <c r="N349" s="5"/>
      <c r="O349" s="55" t="s">
        <v>426</v>
      </c>
      <c r="P349" s="57">
        <f>P346*PRICE_PER_KWH_2018_ELECTRICITY</f>
        <v>38.9666</v>
      </c>
      <c r="Q349" s="5" t="s">
        <v>164</v>
      </c>
      <c r="T349" s="5"/>
      <c r="U349" s="5"/>
      <c r="V349" s="5"/>
      <c r="X349" s="5"/>
      <c r="Y349" s="5"/>
      <c r="Z349" s="5"/>
      <c r="AA349" s="5"/>
      <c r="AB349" s="5"/>
      <c r="AC349" s="5"/>
      <c r="AD349" s="5"/>
      <c r="AE349" s="5"/>
      <c r="AF349" s="51"/>
    </row>
    <row r="350" spans="1:35" ht="12.75" x14ac:dyDescent="0.2">
      <c r="A350" s="137"/>
      <c r="B350" s="16"/>
      <c r="C350" s="284"/>
      <c r="D350" s="5"/>
      <c r="E350" s="5"/>
      <c r="F350" s="672"/>
      <c r="G350" s="672"/>
      <c r="H350" s="672"/>
      <c r="J350" s="115" t="s">
        <v>463</v>
      </c>
      <c r="K350" s="56">
        <f>$D$351/K347</f>
        <v>102.26666666666667</v>
      </c>
      <c r="L350" s="5" t="s">
        <v>156</v>
      </c>
      <c r="M350" s="5"/>
      <c r="N350" s="5"/>
      <c r="O350" s="55" t="s">
        <v>427</v>
      </c>
      <c r="P350" s="57">
        <f>P347*PRICE_PER_KWH_2018_ELECTRICITY</f>
        <v>38.9666</v>
      </c>
      <c r="Q350" s="5" t="s">
        <v>164</v>
      </c>
      <c r="T350" s="5"/>
      <c r="U350" s="5"/>
      <c r="V350" s="5"/>
      <c r="X350" s="5"/>
      <c r="Y350" s="5"/>
      <c r="Z350" s="5"/>
      <c r="AA350" s="5"/>
      <c r="AB350" s="5"/>
      <c r="AC350" s="5"/>
      <c r="AD350" s="5"/>
      <c r="AE350" s="5"/>
      <c r="AF350" s="51"/>
    </row>
    <row r="351" spans="1:35" ht="12.75" x14ac:dyDescent="0.2">
      <c r="A351" s="137"/>
      <c r="B351" s="16"/>
      <c r="C351" s="283" t="s">
        <v>155</v>
      </c>
      <c r="D351" s="62">
        <f>INDEX(Tbl_BaselineSummary[Space Heating Load (MMBtu/yr)],MATCH(D342,Tbl_BaselineSummary[Baseline ID],0))</f>
        <v>76.7</v>
      </c>
      <c r="E351" s="5" t="s">
        <v>156</v>
      </c>
      <c r="F351" s="672"/>
      <c r="G351" s="672"/>
      <c r="H351" s="672"/>
      <c r="J351" s="115" t="s">
        <v>464</v>
      </c>
      <c r="K351" s="56">
        <f>$D$351/K348</f>
        <v>96.721311475409834</v>
      </c>
      <c r="L351" s="5" t="s">
        <v>156</v>
      </c>
      <c r="M351" s="5"/>
      <c r="N351" s="5"/>
      <c r="T351" s="5"/>
      <c r="U351" s="5"/>
      <c r="V351" s="5"/>
      <c r="X351" s="5"/>
      <c r="Y351" s="5"/>
      <c r="Z351" s="5"/>
      <c r="AA351" s="5"/>
      <c r="AB351" s="5"/>
      <c r="AC351" s="5"/>
      <c r="AD351" s="5"/>
      <c r="AE351" s="5"/>
      <c r="AF351" s="51"/>
    </row>
    <row r="352" spans="1:35" ht="12.75" x14ac:dyDescent="0.2">
      <c r="A352" s="137"/>
      <c r="B352" s="16"/>
      <c r="C352" s="283" t="s">
        <v>167</v>
      </c>
      <c r="D352" s="62">
        <f>INDEX(Tbl_BaselineSummary[Space Cooling Load (MMBtu/yr)],MATCH(D342,Tbl_BaselineSummary[Baseline ID],0))</f>
        <v>13.072800000000001</v>
      </c>
      <c r="E352" s="5" t="s">
        <v>156</v>
      </c>
      <c r="F352" s="672"/>
      <c r="G352" s="672"/>
      <c r="H352" s="672"/>
      <c r="J352" s="115"/>
      <c r="K352" s="5"/>
      <c r="L352" s="5"/>
      <c r="M352" s="5"/>
      <c r="N352" s="5"/>
      <c r="O352" s="6" t="s">
        <v>423</v>
      </c>
      <c r="S352" s="5"/>
      <c r="T352" s="5"/>
      <c r="U352" s="5"/>
      <c r="V352" s="5"/>
      <c r="W352" s="5"/>
      <c r="X352" s="5"/>
      <c r="Y352" s="5"/>
      <c r="Z352" s="5"/>
      <c r="AA352" s="5"/>
      <c r="AB352" s="5"/>
      <c r="AC352" s="5"/>
      <c r="AD352" s="5"/>
      <c r="AE352" s="5"/>
      <c r="AF352" s="51"/>
    </row>
    <row r="353" spans="1:33" ht="12.75" x14ac:dyDescent="0.2">
      <c r="A353" s="137"/>
      <c r="B353" s="16"/>
      <c r="C353" s="283" t="s">
        <v>244</v>
      </c>
      <c r="D353" s="62">
        <f>INDEX(Tbl_BaselineSummary[Water Heating Load (MMBtu/yr)],MATCH(D342,Tbl_BaselineSummary[Baseline ID],0))</f>
        <v>11.3</v>
      </c>
      <c r="E353" s="5" t="s">
        <v>156</v>
      </c>
      <c r="F353" s="672"/>
      <c r="G353" s="672"/>
      <c r="H353" s="672"/>
      <c r="J353" s="115" t="s">
        <v>449</v>
      </c>
      <c r="K353" s="113">
        <v>0.57999999999999996</v>
      </c>
      <c r="L353" s="5" t="s">
        <v>319</v>
      </c>
      <c r="M353" s="5"/>
      <c r="N353" s="5"/>
      <c r="O353" s="5" t="s">
        <v>422</v>
      </c>
      <c r="P353" s="146">
        <f>AVERAGE(530,984,1329,1329)</f>
        <v>1043</v>
      </c>
      <c r="Q353" s="6" t="s">
        <v>397</v>
      </c>
      <c r="S353" s="5"/>
      <c r="T353" s="5"/>
      <c r="U353" s="5"/>
      <c r="V353" s="5"/>
      <c r="W353" s="5"/>
      <c r="X353" s="5"/>
      <c r="Y353" s="5"/>
      <c r="Z353" s="5"/>
      <c r="AA353" s="5"/>
      <c r="AB353" s="5"/>
      <c r="AC353" s="5"/>
      <c r="AD353" s="5"/>
      <c r="AE353" s="5"/>
      <c r="AF353" s="51"/>
    </row>
    <row r="354" spans="1:33" ht="12.75" x14ac:dyDescent="0.2">
      <c r="A354" s="137"/>
      <c r="B354" s="16"/>
      <c r="C354" s="284"/>
      <c r="D354" s="5"/>
      <c r="E354" s="5"/>
      <c r="F354" s="5"/>
      <c r="G354" s="5"/>
      <c r="H354" s="5"/>
      <c r="J354" s="115" t="s">
        <v>450</v>
      </c>
      <c r="K354" s="135">
        <v>0.62</v>
      </c>
      <c r="L354" s="5" t="s">
        <v>319</v>
      </c>
      <c r="M354" s="5"/>
      <c r="N354" s="5"/>
      <c r="S354" s="5"/>
      <c r="T354" s="5"/>
      <c r="U354" s="5"/>
      <c r="V354" s="5"/>
      <c r="W354" s="5"/>
      <c r="X354" s="5"/>
      <c r="Y354" s="5"/>
      <c r="Z354" s="5"/>
      <c r="AA354" s="5"/>
      <c r="AB354" s="5"/>
      <c r="AC354" s="5"/>
      <c r="AD354" s="5"/>
      <c r="AE354" s="5"/>
      <c r="AF354" s="51"/>
    </row>
    <row r="355" spans="1:33" x14ac:dyDescent="0.2">
      <c r="A355" s="137"/>
      <c r="B355" s="16"/>
      <c r="C355" s="283" t="s">
        <v>635</v>
      </c>
      <c r="D355" s="62">
        <f>INDEX(Tbl_EquipmentDefinitions[New Unit Equipment Life (years)],MATCH('Baseline Calculations'!D344,Tbl_EquipmentDefinitions[Equipment ID],0))</f>
        <v>20</v>
      </c>
      <c r="E355" s="188" t="s">
        <v>376</v>
      </c>
      <c r="F355" s="5"/>
      <c r="G355" s="5"/>
      <c r="H355" s="5"/>
      <c r="J355" s="73"/>
      <c r="K355" s="5"/>
      <c r="L355" s="5"/>
      <c r="M355" s="5"/>
      <c r="N355" s="5"/>
      <c r="T355" s="5"/>
      <c r="U355" s="5"/>
      <c r="V355" s="5"/>
      <c r="W355" s="5"/>
      <c r="X355" s="5"/>
      <c r="Y355" s="5"/>
      <c r="Z355" s="5"/>
      <c r="AA355" s="5"/>
      <c r="AB355" s="5"/>
      <c r="AC355" s="5"/>
      <c r="AD355" s="5"/>
      <c r="AE355" s="5"/>
      <c r="AF355" s="51"/>
    </row>
    <row r="356" spans="1:33" s="5" customFormat="1" ht="12.75" x14ac:dyDescent="0.2">
      <c r="A356" s="188"/>
      <c r="B356" s="16"/>
      <c r="C356" s="283" t="s">
        <v>636</v>
      </c>
      <c r="D356" s="62">
        <f>INDEX(Tbl_EquipmentDefinitions[Remaining Life for Early Replacement (years)],MATCH('Baseline Calculations'!D344,Tbl_EquipmentDefinitions[Equipment ID],0))</f>
        <v>10</v>
      </c>
      <c r="E356" s="188" t="s">
        <v>376</v>
      </c>
      <c r="I356" s="6"/>
      <c r="J356" s="115" t="s">
        <v>615</v>
      </c>
      <c r="K356" s="56">
        <f>$D$353/K353</f>
        <v>19.482758620689658</v>
      </c>
      <c r="L356" s="5" t="s">
        <v>156</v>
      </c>
      <c r="O356" s="6" t="s">
        <v>740</v>
      </c>
      <c r="P356" s="6"/>
      <c r="S356" s="6" t="s">
        <v>1110</v>
      </c>
      <c r="T356" s="6"/>
      <c r="AF356" s="51"/>
    </row>
    <row r="357" spans="1:33" s="5" customFormat="1" ht="12.75" x14ac:dyDescent="0.2">
      <c r="A357" s="188"/>
      <c r="B357" s="16"/>
      <c r="C357" s="50"/>
      <c r="I357" s="6"/>
      <c r="J357" s="115" t="s">
        <v>616</v>
      </c>
      <c r="K357" s="56">
        <f>$D$353/K354</f>
        <v>18.225806451612904</v>
      </c>
      <c r="L357" s="5" t="s">
        <v>156</v>
      </c>
      <c r="O357" s="155" t="s">
        <v>739</v>
      </c>
      <c r="P357" s="146">
        <v>0.16</v>
      </c>
      <c r="S357" s="155" t="s">
        <v>1105</v>
      </c>
      <c r="T357" s="403">
        <v>0</v>
      </c>
      <c r="AF357" s="51"/>
    </row>
    <row r="358" spans="1:33" s="5" customFormat="1" x14ac:dyDescent="0.2">
      <c r="A358" s="188"/>
      <c r="B358" s="16"/>
      <c r="C358" s="50"/>
      <c r="I358" s="6"/>
      <c r="J358" s="73"/>
      <c r="AF358" s="51"/>
    </row>
    <row r="359" spans="1:33" s="5" customFormat="1" ht="12.75" x14ac:dyDescent="0.2">
      <c r="A359" s="188"/>
      <c r="B359" s="16"/>
      <c r="C359" s="50"/>
      <c r="I359" s="6"/>
      <c r="J359" s="115" t="s">
        <v>313</v>
      </c>
      <c r="K359" s="292">
        <f>(K350+K356)*PRICE_PER_MMBTU_2018_PROPANE</f>
        <v>4376.3301678297094</v>
      </c>
      <c r="L359" s="5" t="s">
        <v>164</v>
      </c>
      <c r="O359" s="5" t="s">
        <v>424</v>
      </c>
      <c r="P359" s="145">
        <f>P357*P346/P353</f>
        <v>3.0220517737296261E-2</v>
      </c>
      <c r="Q359" s="5" t="s">
        <v>176</v>
      </c>
      <c r="S359" s="5" t="s">
        <v>1108</v>
      </c>
      <c r="T359" s="145">
        <f>T357*P346/P353</f>
        <v>0</v>
      </c>
      <c r="U359" s="5" t="s">
        <v>176</v>
      </c>
      <c r="AF359" s="51"/>
    </row>
    <row r="360" spans="1:33" ht="12.75" x14ac:dyDescent="0.2">
      <c r="A360" s="137"/>
      <c r="B360" s="16"/>
      <c r="C360" s="50"/>
      <c r="J360" s="115" t="s">
        <v>314</v>
      </c>
      <c r="K360" s="292">
        <f>(K351+K357)*PRICE_PER_MMBTU_2018_PROPANE</f>
        <v>4131.8185995687827</v>
      </c>
      <c r="L360" s="5" t="s">
        <v>164</v>
      </c>
      <c r="M360" s="5"/>
      <c r="N360" s="5"/>
      <c r="O360" s="5" t="s">
        <v>425</v>
      </c>
      <c r="P360" s="145">
        <f>P357*P347/P353</f>
        <v>3.0220517737296261E-2</v>
      </c>
      <c r="Q360" s="5" t="s">
        <v>176</v>
      </c>
      <c r="S360" s="5" t="s">
        <v>1109</v>
      </c>
      <c r="T360" s="145">
        <f>T357*P347/P353</f>
        <v>0</v>
      </c>
      <c r="U360" s="5" t="s">
        <v>176</v>
      </c>
      <c r="AF360" s="51"/>
      <c r="AG360" s="5"/>
    </row>
    <row r="361" spans="1:33" x14ac:dyDescent="0.2">
      <c r="A361" s="137"/>
      <c r="B361" s="16"/>
      <c r="C361" s="58"/>
      <c r="D361" s="59"/>
      <c r="E361" s="59"/>
      <c r="F361" s="59"/>
      <c r="G361" s="59"/>
      <c r="H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60"/>
    </row>
    <row r="362" spans="1:33" x14ac:dyDescent="0.2">
      <c r="B362" s="16"/>
    </row>
    <row r="363" spans="1:33" ht="15.75" thickBot="1" x14ac:dyDescent="0.25">
      <c r="A363" s="137"/>
      <c r="B363" s="16"/>
      <c r="C363" s="74" t="s">
        <v>270</v>
      </c>
      <c r="D363" s="75"/>
      <c r="E363" s="75"/>
      <c r="F363" s="75"/>
      <c r="G363" s="75"/>
      <c r="H363" s="75"/>
      <c r="J363" s="75" t="s">
        <v>271</v>
      </c>
      <c r="K363" s="75"/>
      <c r="L363" s="48"/>
      <c r="M363" s="48"/>
      <c r="N363" s="48"/>
      <c r="O363" s="48"/>
      <c r="P363" s="48"/>
      <c r="Q363" s="48"/>
      <c r="R363" s="48"/>
      <c r="S363" s="48"/>
      <c r="T363" s="48"/>
      <c r="U363" s="48"/>
      <c r="V363" s="48"/>
      <c r="W363" s="48"/>
      <c r="X363" s="48"/>
      <c r="Y363" s="48"/>
      <c r="Z363" s="48"/>
      <c r="AA363" s="48"/>
      <c r="AB363" s="48"/>
      <c r="AC363" s="48"/>
      <c r="AD363" s="48"/>
      <c r="AE363" s="48"/>
      <c r="AF363" s="49"/>
    </row>
    <row r="364" spans="1:33" ht="3.75" customHeight="1" x14ac:dyDescent="0.2">
      <c r="A364" s="137"/>
      <c r="B364" s="16"/>
      <c r="C364" s="50"/>
      <c r="D364" s="5"/>
      <c r="E364" s="5"/>
      <c r="F364" s="5"/>
      <c r="G364" s="5"/>
      <c r="H364" s="5"/>
      <c r="J364" s="5"/>
      <c r="K364" s="5"/>
      <c r="L364" s="5"/>
      <c r="M364" s="5"/>
      <c r="N364" s="5"/>
      <c r="O364" s="5"/>
      <c r="P364" s="5"/>
      <c r="Q364" s="5"/>
      <c r="R364" s="5"/>
      <c r="S364" s="5"/>
      <c r="T364" s="5"/>
      <c r="U364" s="5"/>
      <c r="V364" s="5"/>
      <c r="W364" s="5"/>
      <c r="X364" s="5"/>
      <c r="Y364" s="5"/>
      <c r="Z364" s="5"/>
      <c r="AA364" s="5"/>
      <c r="AB364" s="5"/>
      <c r="AC364" s="5"/>
      <c r="AD364" s="5"/>
      <c r="AE364" s="5"/>
      <c r="AF364" s="51"/>
    </row>
    <row r="365" spans="1:33" ht="34.5" thickBot="1" x14ac:dyDescent="0.25">
      <c r="A365" s="137"/>
      <c r="B365" s="16"/>
      <c r="C365" s="76" t="s">
        <v>249</v>
      </c>
      <c r="D365" s="81" t="s">
        <v>241</v>
      </c>
      <c r="E365" s="71"/>
      <c r="F365" s="66" t="s">
        <v>260</v>
      </c>
      <c r="G365" s="66" t="s">
        <v>5</v>
      </c>
      <c r="H365" s="66" t="s">
        <v>6</v>
      </c>
      <c r="J365" s="66" t="s">
        <v>127</v>
      </c>
      <c r="K365" s="72" t="s">
        <v>261</v>
      </c>
      <c r="L365" s="72" t="s">
        <v>262</v>
      </c>
      <c r="M365" s="72" t="s">
        <v>1455</v>
      </c>
      <c r="N365" s="72" t="s">
        <v>1456</v>
      </c>
      <c r="O365" s="72" t="s">
        <v>963</v>
      </c>
      <c r="P365" s="72" t="s">
        <v>974</v>
      </c>
      <c r="Q365" s="72" t="s">
        <v>263</v>
      </c>
      <c r="R365" s="72" t="s">
        <v>264</v>
      </c>
      <c r="S365" s="72" t="s">
        <v>265</v>
      </c>
      <c r="T365" s="72" t="s">
        <v>280</v>
      </c>
      <c r="U365" s="72" t="s">
        <v>200</v>
      </c>
      <c r="V365" s="72" t="s">
        <v>753</v>
      </c>
      <c r="W365" s="72" t="s">
        <v>634</v>
      </c>
      <c r="X365" s="72" t="s">
        <v>754</v>
      </c>
      <c r="Y365" s="72" t="s">
        <v>266</v>
      </c>
      <c r="Z365" s="72" t="s">
        <v>1457</v>
      </c>
      <c r="AA365" s="72" t="s">
        <v>1458</v>
      </c>
      <c r="AB365" s="72" t="s">
        <v>964</v>
      </c>
      <c r="AC365" s="72" t="s">
        <v>975</v>
      </c>
      <c r="AD365" s="72" t="s">
        <v>267</v>
      </c>
      <c r="AE365" s="72" t="s">
        <v>268</v>
      </c>
      <c r="AF365" s="77" t="s">
        <v>269</v>
      </c>
    </row>
    <row r="366" spans="1:33" x14ac:dyDescent="0.2">
      <c r="A366" s="137"/>
      <c r="B366" s="16"/>
      <c r="C366" s="61"/>
      <c r="D366" s="5"/>
      <c r="E366" s="5"/>
      <c r="F366" s="63" t="s">
        <v>178</v>
      </c>
      <c r="G366" s="67" t="str">
        <f>INDEX(Tbl_EquipmentDefinitions[Electricity Baseline Efficiency],MATCH(D367,Tbl_EquipmentDefinitions[Equipment ID],0))</f>
        <v>-</v>
      </c>
      <c r="H366" s="68" t="str">
        <f>INDEX(Tbl_EquipmentDefinitions[Electricity Code Efficiency],MATCH(D367,Tbl_EquipmentDefinitions[Equipment ID],0))</f>
        <v>-</v>
      </c>
      <c r="J366" s="63" t="str">
        <f>D365</f>
        <v>BASE15</v>
      </c>
      <c r="K366" s="148">
        <f>K380+P372</f>
        <v>538.26942250267905</v>
      </c>
      <c r="L366" s="285">
        <v>0</v>
      </c>
      <c r="M366" s="285" t="s">
        <v>1449</v>
      </c>
      <c r="N366" s="285" t="s">
        <v>1449</v>
      </c>
      <c r="O366" s="117">
        <v>0</v>
      </c>
      <c r="P366" s="117">
        <v>0</v>
      </c>
      <c r="Q366" s="286">
        <v>0</v>
      </c>
      <c r="R366" s="286">
        <v>0</v>
      </c>
      <c r="S366" s="286">
        <f>K377</f>
        <v>23.965517241379313</v>
      </c>
      <c r="T366" s="148">
        <f>K381+P373</f>
        <v>503.54236298637721</v>
      </c>
      <c r="U366" s="148">
        <f>T369</f>
        <v>1750</v>
      </c>
      <c r="V366" s="148">
        <v>0</v>
      </c>
      <c r="W366" s="148">
        <f>((PV(DiscountRate, (D378-D379),PMT(DiscountRate, D378, U366))/(1+DiscountRate)^(D379)))</f>
        <v>1142.2634464766872</v>
      </c>
      <c r="X366" s="148">
        <f>((PV(DiscountRate, (D378-D379),PMT(DiscountRate, D378, V366))/(1+DiscountRate)^(D379)))</f>
        <v>0</v>
      </c>
      <c r="Y366" s="285">
        <v>0</v>
      </c>
      <c r="Z366" s="285" t="s">
        <v>1449</v>
      </c>
      <c r="AA366" s="285" t="s">
        <v>1449</v>
      </c>
      <c r="AB366" s="117">
        <v>0</v>
      </c>
      <c r="AC366" s="117">
        <f>AD372</f>
        <v>0</v>
      </c>
      <c r="AD366" s="286">
        <v>0</v>
      </c>
      <c r="AE366" s="286">
        <v>0</v>
      </c>
      <c r="AF366" s="287">
        <f>K378</f>
        <v>22.41935483870968</v>
      </c>
    </row>
    <row r="367" spans="1:33" x14ac:dyDescent="0.2">
      <c r="A367" s="137"/>
      <c r="B367" s="16"/>
      <c r="C367" s="283" t="s">
        <v>2</v>
      </c>
      <c r="D367" s="62" t="str">
        <f>INDEX(Tbl_BaselineSummary[Equipment ID],MATCH(D365,Tbl_BaselineSummary[Baseline ID],0))</f>
        <v>EQUI026</v>
      </c>
      <c r="E367" s="5"/>
      <c r="F367" s="63" t="s">
        <v>55</v>
      </c>
      <c r="G367" s="68" t="str">
        <f>INDEX(Tbl_EquipmentDefinitions[Natural Gas Baseline Efficiency],MATCH(D367,Tbl_EquipmentDefinitions[Equipment ID],0))</f>
        <v>-</v>
      </c>
      <c r="H367" s="69" t="str">
        <f>INDEX(Tbl_EquipmentDefinitions[Natural Gas Code Efficiency],MATCH(D367,Tbl_EquipmentDefinitions[Equipment ID],0))</f>
        <v>-</v>
      </c>
      <c r="J367" s="5"/>
      <c r="K367" s="5"/>
      <c r="L367" s="5"/>
      <c r="M367" s="5"/>
      <c r="N367" s="5"/>
      <c r="O367" s="5"/>
      <c r="P367" s="5"/>
      <c r="Q367" s="5"/>
      <c r="R367" s="5"/>
      <c r="S367" s="5"/>
      <c r="T367" s="5"/>
      <c r="U367" s="5"/>
      <c r="V367" s="5"/>
      <c r="W367" s="5"/>
      <c r="X367" s="5"/>
      <c r="Y367" s="5"/>
      <c r="Z367" s="5"/>
      <c r="AA367" s="5"/>
      <c r="AB367" s="5"/>
      <c r="AC367" s="5"/>
      <c r="AD367" s="5"/>
      <c r="AE367" s="5"/>
      <c r="AF367" s="51"/>
    </row>
    <row r="368" spans="1:33" ht="12.75" x14ac:dyDescent="0.2">
      <c r="A368" s="137"/>
      <c r="B368" s="16"/>
      <c r="C368" s="283" t="s">
        <v>4</v>
      </c>
      <c r="D368" s="64" t="str">
        <f>INDEX(Tbl_EquipmentDefinitions[Equipment Name],MATCH(D367,Tbl_EquipmentDefinitions[Equipment ID],0))</f>
        <v>Oil Storage WH</v>
      </c>
      <c r="E368" s="5"/>
      <c r="F368" s="63" t="s">
        <v>28</v>
      </c>
      <c r="G368" s="70" t="str">
        <f>INDEX(Tbl_EquipmentDefinitions[Propane Baseline Efficiency],MATCH(D367,Tbl_EquipmentDefinitions[Equipment ID],0))</f>
        <v>-</v>
      </c>
      <c r="H368" s="68" t="str">
        <f>INDEX(Tbl_EquipmentDefinitions[Propane Code Efficiency],MATCH(D367,Tbl_EquipmentDefinitions[Equipment ID],0))</f>
        <v>-</v>
      </c>
      <c r="J368" s="78" t="s">
        <v>272</v>
      </c>
      <c r="K368" s="78"/>
      <c r="L368" s="5"/>
      <c r="M368" s="5"/>
      <c r="N368" s="5"/>
      <c r="S368" s="5"/>
      <c r="T368" s="5"/>
      <c r="U368" s="5"/>
      <c r="V368" s="5"/>
      <c r="W368" s="5"/>
      <c r="X368" s="5"/>
      <c r="Y368" s="5"/>
      <c r="Z368" s="5"/>
      <c r="AA368" s="5"/>
      <c r="AB368" s="5"/>
      <c r="AC368" s="5"/>
      <c r="AD368" s="5"/>
      <c r="AE368" s="5"/>
      <c r="AF368" s="51"/>
    </row>
    <row r="369" spans="1:32" ht="12.75" x14ac:dyDescent="0.2">
      <c r="A369" s="137"/>
      <c r="B369" s="16"/>
      <c r="C369" s="283" t="s">
        <v>125</v>
      </c>
      <c r="D369" s="62" t="str">
        <f>INDEX(Tbl_EquipmentDefinitions[Equipment Level],MATCH(D367,Tbl_EquipmentDefinitions[Equipment ID],0))</f>
        <v>Primary</v>
      </c>
      <c r="E369" s="5"/>
      <c r="F369" s="63" t="s">
        <v>27</v>
      </c>
      <c r="G369" s="68" t="str">
        <f>INDEX(Tbl_EquipmentDefinitions[Oil Baseline Efficiency],MATCH(D367,Tbl_EquipmentDefinitions[Equipment ID],0))</f>
        <v>0.58 UEF</v>
      </c>
      <c r="H369" s="70" t="str">
        <f>INDEX(Tbl_EquipmentDefinitions[Oil Code Efficiency],MATCH(D367,Tbl_EquipmentDefinitions[Equipment ID],0))</f>
        <v>0.62 UEF</v>
      </c>
      <c r="J369" s="6" t="s">
        <v>1128</v>
      </c>
      <c r="K369" s="5"/>
      <c r="L369" s="5"/>
      <c r="M369" s="5"/>
      <c r="N369" s="5"/>
      <c r="O369" s="53" t="s">
        <v>251</v>
      </c>
      <c r="P369" s="54">
        <v>0</v>
      </c>
      <c r="Q369" s="5" t="s">
        <v>378</v>
      </c>
      <c r="S369" s="53" t="s">
        <v>281</v>
      </c>
      <c r="T369" s="138">
        <v>1750</v>
      </c>
      <c r="U369" s="5" t="s">
        <v>164</v>
      </c>
      <c r="V369" s="5"/>
      <c r="W369" s="5"/>
      <c r="X369" s="5"/>
      <c r="Y369" s="5"/>
      <c r="Z369" s="5"/>
      <c r="AA369" s="5"/>
      <c r="AB369" s="5"/>
      <c r="AC369" s="5"/>
      <c r="AD369" s="5"/>
      <c r="AE369" s="5"/>
      <c r="AF369" s="51"/>
    </row>
    <row r="370" spans="1:32" ht="13.35" customHeight="1" x14ac:dyDescent="0.2">
      <c r="A370" s="137"/>
      <c r="B370" s="16"/>
      <c r="C370" s="283" t="s">
        <v>24</v>
      </c>
      <c r="D370" s="64" t="str">
        <f>INDEX(Tbl_EquipmentDefinitions[Function],MATCH(D367,Tbl_EquipmentDefinitions[Equipment ID],0))</f>
        <v>HW</v>
      </c>
      <c r="E370" s="5"/>
      <c r="F370" s="5"/>
      <c r="G370" s="5"/>
      <c r="H370" s="5"/>
      <c r="J370" s="6" t="s">
        <v>1126</v>
      </c>
      <c r="O370" s="53" t="s">
        <v>252</v>
      </c>
      <c r="P370" s="54">
        <v>0</v>
      </c>
      <c r="Q370" s="5" t="s">
        <v>378</v>
      </c>
      <c r="W370" s="5"/>
      <c r="X370" s="5"/>
      <c r="Y370" s="5"/>
      <c r="Z370" s="5"/>
      <c r="AA370" s="5"/>
      <c r="AB370" s="5"/>
      <c r="AC370" s="5"/>
      <c r="AD370" s="5"/>
      <c r="AE370" s="5"/>
      <c r="AF370" s="51"/>
    </row>
    <row r="371" spans="1:32" x14ac:dyDescent="0.2">
      <c r="A371" s="137"/>
      <c r="B371" s="16"/>
      <c r="C371" s="283" t="s">
        <v>7</v>
      </c>
      <c r="D371" s="62" t="str">
        <f>INDEX(Tbl_EquipmentDefinitions[Fuel Type],MATCH(D367,Tbl_EquipmentDefinitions[Equipment ID],0))</f>
        <v>Oil</v>
      </c>
      <c r="E371" s="65"/>
      <c r="F371" s="671" t="s">
        <v>273</v>
      </c>
      <c r="G371" s="672"/>
      <c r="H371" s="672"/>
      <c r="J371" s="6" t="s">
        <v>1129</v>
      </c>
      <c r="O371" s="5"/>
      <c r="P371" s="5"/>
      <c r="Q371" s="5"/>
      <c r="W371" s="5"/>
      <c r="X371" s="5"/>
      <c r="Y371" s="5"/>
      <c r="Z371" s="5"/>
      <c r="AA371" s="5"/>
      <c r="AB371" s="5"/>
      <c r="AC371" s="5"/>
      <c r="AD371" s="5"/>
      <c r="AE371" s="5"/>
      <c r="AF371" s="51"/>
    </row>
    <row r="372" spans="1:32" ht="12.75" x14ac:dyDescent="0.2">
      <c r="A372" s="137"/>
      <c r="B372" s="16"/>
      <c r="C372" s="283" t="s">
        <v>126</v>
      </c>
      <c r="D372" s="64">
        <f>IF(ISERR(SEARCH("+",D371,1)),1,2)</f>
        <v>1</v>
      </c>
      <c r="E372" s="65"/>
      <c r="F372" s="672"/>
      <c r="G372" s="672"/>
      <c r="H372" s="672"/>
      <c r="J372" s="94" t="s">
        <v>1127</v>
      </c>
      <c r="O372" s="55" t="s">
        <v>256</v>
      </c>
      <c r="P372" s="57">
        <f>P369*PRICE_PER_KWH_2018_ELECTRICITY</f>
        <v>0</v>
      </c>
      <c r="Q372" s="5" t="s">
        <v>164</v>
      </c>
      <c r="W372" s="5"/>
      <c r="X372" s="5"/>
      <c r="Y372" s="5"/>
      <c r="Z372" s="5"/>
      <c r="AA372" s="5"/>
      <c r="AB372" s="5"/>
      <c r="AC372" s="5"/>
      <c r="AD372" s="5"/>
      <c r="AE372" s="5"/>
      <c r="AF372" s="51"/>
    </row>
    <row r="373" spans="1:32" ht="12.75" x14ac:dyDescent="0.2">
      <c r="A373" s="137"/>
      <c r="B373" s="16"/>
      <c r="C373" s="284"/>
      <c r="D373" s="5"/>
      <c r="E373" s="5"/>
      <c r="F373" s="672"/>
      <c r="G373" s="672"/>
      <c r="H373" s="672"/>
      <c r="O373" s="55" t="s">
        <v>257</v>
      </c>
      <c r="P373" s="57">
        <f>P370*PRICE_PER_KWH_2018_ELECTRICITY</f>
        <v>0</v>
      </c>
      <c r="Q373" s="5" t="s">
        <v>164</v>
      </c>
      <c r="W373" s="5"/>
      <c r="X373" s="5"/>
      <c r="Y373" s="5"/>
      <c r="Z373" s="5"/>
      <c r="AA373" s="5"/>
      <c r="AB373" s="5"/>
      <c r="AC373" s="5"/>
      <c r="AD373" s="5"/>
      <c r="AE373" s="5"/>
      <c r="AF373" s="51"/>
    </row>
    <row r="374" spans="1:32" ht="12.75" x14ac:dyDescent="0.2">
      <c r="A374" s="137"/>
      <c r="B374" s="16"/>
      <c r="C374" s="283" t="s">
        <v>155</v>
      </c>
      <c r="D374" s="62">
        <f>INDEX(Tbl_BaselineSummary[Space Heating Load (MMBtu/yr)],MATCH(D365,Tbl_BaselineSummary[Baseline ID],0))</f>
        <v>76.7</v>
      </c>
      <c r="E374" s="5" t="s">
        <v>156</v>
      </c>
      <c r="F374" s="672"/>
      <c r="G374" s="672"/>
      <c r="H374" s="672"/>
      <c r="J374" s="115" t="s">
        <v>157</v>
      </c>
      <c r="K374" s="113">
        <v>0.57999999999999996</v>
      </c>
      <c r="L374" s="5" t="s">
        <v>319</v>
      </c>
      <c r="M374" s="5"/>
      <c r="N374" s="5"/>
      <c r="W374" s="5"/>
      <c r="X374" s="5"/>
      <c r="Y374" s="5"/>
      <c r="Z374" s="5"/>
      <c r="AA374" s="5"/>
      <c r="AB374" s="5"/>
      <c r="AC374" s="5"/>
      <c r="AD374" s="5"/>
      <c r="AE374" s="5"/>
      <c r="AF374" s="51"/>
    </row>
    <row r="375" spans="1:32" ht="12.75" x14ac:dyDescent="0.2">
      <c r="A375" s="137"/>
      <c r="B375" s="16"/>
      <c r="C375" s="283" t="s">
        <v>167</v>
      </c>
      <c r="D375" s="62">
        <f>INDEX(Tbl_BaselineSummary[Space Cooling Load (MMBtu/yr)],MATCH(D365,Tbl_BaselineSummary[Baseline ID],0))</f>
        <v>13.072800000000001</v>
      </c>
      <c r="E375" s="5" t="s">
        <v>156</v>
      </c>
      <c r="F375" s="672"/>
      <c r="G375" s="672"/>
      <c r="H375" s="672"/>
      <c r="J375" s="115" t="s">
        <v>159</v>
      </c>
      <c r="K375" s="135">
        <v>0.62</v>
      </c>
      <c r="L375" s="5" t="s">
        <v>1125</v>
      </c>
      <c r="M375" s="5"/>
      <c r="N375" s="5"/>
      <c r="T375" s="5"/>
      <c r="U375" s="5"/>
      <c r="V375" s="5"/>
      <c r="W375" s="5"/>
      <c r="X375" s="5"/>
      <c r="Y375" s="5"/>
      <c r="Z375" s="5"/>
      <c r="AA375" s="5"/>
      <c r="AB375" s="5"/>
      <c r="AC375" s="5"/>
      <c r="AD375" s="5"/>
      <c r="AE375" s="5"/>
      <c r="AF375" s="51"/>
    </row>
    <row r="376" spans="1:32" x14ac:dyDescent="0.2">
      <c r="A376" s="137"/>
      <c r="B376" s="16"/>
      <c r="C376" s="283" t="s">
        <v>244</v>
      </c>
      <c r="D376" s="112">
        <f>INDEX(Tbl_BaselineSummary[Water Heating Load (MMBtu/yr)],MATCH(D365,Tbl_BaselineSummary[Baseline ID],0))</f>
        <v>13.9</v>
      </c>
      <c r="E376" s="5" t="s">
        <v>156</v>
      </c>
      <c r="F376" s="672"/>
      <c r="G376" s="672"/>
      <c r="H376" s="672"/>
      <c r="J376" s="73"/>
      <c r="K376" s="5"/>
      <c r="L376" s="5"/>
      <c r="M376" s="5"/>
      <c r="N376" s="5"/>
      <c r="S376" s="5"/>
      <c r="T376" s="5"/>
      <c r="U376" s="5"/>
      <c r="V376" s="5"/>
      <c r="W376" s="5"/>
      <c r="X376" s="5"/>
      <c r="Y376" s="5"/>
      <c r="Z376" s="5"/>
      <c r="AA376" s="5"/>
      <c r="AB376" s="5"/>
      <c r="AC376" s="5"/>
      <c r="AD376" s="5"/>
      <c r="AE376" s="5"/>
      <c r="AF376" s="51"/>
    </row>
    <row r="377" spans="1:32" ht="12.75" x14ac:dyDescent="0.2">
      <c r="A377" s="137"/>
      <c r="B377" s="16"/>
      <c r="C377" s="284"/>
      <c r="D377" s="5"/>
      <c r="E377" s="5"/>
      <c r="F377" s="5"/>
      <c r="G377" s="5"/>
      <c r="H377" s="5"/>
      <c r="J377" s="115" t="s">
        <v>353</v>
      </c>
      <c r="K377" s="56">
        <f>$D$376/K374</f>
        <v>23.965517241379313</v>
      </c>
      <c r="L377" s="5" t="s">
        <v>156</v>
      </c>
      <c r="M377" s="5"/>
      <c r="N377" s="5"/>
      <c r="S377" s="5"/>
      <c r="T377" s="5"/>
      <c r="U377" s="5"/>
      <c r="V377" s="5"/>
      <c r="W377" s="5"/>
      <c r="X377" s="5"/>
      <c r="Y377" s="5"/>
      <c r="Z377" s="5"/>
      <c r="AA377" s="5"/>
      <c r="AB377" s="5"/>
      <c r="AC377" s="5"/>
      <c r="AD377" s="5"/>
      <c r="AE377" s="5"/>
      <c r="AF377" s="51"/>
    </row>
    <row r="378" spans="1:32" ht="12.75" x14ac:dyDescent="0.2">
      <c r="A378" s="137"/>
      <c r="B378" s="16"/>
      <c r="C378" s="283" t="s">
        <v>635</v>
      </c>
      <c r="D378" s="62">
        <f>INDEX(Tbl_EquipmentDefinitions[New Unit Equipment Life (years)],MATCH('Baseline Calculations'!D367,Tbl_EquipmentDefinitions[Equipment ID],0))</f>
        <v>13</v>
      </c>
      <c r="E378" s="188" t="s">
        <v>376</v>
      </c>
      <c r="F378" s="5"/>
      <c r="G378" s="5"/>
      <c r="H378" s="5"/>
      <c r="J378" s="115" t="s">
        <v>385</v>
      </c>
      <c r="K378" s="56">
        <f>$D$376/K375</f>
        <v>22.41935483870968</v>
      </c>
      <c r="L378" s="5" t="s">
        <v>156</v>
      </c>
      <c r="M378" s="5"/>
      <c r="N378" s="5"/>
      <c r="S378" s="5"/>
      <c r="T378" s="5"/>
      <c r="U378" s="5"/>
      <c r="V378" s="5"/>
      <c r="W378" s="5"/>
      <c r="X378" s="5"/>
      <c r="Y378" s="5"/>
      <c r="Z378" s="5"/>
      <c r="AA378" s="5"/>
      <c r="AB378" s="5"/>
      <c r="AC378" s="5"/>
      <c r="AD378" s="5"/>
      <c r="AE378" s="5"/>
      <c r="AF378" s="51"/>
    </row>
    <row r="379" spans="1:32" ht="12.75" x14ac:dyDescent="0.2">
      <c r="A379" s="137"/>
      <c r="B379" s="16"/>
      <c r="C379" s="283" t="s">
        <v>636</v>
      </c>
      <c r="D379" s="62">
        <f>INDEX(Tbl_EquipmentDefinitions[Remaining Life for Early Replacement (years)],MATCH('Baseline Calculations'!D367,Tbl_EquipmentDefinitions[Equipment ID],0))</f>
        <v>4</v>
      </c>
      <c r="E379" s="188" t="s">
        <v>376</v>
      </c>
      <c r="F379" s="5"/>
      <c r="G379" s="5"/>
      <c r="H379" s="5"/>
      <c r="J379" s="115"/>
      <c r="K379" s="5"/>
      <c r="L379" s="5"/>
      <c r="M379" s="5"/>
      <c r="N379" s="5"/>
      <c r="T379" s="5"/>
      <c r="U379" s="5"/>
      <c r="V379" s="5"/>
      <c r="W379" s="5"/>
      <c r="X379" s="5"/>
      <c r="Y379" s="5"/>
      <c r="Z379" s="5"/>
      <c r="AA379" s="5"/>
      <c r="AB379" s="5"/>
      <c r="AC379" s="5"/>
      <c r="AD379" s="5"/>
      <c r="AE379" s="5"/>
      <c r="AF379" s="51"/>
    </row>
    <row r="380" spans="1:32" ht="12.75" x14ac:dyDescent="0.2">
      <c r="A380" s="137"/>
      <c r="B380" s="16"/>
      <c r="C380" s="58"/>
      <c r="D380" s="59"/>
      <c r="E380" s="59"/>
      <c r="F380" s="59"/>
      <c r="G380" s="59"/>
      <c r="H380" s="59"/>
      <c r="J380" s="115" t="s">
        <v>253</v>
      </c>
      <c r="K380" s="292">
        <f>K377*PRICE_PER_MMBTU_2018_OIL</f>
        <v>538.26942250267905</v>
      </c>
      <c r="L380" s="5" t="s">
        <v>164</v>
      </c>
      <c r="M380" s="5"/>
      <c r="N380" s="5"/>
      <c r="O380" s="59"/>
      <c r="P380" s="59"/>
      <c r="Q380" s="59"/>
      <c r="R380" s="59"/>
      <c r="S380" s="59"/>
      <c r="T380" s="59"/>
      <c r="U380" s="59"/>
      <c r="V380" s="59"/>
      <c r="W380" s="59"/>
      <c r="X380" s="59"/>
      <c r="Y380" s="59"/>
      <c r="Z380" s="59"/>
      <c r="AA380" s="59"/>
      <c r="AB380" s="59"/>
      <c r="AC380" s="59"/>
      <c r="AD380" s="59"/>
      <c r="AE380" s="59"/>
      <c r="AF380" s="60"/>
    </row>
    <row r="381" spans="1:32" ht="12.75" x14ac:dyDescent="0.2">
      <c r="A381" s="137"/>
      <c r="B381" s="16"/>
      <c r="C381" s="5"/>
      <c r="D381" s="5"/>
      <c r="E381" s="5"/>
      <c r="F381" s="5"/>
      <c r="G381" s="5"/>
      <c r="H381" s="5"/>
      <c r="J381" s="115" t="s">
        <v>254</v>
      </c>
      <c r="K381" s="292">
        <f>K378*PRICE_PER_MMBTU_2018_OIL</f>
        <v>503.54236298637721</v>
      </c>
      <c r="L381" s="5" t="s">
        <v>164</v>
      </c>
      <c r="M381" s="5"/>
      <c r="N381" s="5"/>
      <c r="O381" s="5"/>
      <c r="P381" s="5"/>
      <c r="Q381" s="5"/>
      <c r="R381" s="5"/>
      <c r="S381" s="5"/>
      <c r="T381" s="5"/>
      <c r="U381" s="5"/>
      <c r="V381" s="5"/>
      <c r="W381" s="5"/>
      <c r="X381" s="5"/>
      <c r="Y381" s="5"/>
      <c r="Z381" s="5"/>
      <c r="AA381" s="5"/>
      <c r="AB381" s="5"/>
      <c r="AC381" s="5"/>
      <c r="AD381" s="5"/>
      <c r="AE381" s="5"/>
      <c r="AF381" s="5"/>
    </row>
    <row r="382" spans="1:32" x14ac:dyDescent="0.2">
      <c r="B382" s="16"/>
    </row>
    <row r="383" spans="1:32" ht="15.75" thickBot="1" x14ac:dyDescent="0.25">
      <c r="A383" s="137"/>
      <c r="B383" s="16"/>
      <c r="C383" s="74" t="s">
        <v>270</v>
      </c>
      <c r="D383" s="75"/>
      <c r="E383" s="75"/>
      <c r="F383" s="75"/>
      <c r="G383" s="75"/>
      <c r="H383" s="75"/>
      <c r="J383" s="75" t="s">
        <v>271</v>
      </c>
      <c r="K383" s="75"/>
      <c r="L383" s="48"/>
      <c r="M383" s="48"/>
      <c r="N383" s="48"/>
      <c r="O383" s="48"/>
      <c r="P383" s="48"/>
      <c r="Q383" s="48"/>
      <c r="R383" s="48"/>
      <c r="S383" s="48"/>
      <c r="T383" s="48"/>
      <c r="U383" s="48"/>
      <c r="V383" s="48"/>
      <c r="W383" s="48"/>
      <c r="X383" s="48"/>
      <c r="Y383" s="48"/>
      <c r="Z383" s="48"/>
      <c r="AA383" s="48"/>
      <c r="AB383" s="48"/>
      <c r="AC383" s="48"/>
      <c r="AD383" s="48"/>
      <c r="AE383" s="48"/>
      <c r="AF383" s="49"/>
    </row>
    <row r="384" spans="1:32" ht="3.75" customHeight="1" x14ac:dyDescent="0.2">
      <c r="A384" s="137"/>
      <c r="B384" s="16"/>
      <c r="C384" s="50"/>
      <c r="D384" s="5"/>
      <c r="E384" s="5"/>
      <c r="F384" s="5"/>
      <c r="G384" s="5"/>
      <c r="H384" s="5"/>
      <c r="J384" s="5"/>
      <c r="K384" s="5"/>
      <c r="L384" s="5"/>
      <c r="M384" s="5"/>
      <c r="N384" s="5"/>
      <c r="O384" s="5"/>
      <c r="P384" s="5"/>
      <c r="Q384" s="5"/>
      <c r="R384" s="5"/>
      <c r="S384" s="5"/>
      <c r="T384" s="5"/>
      <c r="U384" s="5"/>
      <c r="V384" s="5"/>
      <c r="W384" s="5"/>
      <c r="X384" s="5"/>
      <c r="Y384" s="5"/>
      <c r="Z384" s="5"/>
      <c r="AA384" s="5"/>
      <c r="AB384" s="5"/>
      <c r="AC384" s="5"/>
      <c r="AD384" s="5"/>
      <c r="AE384" s="5"/>
      <c r="AF384" s="51"/>
    </row>
    <row r="385" spans="1:32" ht="34.5" thickBot="1" x14ac:dyDescent="0.25">
      <c r="A385" s="137"/>
      <c r="B385" s="16"/>
      <c r="C385" s="76" t="s">
        <v>249</v>
      </c>
      <c r="D385" s="81" t="s">
        <v>242</v>
      </c>
      <c r="E385" s="71"/>
      <c r="F385" s="66" t="s">
        <v>260</v>
      </c>
      <c r="G385" s="66" t="s">
        <v>5</v>
      </c>
      <c r="H385" s="66" t="s">
        <v>6</v>
      </c>
      <c r="J385" s="66" t="s">
        <v>127</v>
      </c>
      <c r="K385" s="72" t="s">
        <v>261</v>
      </c>
      <c r="L385" s="72" t="s">
        <v>262</v>
      </c>
      <c r="M385" s="72" t="s">
        <v>1455</v>
      </c>
      <c r="N385" s="72" t="s">
        <v>1456</v>
      </c>
      <c r="O385" s="72" t="s">
        <v>963</v>
      </c>
      <c r="P385" s="72" t="s">
        <v>974</v>
      </c>
      <c r="Q385" s="72" t="s">
        <v>263</v>
      </c>
      <c r="R385" s="72" t="s">
        <v>264</v>
      </c>
      <c r="S385" s="72" t="s">
        <v>265</v>
      </c>
      <c r="T385" s="72" t="s">
        <v>280</v>
      </c>
      <c r="U385" s="72" t="s">
        <v>200</v>
      </c>
      <c r="V385" s="72" t="s">
        <v>753</v>
      </c>
      <c r="W385" s="72" t="s">
        <v>634</v>
      </c>
      <c r="X385" s="72" t="s">
        <v>754</v>
      </c>
      <c r="Y385" s="72" t="s">
        <v>266</v>
      </c>
      <c r="Z385" s="72" t="s">
        <v>1457</v>
      </c>
      <c r="AA385" s="72" t="s">
        <v>1458</v>
      </c>
      <c r="AB385" s="72" t="s">
        <v>964</v>
      </c>
      <c r="AC385" s="72" t="s">
        <v>975</v>
      </c>
      <c r="AD385" s="72" t="s">
        <v>267</v>
      </c>
      <c r="AE385" s="72" t="s">
        <v>268</v>
      </c>
      <c r="AF385" s="77" t="s">
        <v>269</v>
      </c>
    </row>
    <row r="386" spans="1:32" x14ac:dyDescent="0.2">
      <c r="A386" s="137"/>
      <c r="B386" s="16"/>
      <c r="C386" s="61"/>
      <c r="D386" s="5"/>
      <c r="E386" s="5"/>
      <c r="F386" s="63" t="s">
        <v>178</v>
      </c>
      <c r="G386" s="67" t="str">
        <f>INDEX(Tbl_EquipmentDefinitions[Electricity Baseline Efficiency],MATCH(D387,Tbl_EquipmentDefinitions[Equipment ID],0))</f>
        <v>-</v>
      </c>
      <c r="H386" s="68" t="str">
        <f>INDEX(Tbl_EquipmentDefinitions[Electricity Code Efficiency],MATCH(D387,Tbl_EquipmentDefinitions[Equipment ID],0))</f>
        <v>-</v>
      </c>
      <c r="J386" s="63" t="str">
        <f>D385</f>
        <v>BASE16</v>
      </c>
      <c r="K386" s="148">
        <f>K401+P392</f>
        <v>700.31529186300838</v>
      </c>
      <c r="L386" s="285">
        <v>0</v>
      </c>
      <c r="M386" s="285" t="s">
        <v>1449</v>
      </c>
      <c r="N386" s="285" t="s">
        <v>1449</v>
      </c>
      <c r="O386" s="117">
        <v>0</v>
      </c>
      <c r="P386" s="117">
        <v>0</v>
      </c>
      <c r="Q386" s="286">
        <v>0</v>
      </c>
      <c r="R386" s="286">
        <f>K398</f>
        <v>19.482758620689658</v>
      </c>
      <c r="S386" s="286">
        <v>0</v>
      </c>
      <c r="T386" s="148">
        <f>K402+P393</f>
        <v>644.73471314372193</v>
      </c>
      <c r="U386" s="148">
        <f>T390</f>
        <v>1653</v>
      </c>
      <c r="V386" s="148">
        <v>0</v>
      </c>
      <c r="W386" s="148">
        <f>((PV(DiscountRate, (D398-D399),PMT(DiscountRate, D398, U386))/(1+DiscountRate)^(D399)))</f>
        <v>1078.9494154434083</v>
      </c>
      <c r="X386" s="148">
        <f>((PV(DiscountRate, (D398-D399),PMT(DiscountRate, D398, V386))/(1+DiscountRate)^(D399)))</f>
        <v>0</v>
      </c>
      <c r="Y386" s="285">
        <v>0</v>
      </c>
      <c r="Z386" s="285" t="s">
        <v>1449</v>
      </c>
      <c r="AA386" s="285" t="s">
        <v>1449</v>
      </c>
      <c r="AB386" s="117">
        <v>0</v>
      </c>
      <c r="AC386" s="117">
        <v>0</v>
      </c>
      <c r="AD386" s="286">
        <v>0</v>
      </c>
      <c r="AE386" s="286">
        <f>K399</f>
        <v>17.936507936507937</v>
      </c>
      <c r="AF386" s="287">
        <v>0</v>
      </c>
    </row>
    <row r="387" spans="1:32" x14ac:dyDescent="0.2">
      <c r="A387" s="137"/>
      <c r="B387" s="16"/>
      <c r="C387" s="283" t="s">
        <v>2</v>
      </c>
      <c r="D387" s="62" t="str">
        <f>INDEX(Tbl_BaselineSummary[Equipment ID],MATCH(D385,Tbl_BaselineSummary[Baseline ID],0))</f>
        <v>EQUI027</v>
      </c>
      <c r="E387" s="5"/>
      <c r="F387" s="63" t="s">
        <v>55</v>
      </c>
      <c r="G387" s="68" t="str">
        <f>INDEX(Tbl_EquipmentDefinitions[Natural Gas Baseline Efficiency],MATCH(D387,Tbl_EquipmentDefinitions[Equipment ID],0))</f>
        <v>-</v>
      </c>
      <c r="H387" s="69" t="str">
        <f>INDEX(Tbl_EquipmentDefinitions[Natural Gas Code Efficiency],MATCH(D387,Tbl_EquipmentDefinitions[Equipment ID],0))</f>
        <v>-</v>
      </c>
      <c r="J387" s="5"/>
      <c r="K387" s="5"/>
      <c r="L387" s="5"/>
      <c r="M387" s="5"/>
      <c r="N387" s="5"/>
      <c r="O387" s="5"/>
      <c r="P387" s="5"/>
      <c r="Q387" s="5"/>
      <c r="R387" s="5"/>
      <c r="S387" s="5"/>
      <c r="T387" s="5"/>
      <c r="U387" s="5"/>
      <c r="V387" s="5"/>
      <c r="W387" s="5"/>
      <c r="X387" s="5"/>
      <c r="Y387" s="5"/>
      <c r="Z387" s="5"/>
      <c r="AA387" s="5"/>
      <c r="AB387" s="5"/>
      <c r="AC387" s="5"/>
      <c r="AD387" s="5"/>
      <c r="AE387" s="5"/>
      <c r="AF387" s="51"/>
    </row>
    <row r="388" spans="1:32" ht="12.75" x14ac:dyDescent="0.2">
      <c r="A388" s="137"/>
      <c r="B388" s="16"/>
      <c r="C388" s="283" t="s">
        <v>4</v>
      </c>
      <c r="D388" s="64" t="str">
        <f>INDEX(Tbl_EquipmentDefinitions[Equipment Name],MATCH(D387,Tbl_EquipmentDefinitions[Equipment ID],0))</f>
        <v>Propane Storage WH</v>
      </c>
      <c r="E388" s="5"/>
      <c r="F388" s="63" t="s">
        <v>28</v>
      </c>
      <c r="G388" s="70" t="str">
        <f>INDEX(Tbl_EquipmentDefinitions[Propane Baseline Efficiency],MATCH(D387,Tbl_EquipmentDefinitions[Equipment ID],0))</f>
        <v>0.58 UEF</v>
      </c>
      <c r="H388" s="68" t="str">
        <f>INDEX(Tbl_EquipmentDefinitions[Propane Code Efficiency],MATCH(D387,Tbl_EquipmentDefinitions[Equipment ID],0))</f>
        <v>0.63 UEF</v>
      </c>
      <c r="J388" s="78" t="s">
        <v>272</v>
      </c>
      <c r="K388" s="78"/>
      <c r="L388" s="5"/>
      <c r="M388" s="5"/>
      <c r="N388" s="5"/>
      <c r="V388" s="5"/>
      <c r="W388" s="5"/>
      <c r="X388" s="5"/>
      <c r="Y388" s="5"/>
      <c r="Z388" s="5"/>
      <c r="AA388" s="5"/>
      <c r="AB388" s="5"/>
      <c r="AC388" s="5"/>
      <c r="AD388" s="5"/>
      <c r="AE388" s="5"/>
      <c r="AF388" s="51"/>
    </row>
    <row r="389" spans="1:32" ht="12.75" x14ac:dyDescent="0.2">
      <c r="A389" s="137"/>
      <c r="B389" s="16"/>
      <c r="C389" s="283" t="s">
        <v>125</v>
      </c>
      <c r="D389" s="62" t="str">
        <f>INDEX(Tbl_EquipmentDefinitions[Equipment Level],MATCH(D387,Tbl_EquipmentDefinitions[Equipment ID],0))</f>
        <v>Primary</v>
      </c>
      <c r="E389" s="5"/>
      <c r="F389" s="63" t="s">
        <v>27</v>
      </c>
      <c r="G389" s="68" t="str">
        <f>INDEX(Tbl_EquipmentDefinitions[Oil Baseline Efficiency],MATCH(D387,Tbl_EquipmentDefinitions[Equipment ID],0))</f>
        <v>-</v>
      </c>
      <c r="H389" s="70" t="str">
        <f>INDEX(Tbl_EquipmentDefinitions[Oil Code Efficiency],MATCH(D387,Tbl_EquipmentDefinitions[Equipment ID],0))</f>
        <v>-</v>
      </c>
      <c r="J389" s="5"/>
      <c r="K389" s="5"/>
      <c r="L389" s="5"/>
      <c r="M389" s="5"/>
      <c r="N389" s="5"/>
      <c r="O389" s="53" t="s">
        <v>251</v>
      </c>
      <c r="P389" s="54">
        <v>0</v>
      </c>
      <c r="Q389" s="5" t="s">
        <v>378</v>
      </c>
      <c r="S389" s="5" t="s">
        <v>783</v>
      </c>
      <c r="T389" s="5"/>
      <c r="U389" s="5"/>
      <c r="V389" s="5"/>
      <c r="W389" s="5"/>
      <c r="X389" s="5"/>
      <c r="Y389" s="5"/>
      <c r="Z389" s="5"/>
      <c r="AA389" s="5"/>
      <c r="AB389" s="5"/>
      <c r="AC389" s="5"/>
      <c r="AD389" s="5"/>
      <c r="AE389" s="5"/>
      <c r="AF389" s="51"/>
    </row>
    <row r="390" spans="1:32" ht="13.35" customHeight="1" x14ac:dyDescent="0.2">
      <c r="A390" s="137"/>
      <c r="B390" s="16"/>
      <c r="C390" s="283" t="s">
        <v>24</v>
      </c>
      <c r="D390" s="64" t="str">
        <f>INDEX(Tbl_EquipmentDefinitions[Function],MATCH(D387,Tbl_EquipmentDefinitions[Equipment ID],0))</f>
        <v>HW</v>
      </c>
      <c r="E390" s="5"/>
      <c r="F390" s="5"/>
      <c r="G390" s="5"/>
      <c r="H390" s="5"/>
      <c r="J390" s="405" t="s">
        <v>1132</v>
      </c>
      <c r="O390" s="53" t="s">
        <v>252</v>
      </c>
      <c r="P390" s="54">
        <v>0</v>
      </c>
      <c r="Q390" s="5" t="s">
        <v>378</v>
      </c>
      <c r="S390" s="53" t="s">
        <v>281</v>
      </c>
      <c r="T390" s="138">
        <v>1653</v>
      </c>
      <c r="U390" s="5" t="s">
        <v>164</v>
      </c>
      <c r="W390" s="5"/>
      <c r="X390" s="5"/>
      <c r="Y390" s="5"/>
      <c r="Z390" s="5"/>
      <c r="AA390" s="5"/>
      <c r="AB390" s="5"/>
      <c r="AC390" s="5"/>
      <c r="AD390" s="5"/>
      <c r="AE390" s="5"/>
      <c r="AF390" s="51"/>
    </row>
    <row r="391" spans="1:32" x14ac:dyDescent="0.2">
      <c r="A391" s="137"/>
      <c r="B391" s="16"/>
      <c r="C391" s="283" t="s">
        <v>7</v>
      </c>
      <c r="D391" s="62" t="str">
        <f>INDEX(Tbl_EquipmentDefinitions[Fuel Type],MATCH(D387,Tbl_EquipmentDefinitions[Equipment ID],0))</f>
        <v>Propane</v>
      </c>
      <c r="E391" s="65"/>
      <c r="F391" s="671" t="s">
        <v>273</v>
      </c>
      <c r="G391" s="672"/>
      <c r="H391" s="672"/>
      <c r="J391" s="6" t="s">
        <v>1126</v>
      </c>
      <c r="O391" s="5"/>
      <c r="P391" s="5"/>
      <c r="Q391" s="5"/>
      <c r="W391" s="5"/>
      <c r="X391" s="5"/>
      <c r="Y391" s="5"/>
      <c r="Z391" s="5"/>
      <c r="AA391" s="5"/>
      <c r="AB391" s="5"/>
      <c r="AC391" s="5"/>
      <c r="AD391" s="5"/>
      <c r="AE391" s="5"/>
      <c r="AF391" s="51"/>
    </row>
    <row r="392" spans="1:32" ht="12.75" x14ac:dyDescent="0.2">
      <c r="A392" s="137"/>
      <c r="B392" s="16"/>
      <c r="C392" s="283" t="s">
        <v>126</v>
      </c>
      <c r="D392" s="64">
        <f>IF(ISERR(SEARCH("+",D391,1)),1,2)</f>
        <v>1</v>
      </c>
      <c r="E392" s="65"/>
      <c r="F392" s="672"/>
      <c r="G392" s="672"/>
      <c r="H392" s="672"/>
      <c r="J392" s="6" t="s">
        <v>1130</v>
      </c>
      <c r="O392" s="55" t="s">
        <v>256</v>
      </c>
      <c r="P392" s="57">
        <f>P389*PRICE_PER_KWH_2018_ELECTRICITY</f>
        <v>0</v>
      </c>
      <c r="Q392" s="5" t="s">
        <v>164</v>
      </c>
      <c r="W392" s="5"/>
      <c r="X392" s="5"/>
      <c r="Y392" s="5"/>
      <c r="Z392" s="5"/>
      <c r="AA392" s="5"/>
      <c r="AB392" s="5"/>
      <c r="AC392" s="5"/>
      <c r="AD392" s="5"/>
      <c r="AE392" s="5"/>
      <c r="AF392" s="51"/>
    </row>
    <row r="393" spans="1:32" ht="12.75" x14ac:dyDescent="0.2">
      <c r="A393" s="137"/>
      <c r="B393" s="16"/>
      <c r="C393" s="284"/>
      <c r="D393" s="5"/>
      <c r="E393" s="5"/>
      <c r="F393" s="672"/>
      <c r="G393" s="672"/>
      <c r="H393" s="672"/>
      <c r="J393" s="6" t="s">
        <v>1131</v>
      </c>
      <c r="O393" s="55" t="s">
        <v>257</v>
      </c>
      <c r="P393" s="57">
        <f>P390*PRICE_PER_KWH_2018_ELECTRICITY</f>
        <v>0</v>
      </c>
      <c r="Q393" s="5" t="s">
        <v>164</v>
      </c>
      <c r="W393" s="5"/>
      <c r="X393" s="5"/>
      <c r="Y393" s="5"/>
      <c r="Z393" s="5"/>
      <c r="AA393" s="5"/>
      <c r="AB393" s="5"/>
      <c r="AC393" s="5"/>
      <c r="AD393" s="5"/>
      <c r="AE393" s="5"/>
      <c r="AF393" s="51"/>
    </row>
    <row r="394" spans="1:32" x14ac:dyDescent="0.2">
      <c r="A394" s="137"/>
      <c r="B394" s="16"/>
      <c r="C394" s="283" t="s">
        <v>155</v>
      </c>
      <c r="D394" s="62">
        <f>INDEX(Tbl_BaselineSummary[Space Heating Load (MMBtu/yr)],MATCH(D385,Tbl_BaselineSummary[Baseline ID],0))</f>
        <v>76.7</v>
      </c>
      <c r="E394" s="5" t="s">
        <v>156</v>
      </c>
      <c r="F394" s="672"/>
      <c r="G394" s="672"/>
      <c r="H394" s="672"/>
      <c r="W394" s="5"/>
      <c r="X394" s="5"/>
      <c r="Y394" s="5"/>
      <c r="Z394" s="5"/>
      <c r="AA394" s="5"/>
      <c r="AB394" s="5"/>
      <c r="AC394" s="5"/>
      <c r="AD394" s="5"/>
      <c r="AE394" s="5"/>
      <c r="AF394" s="51"/>
    </row>
    <row r="395" spans="1:32" ht="12.75" x14ac:dyDescent="0.2">
      <c r="A395" s="137"/>
      <c r="B395" s="16"/>
      <c r="C395" s="283" t="s">
        <v>167</v>
      </c>
      <c r="D395" s="62">
        <f>INDEX(Tbl_BaselineSummary[Space Cooling Load (MMBtu/yr)],MATCH(D385,Tbl_BaselineSummary[Baseline ID],0))</f>
        <v>13.072800000000001</v>
      </c>
      <c r="E395" s="5" t="s">
        <v>156</v>
      </c>
      <c r="F395" s="672"/>
      <c r="G395" s="672"/>
      <c r="H395" s="672"/>
      <c r="J395" s="115" t="s">
        <v>157</v>
      </c>
      <c r="K395" s="113">
        <v>0.57999999999999996</v>
      </c>
      <c r="L395" s="5" t="s">
        <v>319</v>
      </c>
      <c r="M395" s="5"/>
      <c r="N395" s="5"/>
      <c r="T395" s="5"/>
      <c r="U395" s="5"/>
      <c r="V395" s="5"/>
      <c r="W395" s="5"/>
      <c r="X395" s="5"/>
      <c r="Y395" s="5"/>
      <c r="Z395" s="5"/>
      <c r="AA395" s="5"/>
      <c r="AB395" s="5"/>
      <c r="AC395" s="5"/>
      <c r="AD395" s="5"/>
      <c r="AE395" s="5"/>
      <c r="AF395" s="51"/>
    </row>
    <row r="396" spans="1:32" ht="12.75" x14ac:dyDescent="0.2">
      <c r="A396" s="137"/>
      <c r="B396" s="16"/>
      <c r="C396" s="283" t="s">
        <v>244</v>
      </c>
      <c r="D396" s="112">
        <f>INDEX(Tbl_BaselineSummary[Water Heating Load (MMBtu/yr)],MATCH(D385,Tbl_BaselineSummary[Baseline ID],0))</f>
        <v>11.3</v>
      </c>
      <c r="E396" s="5" t="s">
        <v>156</v>
      </c>
      <c r="F396" s="672"/>
      <c r="G396" s="672"/>
      <c r="H396" s="672"/>
      <c r="J396" s="115" t="s">
        <v>159</v>
      </c>
      <c r="K396" s="135">
        <v>0.63</v>
      </c>
      <c r="L396" s="5" t="s">
        <v>319</v>
      </c>
      <c r="M396" s="5"/>
      <c r="N396" s="5"/>
      <c r="S396" s="5"/>
      <c r="T396" s="5"/>
      <c r="U396" s="5"/>
      <c r="V396" s="5"/>
      <c r="W396" s="5"/>
      <c r="X396" s="5"/>
      <c r="Y396" s="5"/>
      <c r="Z396" s="5"/>
      <c r="AA396" s="5"/>
      <c r="AB396" s="5"/>
      <c r="AC396" s="5"/>
      <c r="AD396" s="5"/>
      <c r="AE396" s="5"/>
      <c r="AF396" s="51"/>
    </row>
    <row r="397" spans="1:32" x14ac:dyDescent="0.2">
      <c r="A397" s="137"/>
      <c r="B397" s="16"/>
      <c r="C397" s="284"/>
      <c r="D397" s="5"/>
      <c r="E397" s="5"/>
      <c r="F397" s="5"/>
      <c r="G397" s="5"/>
      <c r="H397" s="5"/>
      <c r="J397" s="73"/>
      <c r="K397" s="5"/>
      <c r="L397" s="5"/>
      <c r="M397" s="5"/>
      <c r="N397" s="5"/>
      <c r="S397" s="5"/>
      <c r="T397" s="5"/>
      <c r="U397" s="5"/>
      <c r="V397" s="5"/>
      <c r="W397" s="5"/>
      <c r="X397" s="5"/>
      <c r="Y397" s="5"/>
      <c r="Z397" s="5"/>
      <c r="AA397" s="5"/>
      <c r="AB397" s="5"/>
      <c r="AC397" s="5"/>
      <c r="AD397" s="5"/>
      <c r="AE397" s="5"/>
      <c r="AF397" s="51"/>
    </row>
    <row r="398" spans="1:32" ht="12.75" x14ac:dyDescent="0.2">
      <c r="A398" s="137"/>
      <c r="B398" s="16"/>
      <c r="C398" s="283" t="s">
        <v>635</v>
      </c>
      <c r="D398" s="62">
        <f>INDEX(Tbl_EquipmentDefinitions[New Unit Equipment Life (years)],MATCH('Baseline Calculations'!D387,Tbl_EquipmentDefinitions[Equipment ID],0))</f>
        <v>13</v>
      </c>
      <c r="E398" s="188" t="s">
        <v>376</v>
      </c>
      <c r="F398" s="5"/>
      <c r="G398" s="5"/>
      <c r="H398" s="5"/>
      <c r="J398" s="115" t="s">
        <v>334</v>
      </c>
      <c r="K398" s="56">
        <f>$D$396/K395</f>
        <v>19.482758620689658</v>
      </c>
      <c r="L398" s="5" t="s">
        <v>156</v>
      </c>
      <c r="M398" s="5"/>
      <c r="N398" s="5"/>
      <c r="S398" s="5"/>
      <c r="T398" s="5"/>
      <c r="U398" s="5"/>
      <c r="V398" s="5"/>
      <c r="W398" s="5"/>
      <c r="X398" s="5"/>
      <c r="Y398" s="5"/>
      <c r="Z398" s="5"/>
      <c r="AA398" s="5"/>
      <c r="AB398" s="5"/>
      <c r="AC398" s="5"/>
      <c r="AD398" s="5"/>
      <c r="AE398" s="5"/>
      <c r="AF398" s="51"/>
    </row>
    <row r="399" spans="1:32" ht="12.75" x14ac:dyDescent="0.2">
      <c r="A399" s="137"/>
      <c r="B399" s="16"/>
      <c r="C399" s="283" t="s">
        <v>636</v>
      </c>
      <c r="D399" s="62">
        <f>INDEX(Tbl_EquipmentDefinitions[Remaining Life for Early Replacement (years)],MATCH('Baseline Calculations'!D387,Tbl_EquipmentDefinitions[Equipment ID],0))</f>
        <v>4</v>
      </c>
      <c r="E399" s="188" t="s">
        <v>376</v>
      </c>
      <c r="F399" s="5"/>
      <c r="G399" s="5"/>
      <c r="H399" s="5"/>
      <c r="J399" s="115" t="s">
        <v>384</v>
      </c>
      <c r="K399" s="56">
        <f>$D$396/K396</f>
        <v>17.936507936507937</v>
      </c>
      <c r="L399" s="5" t="s">
        <v>156</v>
      </c>
      <c r="M399" s="5"/>
      <c r="N399" s="5"/>
      <c r="T399" s="5"/>
      <c r="U399" s="5"/>
      <c r="V399" s="5"/>
      <c r="W399" s="5"/>
      <c r="X399" s="5"/>
      <c r="Y399" s="5"/>
      <c r="Z399" s="5"/>
      <c r="AA399" s="5"/>
      <c r="AB399" s="5"/>
      <c r="AC399" s="5"/>
      <c r="AD399" s="5"/>
      <c r="AE399" s="5"/>
      <c r="AF399" s="51"/>
    </row>
    <row r="400" spans="1:32" ht="12.75" x14ac:dyDescent="0.2">
      <c r="A400" s="137"/>
      <c r="B400" s="16"/>
      <c r="C400" s="58"/>
      <c r="D400" s="59"/>
      <c r="E400" s="59"/>
      <c r="F400" s="59"/>
      <c r="G400" s="59"/>
      <c r="H400" s="59"/>
      <c r="J400" s="115"/>
      <c r="K400" s="5"/>
      <c r="L400" s="5"/>
      <c r="M400" s="5"/>
      <c r="N400" s="5"/>
      <c r="O400" s="59"/>
      <c r="P400" s="59"/>
      <c r="Q400" s="59"/>
      <c r="R400" s="59"/>
      <c r="S400" s="59"/>
      <c r="T400" s="59"/>
      <c r="U400" s="59"/>
      <c r="V400" s="59"/>
      <c r="W400" s="59"/>
      <c r="X400" s="59"/>
      <c r="Y400" s="59"/>
      <c r="Z400" s="59"/>
      <c r="AA400" s="59"/>
      <c r="AB400" s="59"/>
      <c r="AC400" s="59"/>
      <c r="AD400" s="59"/>
      <c r="AE400" s="59"/>
      <c r="AF400" s="60"/>
    </row>
    <row r="401" spans="1:32" ht="12.75" x14ac:dyDescent="0.2">
      <c r="A401" s="137"/>
      <c r="B401" s="16"/>
      <c r="C401" s="5"/>
      <c r="D401" s="5"/>
      <c r="E401" s="5"/>
      <c r="F401" s="5"/>
      <c r="G401" s="5"/>
      <c r="H401" s="5"/>
      <c r="J401" s="115" t="s">
        <v>313</v>
      </c>
      <c r="K401" s="292">
        <f>K398*PRICE_PER_MMBTU_2018_PROPANE</f>
        <v>700.31529186300838</v>
      </c>
      <c r="L401" s="5" t="s">
        <v>164</v>
      </c>
      <c r="M401" s="5"/>
      <c r="N401" s="5"/>
      <c r="O401" s="5"/>
      <c r="P401" s="5"/>
      <c r="Q401" s="5"/>
      <c r="R401" s="5"/>
      <c r="S401" s="5"/>
      <c r="T401" s="5"/>
      <c r="U401" s="5"/>
      <c r="V401" s="5"/>
      <c r="W401" s="5"/>
      <c r="X401" s="5"/>
      <c r="Y401" s="5"/>
      <c r="Z401" s="5"/>
      <c r="AA401" s="5"/>
      <c r="AB401" s="5"/>
      <c r="AC401" s="5"/>
      <c r="AD401" s="5"/>
      <c r="AE401" s="5"/>
      <c r="AF401" s="5"/>
    </row>
    <row r="402" spans="1:32" ht="12.75" x14ac:dyDescent="0.2">
      <c r="A402" s="137"/>
      <c r="B402" s="16"/>
      <c r="C402" s="5"/>
      <c r="D402" s="5"/>
      <c r="E402" s="5"/>
      <c r="F402" s="5"/>
      <c r="G402" s="5"/>
      <c r="H402" s="5"/>
      <c r="J402" s="115" t="s">
        <v>314</v>
      </c>
      <c r="K402" s="292">
        <f>K399*PRICE_PER_MMBTU_2018_PROPANE</f>
        <v>644.73471314372193</v>
      </c>
      <c r="L402" s="5" t="s">
        <v>164</v>
      </c>
      <c r="M402" s="5"/>
      <c r="N402" s="5"/>
      <c r="O402" s="5"/>
      <c r="P402" s="5"/>
      <c r="Q402" s="5"/>
      <c r="R402" s="5"/>
      <c r="S402" s="5"/>
      <c r="T402" s="5"/>
      <c r="U402" s="5"/>
      <c r="V402" s="5"/>
      <c r="W402" s="5"/>
      <c r="X402" s="5"/>
      <c r="Y402" s="5"/>
      <c r="Z402" s="5"/>
      <c r="AA402" s="5"/>
      <c r="AB402" s="5"/>
      <c r="AC402" s="5"/>
      <c r="AD402" s="5"/>
      <c r="AE402" s="5"/>
      <c r="AF402" s="5"/>
    </row>
    <row r="403" spans="1:32" x14ac:dyDescent="0.2">
      <c r="B403" s="16"/>
    </row>
    <row r="404" spans="1:32" ht="15.75" thickBot="1" x14ac:dyDescent="0.25">
      <c r="B404" s="16"/>
      <c r="C404" s="74" t="s">
        <v>270</v>
      </c>
      <c r="D404" s="75"/>
      <c r="E404" s="75"/>
      <c r="F404" s="75"/>
      <c r="G404" s="75"/>
      <c r="H404" s="75"/>
      <c r="J404" s="75" t="s">
        <v>271</v>
      </c>
      <c r="K404" s="75"/>
      <c r="L404" s="48"/>
      <c r="M404" s="48"/>
      <c r="N404" s="48"/>
      <c r="O404" s="48"/>
      <c r="P404" s="48"/>
      <c r="Q404" s="48"/>
      <c r="R404" s="48"/>
      <c r="S404" s="48"/>
      <c r="T404" s="48"/>
      <c r="U404" s="48"/>
      <c r="V404" s="48"/>
      <c r="W404" s="48"/>
      <c r="X404" s="48"/>
      <c r="Y404" s="48"/>
      <c r="Z404" s="48"/>
      <c r="AA404" s="48"/>
      <c r="AB404" s="48"/>
      <c r="AC404" s="48"/>
      <c r="AD404" s="48"/>
      <c r="AE404" s="48"/>
      <c r="AF404" s="49"/>
    </row>
    <row r="405" spans="1:32" ht="3.75" customHeight="1" x14ac:dyDescent="0.2">
      <c r="B405" s="16"/>
      <c r="C405" s="50"/>
      <c r="D405" s="5"/>
      <c r="E405" s="5"/>
      <c r="F405" s="5"/>
      <c r="G405" s="5"/>
      <c r="H405" s="5"/>
      <c r="J405" s="5"/>
      <c r="K405" s="5"/>
      <c r="L405" s="5"/>
      <c r="M405" s="5"/>
      <c r="N405" s="5"/>
      <c r="O405" s="5"/>
      <c r="P405" s="5"/>
      <c r="Q405" s="5"/>
      <c r="R405" s="5"/>
      <c r="S405" s="5"/>
      <c r="T405" s="5"/>
      <c r="U405" s="5"/>
      <c r="V405" s="5"/>
      <c r="W405" s="5"/>
      <c r="X405" s="5"/>
      <c r="Y405" s="5"/>
      <c r="Z405" s="5"/>
      <c r="AA405" s="5"/>
      <c r="AB405" s="5"/>
      <c r="AC405" s="5"/>
      <c r="AD405" s="5"/>
      <c r="AE405" s="5"/>
      <c r="AF405" s="51"/>
    </row>
    <row r="406" spans="1:32" ht="34.5" thickBot="1" x14ac:dyDescent="0.25">
      <c r="B406" s="16"/>
      <c r="C406" s="76" t="s">
        <v>249</v>
      </c>
      <c r="D406" s="81" t="s">
        <v>243</v>
      </c>
      <c r="E406" s="71"/>
      <c r="F406" s="66" t="s">
        <v>260</v>
      </c>
      <c r="G406" s="66" t="s">
        <v>5</v>
      </c>
      <c r="H406" s="66" t="s">
        <v>6</v>
      </c>
      <c r="J406" s="66" t="s">
        <v>127</v>
      </c>
      <c r="K406" s="72" t="s">
        <v>261</v>
      </c>
      <c r="L406" s="72" t="s">
        <v>262</v>
      </c>
      <c r="M406" s="72" t="s">
        <v>1455</v>
      </c>
      <c r="N406" s="72" t="s">
        <v>1456</v>
      </c>
      <c r="O406" s="72" t="s">
        <v>963</v>
      </c>
      <c r="P406" s="72" t="s">
        <v>974</v>
      </c>
      <c r="Q406" s="72" t="s">
        <v>263</v>
      </c>
      <c r="R406" s="72" t="s">
        <v>264</v>
      </c>
      <c r="S406" s="72" t="s">
        <v>265</v>
      </c>
      <c r="T406" s="72" t="s">
        <v>280</v>
      </c>
      <c r="U406" s="72" t="s">
        <v>200</v>
      </c>
      <c r="V406" s="72" t="s">
        <v>753</v>
      </c>
      <c r="W406" s="72" t="s">
        <v>634</v>
      </c>
      <c r="X406" s="72" t="s">
        <v>754</v>
      </c>
      <c r="Y406" s="72" t="s">
        <v>266</v>
      </c>
      <c r="Z406" s="72" t="s">
        <v>1457</v>
      </c>
      <c r="AA406" s="72" t="s">
        <v>1458</v>
      </c>
      <c r="AB406" s="72" t="s">
        <v>964</v>
      </c>
      <c r="AC406" s="72" t="s">
        <v>975</v>
      </c>
      <c r="AD406" s="72" t="s">
        <v>267</v>
      </c>
      <c r="AE406" s="72" t="s">
        <v>268</v>
      </c>
      <c r="AF406" s="77" t="s">
        <v>269</v>
      </c>
    </row>
    <row r="407" spans="1:32" x14ac:dyDescent="0.2">
      <c r="B407" s="16"/>
      <c r="C407" s="61"/>
      <c r="D407" s="5"/>
      <c r="E407" s="5"/>
      <c r="F407" s="63" t="s">
        <v>178</v>
      </c>
      <c r="G407" s="67" t="str">
        <f>INDEX(Tbl_EquipmentDefinitions[Electricity Baseline Efficiency],MATCH(D408,Tbl_EquipmentDefinitions[Equipment ID],0))</f>
        <v>-</v>
      </c>
      <c r="H407" s="68" t="str">
        <f>INDEX(Tbl_EquipmentDefinitions[Electricity Code Efficiency],MATCH(D408,Tbl_EquipmentDefinitions[Equipment ID],0))</f>
        <v>-</v>
      </c>
      <c r="J407" s="63" t="str">
        <f>D406</f>
        <v>BASE17</v>
      </c>
      <c r="K407" s="148">
        <f>K422+P413</f>
        <v>576.40694303874102</v>
      </c>
      <c r="L407" s="285">
        <f>P410</f>
        <v>25.9</v>
      </c>
      <c r="M407" s="285" t="s">
        <v>1449</v>
      </c>
      <c r="N407" s="285" t="s">
        <v>1449</v>
      </c>
      <c r="O407" s="117">
        <f>P422</f>
        <v>1.02250296091591E-2</v>
      </c>
      <c r="P407" s="117">
        <f>T422</f>
        <v>4.8057639163047762E-3</v>
      </c>
      <c r="Q407" s="286">
        <v>0</v>
      </c>
      <c r="R407" s="286">
        <f>K419</f>
        <v>15.89310829817159</v>
      </c>
      <c r="S407" s="286">
        <v>0</v>
      </c>
      <c r="T407" s="148">
        <f>K423+P414</f>
        <v>513.50434660068106</v>
      </c>
      <c r="U407" s="148">
        <f>X411</f>
        <v>2874</v>
      </c>
      <c r="V407" s="148">
        <v>0</v>
      </c>
      <c r="W407" s="148">
        <f>((PV(DiscountRate, (D419-D420),PMT(DiscountRate, D419, U407))/(1+DiscountRate)^(D420)))</f>
        <v>1680.9966046456341</v>
      </c>
      <c r="X407" s="148">
        <f>((PV(DiscountRate, (D419-D420),PMT(DiscountRate, D419, V407))/(1+DiscountRate)^(D420)))</f>
        <v>0</v>
      </c>
      <c r="Y407" s="285">
        <f>P411</f>
        <v>29.2</v>
      </c>
      <c r="Z407" s="285" t="s">
        <v>1449</v>
      </c>
      <c r="AA407" s="285" t="s">
        <v>1449</v>
      </c>
      <c r="AB407" s="117">
        <f>P423</f>
        <v>1.1527832609553888E-2</v>
      </c>
      <c r="AC407" s="117">
        <f>T423</f>
        <v>5.4180813264903269E-3</v>
      </c>
      <c r="AD407" s="286">
        <v>0</v>
      </c>
      <c r="AE407" s="286">
        <f>K420</f>
        <v>14.125</v>
      </c>
      <c r="AF407" s="287">
        <v>0</v>
      </c>
    </row>
    <row r="408" spans="1:32" x14ac:dyDescent="0.2">
      <c r="B408" s="16"/>
      <c r="C408" s="283" t="s">
        <v>2</v>
      </c>
      <c r="D408" s="62" t="str">
        <f>INDEX(Tbl_BaselineSummary[Equipment ID],MATCH(D406,Tbl_BaselineSummary[Baseline ID],0))</f>
        <v>EQUI029</v>
      </c>
      <c r="E408" s="5"/>
      <c r="F408" s="63" t="s">
        <v>55</v>
      </c>
      <c r="G408" s="68" t="str">
        <f>INDEX(Tbl_EquipmentDefinitions[Natural Gas Baseline Efficiency],MATCH(D408,Tbl_EquipmentDefinitions[Equipment ID],0))</f>
        <v>-</v>
      </c>
      <c r="H408" s="69" t="str">
        <f>INDEX(Tbl_EquipmentDefinitions[Natural Gas Code Efficiency],MATCH(D408,Tbl_EquipmentDefinitions[Equipment ID],0))</f>
        <v>-</v>
      </c>
      <c r="J408" s="5"/>
      <c r="K408" s="5"/>
      <c r="L408" s="5"/>
      <c r="M408" s="5"/>
      <c r="N408" s="5"/>
      <c r="O408" s="5"/>
      <c r="P408" s="5"/>
      <c r="Q408" s="5"/>
      <c r="R408" s="5"/>
      <c r="S408" s="5"/>
      <c r="T408" s="5"/>
      <c r="U408" s="5"/>
      <c r="V408" s="5"/>
      <c r="W408" s="5"/>
      <c r="X408" s="5"/>
      <c r="Y408" s="5"/>
      <c r="Z408" s="5"/>
      <c r="AA408" s="5"/>
      <c r="AB408" s="5"/>
      <c r="AC408" s="5"/>
      <c r="AD408" s="5"/>
      <c r="AE408" s="5"/>
      <c r="AF408" s="51"/>
    </row>
    <row r="409" spans="1:32" ht="12.75" x14ac:dyDescent="0.2">
      <c r="B409" s="16"/>
      <c r="C409" s="283" t="s">
        <v>4</v>
      </c>
      <c r="D409" s="64" t="str">
        <f>INDEX(Tbl_EquipmentDefinitions[Equipment Name],MATCH(D408,Tbl_EquipmentDefinitions[Equipment ID],0))</f>
        <v>Propane On-Demand WH</v>
      </c>
      <c r="E409" s="5"/>
      <c r="F409" s="63" t="s">
        <v>28</v>
      </c>
      <c r="G409" s="70" t="str">
        <f>INDEX(Tbl_EquipmentDefinitions[Propane Baseline Efficiency],MATCH(D408,Tbl_EquipmentDefinitions[Equipment ID],0))</f>
        <v>0.711 UEF</v>
      </c>
      <c r="H409" s="68" t="str">
        <f>INDEX(Tbl_EquipmentDefinitions[Propane Code Efficiency],MATCH(D408,Tbl_EquipmentDefinitions[Equipment ID],0))</f>
        <v>0.80 UEF</v>
      </c>
      <c r="J409" s="78" t="s">
        <v>272</v>
      </c>
      <c r="K409" s="78"/>
      <c r="L409" s="5"/>
      <c r="M409" s="5"/>
      <c r="N409" s="5"/>
      <c r="S409" s="5"/>
      <c r="T409" s="5"/>
      <c r="U409" s="5"/>
      <c r="V409" s="5"/>
      <c r="W409" s="5"/>
      <c r="X409" s="5"/>
      <c r="Y409" s="5"/>
      <c r="Z409" s="5"/>
      <c r="AA409" s="5"/>
      <c r="AB409" s="5"/>
      <c r="AC409" s="5"/>
      <c r="AD409" s="5"/>
      <c r="AE409" s="5"/>
      <c r="AF409" s="51"/>
    </row>
    <row r="410" spans="1:32" ht="12.75" x14ac:dyDescent="0.2">
      <c r="B410" s="16"/>
      <c r="C410" s="283" t="s">
        <v>125</v>
      </c>
      <c r="D410" s="62" t="str">
        <f>INDEX(Tbl_EquipmentDefinitions[Equipment Level],MATCH(D408,Tbl_EquipmentDefinitions[Equipment ID],0))</f>
        <v>Primary</v>
      </c>
      <c r="E410" s="5"/>
      <c r="F410" s="63" t="s">
        <v>27</v>
      </c>
      <c r="G410" s="68" t="str">
        <f>INDEX(Tbl_EquipmentDefinitions[Oil Baseline Efficiency],MATCH(D408,Tbl_EquipmentDefinitions[Equipment ID],0))</f>
        <v>-</v>
      </c>
      <c r="H410" s="70" t="str">
        <f>INDEX(Tbl_EquipmentDefinitions[Oil Code Efficiency],MATCH(D408,Tbl_EquipmentDefinitions[Equipment ID],0))</f>
        <v>-</v>
      </c>
      <c r="J410" s="5"/>
      <c r="K410" s="5"/>
      <c r="L410" s="5"/>
      <c r="M410" s="5"/>
      <c r="N410" s="5"/>
      <c r="O410" s="53" t="s">
        <v>251</v>
      </c>
      <c r="P410" s="54">
        <v>25.9</v>
      </c>
      <c r="Q410" s="5" t="s">
        <v>335</v>
      </c>
      <c r="S410" s="5"/>
      <c r="T410" s="5"/>
      <c r="U410" s="5"/>
      <c r="V410" s="5"/>
      <c r="W410" s="5" t="s">
        <v>787</v>
      </c>
      <c r="AF410" s="51"/>
    </row>
    <row r="411" spans="1:32" ht="13.35" customHeight="1" x14ac:dyDescent="0.2">
      <c r="B411" s="16"/>
      <c r="C411" s="283" t="s">
        <v>24</v>
      </c>
      <c r="D411" s="64" t="str">
        <f>INDEX(Tbl_EquipmentDefinitions[Function],MATCH(D408,Tbl_EquipmentDefinitions[Equipment ID],0))</f>
        <v>HW</v>
      </c>
      <c r="E411" s="5"/>
      <c r="F411" s="5"/>
      <c r="G411" s="5"/>
      <c r="H411" s="5"/>
      <c r="J411" s="6" t="s">
        <v>1133</v>
      </c>
      <c r="O411" s="53" t="s">
        <v>252</v>
      </c>
      <c r="P411" s="54">
        <v>29.2</v>
      </c>
      <c r="Q411" s="5" t="s">
        <v>335</v>
      </c>
      <c r="W411" s="53" t="s">
        <v>281</v>
      </c>
      <c r="X411" s="138">
        <v>2874</v>
      </c>
      <c r="Y411" s="5" t="s">
        <v>164</v>
      </c>
      <c r="Z411" s="5"/>
      <c r="AA411" s="5"/>
      <c r="AE411" s="5"/>
      <c r="AF411" s="51"/>
    </row>
    <row r="412" spans="1:32" x14ac:dyDescent="0.2">
      <c r="B412" s="16"/>
      <c r="C412" s="283" t="s">
        <v>7</v>
      </c>
      <c r="D412" s="62" t="str">
        <f>INDEX(Tbl_EquipmentDefinitions[Fuel Type],MATCH(D408,Tbl_EquipmentDefinitions[Equipment ID],0))</f>
        <v>Propane</v>
      </c>
      <c r="E412" s="65"/>
      <c r="F412" s="671" t="s">
        <v>273</v>
      </c>
      <c r="G412" s="672"/>
      <c r="H412" s="672"/>
      <c r="J412" s="6" t="s">
        <v>1134</v>
      </c>
      <c r="O412" s="5"/>
      <c r="P412" s="5"/>
      <c r="Q412" s="5"/>
      <c r="AF412" s="51"/>
    </row>
    <row r="413" spans="1:32" ht="12.75" x14ac:dyDescent="0.2">
      <c r="B413" s="16"/>
      <c r="C413" s="283" t="s">
        <v>126</v>
      </c>
      <c r="D413" s="64">
        <f>IF(ISERR(SEARCH("+",D412,1)),1,2)</f>
        <v>1</v>
      </c>
      <c r="E413" s="65"/>
      <c r="F413" s="672"/>
      <c r="G413" s="672"/>
      <c r="H413" s="672"/>
      <c r="J413" s="6" t="s">
        <v>1135</v>
      </c>
      <c r="O413" s="55" t="s">
        <v>256</v>
      </c>
      <c r="P413" s="57">
        <f>P410*PRICE_PER_KWH_2018_ELECTRICITY</f>
        <v>5.1230199999999995</v>
      </c>
      <c r="Q413" s="5" t="s">
        <v>164</v>
      </c>
      <c r="AB413" s="5"/>
      <c r="AF413" s="51"/>
    </row>
    <row r="414" spans="1:32" ht="12.75" x14ac:dyDescent="0.2">
      <c r="B414" s="16"/>
      <c r="C414" s="284"/>
      <c r="D414" s="5"/>
      <c r="E414" s="5"/>
      <c r="F414" s="672"/>
      <c r="G414" s="672"/>
      <c r="H414" s="672"/>
      <c r="J414" s="6" t="s">
        <v>1136</v>
      </c>
      <c r="O414" s="55" t="s">
        <v>257</v>
      </c>
      <c r="P414" s="57">
        <f>P411*PRICE_PER_KWH_2018_ELECTRICITY</f>
        <v>5.77576</v>
      </c>
      <c r="Q414" s="5" t="s">
        <v>164</v>
      </c>
      <c r="AE414" s="5"/>
      <c r="AF414" s="51"/>
    </row>
    <row r="415" spans="1:32" x14ac:dyDescent="0.2">
      <c r="B415" s="16"/>
      <c r="C415" s="283" t="s">
        <v>155</v>
      </c>
      <c r="D415" s="62">
        <f>INDEX(Tbl_BaselineSummary[Space Heating Load (MMBtu/yr)],MATCH(D406,Tbl_BaselineSummary[Baseline ID],0))</f>
        <v>76.7</v>
      </c>
      <c r="E415" s="5" t="s">
        <v>156</v>
      </c>
      <c r="F415" s="672"/>
      <c r="G415" s="672"/>
      <c r="H415" s="672"/>
      <c r="W415" s="5"/>
      <c r="X415" s="5"/>
      <c r="Y415" s="5"/>
      <c r="Z415" s="5"/>
      <c r="AA415" s="5"/>
      <c r="AB415" s="5"/>
      <c r="AC415" s="5"/>
      <c r="AD415" s="5"/>
      <c r="AE415" s="5"/>
      <c r="AF415" s="51"/>
    </row>
    <row r="416" spans="1:32" ht="12.75" x14ac:dyDescent="0.2">
      <c r="B416" s="16"/>
      <c r="C416" s="283" t="s">
        <v>167</v>
      </c>
      <c r="D416" s="62">
        <f>INDEX(Tbl_BaselineSummary[Space Cooling Load (MMBtu/yr)],MATCH(D406,Tbl_BaselineSummary[Baseline ID],0))</f>
        <v>13.072800000000001</v>
      </c>
      <c r="E416" s="5" t="s">
        <v>156</v>
      </c>
      <c r="F416" s="672"/>
      <c r="G416" s="672"/>
      <c r="H416" s="672"/>
      <c r="J416" s="115" t="s">
        <v>157</v>
      </c>
      <c r="K416" s="113">
        <v>0.71099999999999997</v>
      </c>
      <c r="L416" s="5" t="s">
        <v>319</v>
      </c>
      <c r="M416" s="5"/>
      <c r="N416" s="5"/>
      <c r="O416" s="294" t="s">
        <v>348</v>
      </c>
      <c r="P416" s="97"/>
      <c r="Q416" s="97"/>
      <c r="T416" s="5"/>
      <c r="U416" s="5"/>
      <c r="V416" s="5"/>
      <c r="W416" s="5"/>
      <c r="X416" s="5"/>
      <c r="Y416" s="5"/>
      <c r="Z416" s="5"/>
      <c r="AA416" s="5"/>
      <c r="AB416" s="5"/>
      <c r="AC416" s="5"/>
      <c r="AD416" s="5"/>
      <c r="AE416" s="5"/>
      <c r="AF416" s="51"/>
    </row>
    <row r="417" spans="1:32" ht="12.75" x14ac:dyDescent="0.2">
      <c r="B417" s="16"/>
      <c r="C417" s="283" t="s">
        <v>244</v>
      </c>
      <c r="D417" s="112">
        <f>INDEX(Tbl_BaselineSummary[Water Heating Load (MMBtu/yr)],MATCH(D406,Tbl_BaselineSummary[Baseline ID],0))</f>
        <v>11.3</v>
      </c>
      <c r="E417" s="5" t="s">
        <v>156</v>
      </c>
      <c r="F417" s="672"/>
      <c r="G417" s="672"/>
      <c r="H417" s="672"/>
      <c r="J417" s="115" t="s">
        <v>159</v>
      </c>
      <c r="K417" s="114">
        <v>0.8</v>
      </c>
      <c r="L417" s="5" t="s">
        <v>319</v>
      </c>
      <c r="M417" s="5"/>
      <c r="N417" s="5"/>
      <c r="O417" s="53" t="s">
        <v>746</v>
      </c>
      <c r="P417" s="54">
        <v>2533</v>
      </c>
      <c r="Q417" s="97"/>
      <c r="S417" s="5"/>
      <c r="T417" s="5"/>
      <c r="U417" s="5"/>
      <c r="V417" s="5"/>
      <c r="W417" s="5"/>
      <c r="X417" s="5"/>
      <c r="Y417" s="5"/>
      <c r="Z417" s="5"/>
      <c r="AA417" s="5"/>
      <c r="AB417" s="5"/>
      <c r="AC417" s="5"/>
      <c r="AD417" s="5"/>
      <c r="AE417" s="5"/>
      <c r="AF417" s="51"/>
    </row>
    <row r="418" spans="1:32" x14ac:dyDescent="0.2">
      <c r="B418" s="16"/>
      <c r="C418" s="284"/>
      <c r="D418" s="5"/>
      <c r="E418" s="5"/>
      <c r="F418" s="5"/>
      <c r="G418" s="5"/>
      <c r="H418" s="5"/>
      <c r="J418" s="73"/>
      <c r="K418" s="5"/>
      <c r="L418" s="5"/>
      <c r="M418" s="5"/>
      <c r="N418" s="5"/>
      <c r="Q418" s="97"/>
      <c r="S418" s="5"/>
      <c r="T418" s="5"/>
      <c r="U418" s="5"/>
      <c r="V418" s="5"/>
      <c r="W418" s="5"/>
      <c r="X418" s="5"/>
      <c r="Y418" s="5"/>
      <c r="Z418" s="5"/>
      <c r="AA418" s="5"/>
      <c r="AB418" s="5"/>
      <c r="AC418" s="5"/>
      <c r="AD418" s="5"/>
      <c r="AE418" s="5"/>
      <c r="AF418" s="51"/>
    </row>
    <row r="419" spans="1:32" ht="12.75" x14ac:dyDescent="0.2">
      <c r="B419" s="16"/>
      <c r="C419" s="283" t="s">
        <v>635</v>
      </c>
      <c r="D419" s="62">
        <f>INDEX(Tbl_EquipmentDefinitions[New Unit Equipment Life (years)],MATCH('Baseline Calculations'!D408,Tbl_EquipmentDefinitions[Equipment ID],0))</f>
        <v>20</v>
      </c>
      <c r="E419" s="188" t="s">
        <v>376</v>
      </c>
      <c r="F419" s="5"/>
      <c r="G419" s="5"/>
      <c r="H419" s="5"/>
      <c r="J419" s="115" t="s">
        <v>334</v>
      </c>
      <c r="K419" s="56">
        <f>$D$417/K416</f>
        <v>15.89310829817159</v>
      </c>
      <c r="L419" s="5" t="s">
        <v>156</v>
      </c>
      <c r="M419" s="5"/>
      <c r="N419" s="5"/>
      <c r="O419" s="6" t="s">
        <v>747</v>
      </c>
      <c r="Q419" s="5"/>
      <c r="S419" s="6" t="s">
        <v>1111</v>
      </c>
      <c r="T419" s="5"/>
      <c r="U419" s="5"/>
      <c r="V419" s="5"/>
      <c r="W419" s="5"/>
      <c r="X419" s="5"/>
      <c r="Y419" s="5"/>
      <c r="Z419" s="5"/>
      <c r="AA419" s="5"/>
      <c r="AB419" s="5"/>
      <c r="AC419" s="5"/>
      <c r="AD419" s="5"/>
      <c r="AE419" s="5"/>
      <c r="AF419" s="51"/>
    </row>
    <row r="420" spans="1:32" ht="12.75" x14ac:dyDescent="0.2">
      <c r="B420" s="16"/>
      <c r="C420" s="283" t="s">
        <v>636</v>
      </c>
      <c r="D420" s="62">
        <f>INDEX(Tbl_EquipmentDefinitions[Remaining Life for Early Replacement (years)],MATCH('Baseline Calculations'!D408,Tbl_EquipmentDefinitions[Equipment ID],0))</f>
        <v>7</v>
      </c>
      <c r="E420" s="188" t="s">
        <v>376</v>
      </c>
      <c r="F420" s="5"/>
      <c r="G420" s="5"/>
      <c r="H420" s="5"/>
      <c r="J420" s="115" t="s">
        <v>384</v>
      </c>
      <c r="K420" s="56">
        <f>$D$417/K417</f>
        <v>14.125</v>
      </c>
      <c r="L420" s="5" t="s">
        <v>156</v>
      </c>
      <c r="M420" s="5"/>
      <c r="N420" s="5"/>
      <c r="O420" s="155" t="s">
        <v>739</v>
      </c>
      <c r="P420" s="295">
        <v>1</v>
      </c>
      <c r="Q420" s="5"/>
      <c r="S420" s="155" t="s">
        <v>982</v>
      </c>
      <c r="T420" s="295">
        <v>0.47</v>
      </c>
      <c r="U420" s="5"/>
      <c r="V420" s="5"/>
      <c r="W420" s="5"/>
      <c r="X420" s="5"/>
      <c r="Y420" s="5"/>
      <c r="Z420" s="5"/>
      <c r="AA420" s="5"/>
      <c r="AB420" s="5"/>
      <c r="AC420" s="5"/>
      <c r="AD420" s="5"/>
      <c r="AE420" s="5"/>
      <c r="AF420" s="51"/>
    </row>
    <row r="421" spans="1:32" s="5" customFormat="1" ht="12.75" x14ac:dyDescent="0.2">
      <c r="A421" s="188"/>
      <c r="B421" s="16"/>
      <c r="C421" s="50"/>
      <c r="J421" s="115"/>
      <c r="O421" s="116"/>
      <c r="P421" s="116"/>
      <c r="Q421" s="116"/>
      <c r="AF421" s="51"/>
    </row>
    <row r="422" spans="1:32" s="5" customFormat="1" ht="12.75" x14ac:dyDescent="0.2">
      <c r="A422" s="188"/>
      <c r="B422" s="16"/>
      <c r="C422" s="50"/>
      <c r="J422" s="115" t="s">
        <v>313</v>
      </c>
      <c r="K422" s="292">
        <f>K419*PRICE_PER_MMBTU_2018_PROPANE</f>
        <v>571.28392303874102</v>
      </c>
      <c r="L422" s="5" t="s">
        <v>164</v>
      </c>
      <c r="O422" s="5" t="s">
        <v>424</v>
      </c>
      <c r="P422" s="145">
        <f>P420*P410/P417</f>
        <v>1.02250296091591E-2</v>
      </c>
      <c r="Q422" s="5" t="s">
        <v>176</v>
      </c>
      <c r="S422" s="156" t="s">
        <v>980</v>
      </c>
      <c r="T422" s="145">
        <f>T420*P410/P417</f>
        <v>4.8057639163047762E-3</v>
      </c>
      <c r="U422" s="5" t="s">
        <v>176</v>
      </c>
      <c r="AF422" s="51"/>
    </row>
    <row r="423" spans="1:32" s="5" customFormat="1" ht="12.75" x14ac:dyDescent="0.2">
      <c r="A423" s="188"/>
      <c r="B423" s="16"/>
      <c r="C423" s="50"/>
      <c r="J423" s="115" t="s">
        <v>314</v>
      </c>
      <c r="K423" s="292">
        <f>K420*PRICE_PER_MMBTU_2018_PROPANE</f>
        <v>507.72858660068101</v>
      </c>
      <c r="L423" s="5" t="s">
        <v>164</v>
      </c>
      <c r="O423" s="5" t="s">
        <v>425</v>
      </c>
      <c r="P423" s="145">
        <f>P420*P411/P417</f>
        <v>1.1527832609553888E-2</v>
      </c>
      <c r="Q423" s="5" t="s">
        <v>176</v>
      </c>
      <c r="S423" s="156" t="s">
        <v>981</v>
      </c>
      <c r="T423" s="145">
        <f>T420*P411/P417</f>
        <v>5.4180813264903269E-3</v>
      </c>
      <c r="U423" s="5" t="s">
        <v>176</v>
      </c>
      <c r="AF423" s="51"/>
    </row>
    <row r="424" spans="1:32" s="5" customFormat="1" x14ac:dyDescent="0.2">
      <c r="A424" s="188"/>
      <c r="B424" s="16"/>
      <c r="C424" s="58"/>
      <c r="D424" s="59"/>
      <c r="E424" s="59"/>
      <c r="F424" s="59"/>
      <c r="G424" s="59"/>
      <c r="H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60"/>
    </row>
    <row r="425" spans="1:32" x14ac:dyDescent="0.2">
      <c r="B425" s="16"/>
    </row>
    <row r="426" spans="1:32" ht="15.75" thickBot="1" x14ac:dyDescent="0.25">
      <c r="B426" s="16"/>
      <c r="C426" s="74" t="s">
        <v>270</v>
      </c>
      <c r="D426" s="75"/>
      <c r="E426" s="75"/>
      <c r="F426" s="75"/>
      <c r="G426" s="75"/>
      <c r="H426" s="75"/>
      <c r="J426" s="75" t="s">
        <v>271</v>
      </c>
      <c r="K426" s="75"/>
      <c r="L426" s="48"/>
      <c r="M426" s="48"/>
      <c r="N426" s="48"/>
      <c r="O426" s="48"/>
      <c r="P426" s="48"/>
      <c r="Q426" s="48"/>
      <c r="R426" s="48"/>
      <c r="S426" s="48"/>
      <c r="T426" s="48"/>
      <c r="U426" s="48"/>
      <c r="V426" s="48"/>
      <c r="W426" s="48"/>
      <c r="X426" s="48"/>
      <c r="Y426" s="48"/>
      <c r="Z426" s="48"/>
      <c r="AA426" s="48"/>
      <c r="AB426" s="48"/>
      <c r="AC426" s="48"/>
      <c r="AD426" s="48"/>
      <c r="AE426" s="48"/>
      <c r="AF426" s="49"/>
    </row>
    <row r="427" spans="1:32" x14ac:dyDescent="0.2">
      <c r="B427" s="16"/>
      <c r="C427" s="50"/>
      <c r="D427" s="5"/>
      <c r="E427" s="5"/>
      <c r="F427" s="5"/>
      <c r="G427" s="5"/>
      <c r="H427" s="5"/>
      <c r="J427" s="5"/>
      <c r="K427" s="5"/>
      <c r="L427" s="5"/>
      <c r="M427" s="5"/>
      <c r="N427" s="5"/>
      <c r="O427" s="5"/>
      <c r="P427" s="5"/>
      <c r="Q427" s="5"/>
      <c r="R427" s="5"/>
      <c r="S427" s="5"/>
      <c r="T427" s="5"/>
      <c r="U427" s="5"/>
      <c r="V427" s="5"/>
      <c r="W427" s="5"/>
      <c r="X427" s="5"/>
      <c r="Y427" s="5"/>
      <c r="Z427" s="5"/>
      <c r="AA427" s="5"/>
      <c r="AB427" s="5"/>
      <c r="AC427" s="5"/>
      <c r="AD427" s="5"/>
      <c r="AE427" s="5"/>
      <c r="AF427" s="51"/>
    </row>
    <row r="428" spans="1:32" ht="34.5" thickBot="1" x14ac:dyDescent="0.25">
      <c r="B428" s="16"/>
      <c r="C428" s="76" t="s">
        <v>249</v>
      </c>
      <c r="D428" s="81" t="s">
        <v>843</v>
      </c>
      <c r="E428" s="71"/>
      <c r="F428" s="66" t="s">
        <v>260</v>
      </c>
      <c r="G428" s="66" t="s">
        <v>5</v>
      </c>
      <c r="H428" s="66" t="s">
        <v>6</v>
      </c>
      <c r="J428" s="66" t="s">
        <v>127</v>
      </c>
      <c r="K428" s="72" t="s">
        <v>261</v>
      </c>
      <c r="L428" s="72" t="s">
        <v>262</v>
      </c>
      <c r="M428" s="72" t="s">
        <v>1455</v>
      </c>
      <c r="N428" s="72" t="s">
        <v>1456</v>
      </c>
      <c r="O428" s="72" t="s">
        <v>963</v>
      </c>
      <c r="P428" s="72" t="s">
        <v>974</v>
      </c>
      <c r="Q428" s="72" t="s">
        <v>263</v>
      </c>
      <c r="R428" s="72" t="s">
        <v>264</v>
      </c>
      <c r="S428" s="72" t="s">
        <v>265</v>
      </c>
      <c r="T428" s="72" t="s">
        <v>280</v>
      </c>
      <c r="U428" s="72" t="s">
        <v>200</v>
      </c>
      <c r="V428" s="72" t="s">
        <v>753</v>
      </c>
      <c r="W428" s="72" t="s">
        <v>634</v>
      </c>
      <c r="X428" s="72" t="s">
        <v>754</v>
      </c>
      <c r="Y428" s="72" t="s">
        <v>266</v>
      </c>
      <c r="Z428" s="72" t="s">
        <v>1457</v>
      </c>
      <c r="AA428" s="72" t="s">
        <v>1458</v>
      </c>
      <c r="AB428" s="72" t="s">
        <v>964</v>
      </c>
      <c r="AC428" s="72" t="s">
        <v>975</v>
      </c>
      <c r="AD428" s="72" t="s">
        <v>267</v>
      </c>
      <c r="AE428" s="72" t="s">
        <v>268</v>
      </c>
      <c r="AF428" s="77" t="s">
        <v>269</v>
      </c>
    </row>
    <row r="429" spans="1:32" x14ac:dyDescent="0.2">
      <c r="B429" s="16"/>
      <c r="C429" s="61"/>
      <c r="D429" s="5"/>
      <c r="E429" s="5"/>
      <c r="F429" s="63" t="s">
        <v>178</v>
      </c>
      <c r="G429" s="67" t="str">
        <f>INDEX(Tbl_EquipmentDefinitions[Electricity Baseline Efficiency],MATCH(D430,Tbl_EquipmentDefinitions[Equipment ID],0))</f>
        <v>10 SEER/8.5 EER</v>
      </c>
      <c r="H429" s="68" t="str">
        <f>INDEX(Tbl_EquipmentDefinitions[Electricity Code Efficiency],MATCH(D430,Tbl_EquipmentDefinitions[Equipment ID],0))</f>
        <v>13 SEER/11 EER</v>
      </c>
      <c r="J429" s="63" t="str">
        <f>D428</f>
        <v>BASE18</v>
      </c>
      <c r="K429" s="148">
        <f>K439+P437+U440</f>
        <v>2600.9999820291782</v>
      </c>
      <c r="L429" s="285">
        <f>P434+U438</f>
        <v>1537.2800000000002</v>
      </c>
      <c r="M429" s="285">
        <f>P434</f>
        <v>230</v>
      </c>
      <c r="N429" s="285">
        <f>U438</f>
        <v>1307.2800000000002</v>
      </c>
      <c r="O429" s="117">
        <f>P449</f>
        <v>3.5282837967401733E-2</v>
      </c>
      <c r="P429" s="117">
        <f>U442</f>
        <v>1.835294117647059</v>
      </c>
      <c r="Q429" s="286">
        <v>0</v>
      </c>
      <c r="R429" s="286">
        <v>0</v>
      </c>
      <c r="S429" s="286">
        <f>K436</f>
        <v>102.26666666666667</v>
      </c>
      <c r="T429" s="148">
        <f>K440+P438+U441</f>
        <v>2295.2284639546233</v>
      </c>
      <c r="U429" s="148">
        <f>P441+U437</f>
        <v>17458.400000000001</v>
      </c>
      <c r="V429" s="148">
        <f>U437</f>
        <v>10592.4</v>
      </c>
      <c r="W429" s="148">
        <f>((PV(DiscountRate, (D441-D442),PMT(DiscountRate, D441, U429))/(1+DiscountRate)^(D442)))</f>
        <v>7514.8545914856777</v>
      </c>
      <c r="X429" s="148">
        <f>((PV(DiscountRate, (D443-D444),PMT(DiscountRate, D443, V429))/(1+DiscountRate)^(D444)))</f>
        <v>6760.0638096312941</v>
      </c>
      <c r="Y429" s="285">
        <f>P435+U439</f>
        <v>1235.6000000000001</v>
      </c>
      <c r="Z429" s="285">
        <f>P435</f>
        <v>230</v>
      </c>
      <c r="AA429" s="285">
        <f>U439</f>
        <v>1005.6000000000001</v>
      </c>
      <c r="AB429" s="117">
        <f>P450</f>
        <v>3.5282837967401733E-2</v>
      </c>
      <c r="AC429" s="117">
        <f>U443</f>
        <v>1.4181818181818182</v>
      </c>
      <c r="AD429" s="286">
        <v>0</v>
      </c>
      <c r="AE429" s="286">
        <v>0</v>
      </c>
      <c r="AF429" s="287">
        <f>K437</f>
        <v>91.30952380952381</v>
      </c>
    </row>
    <row r="430" spans="1:32" x14ac:dyDescent="0.2">
      <c r="B430" s="16"/>
      <c r="C430" s="283" t="s">
        <v>2</v>
      </c>
      <c r="D430" s="62" t="str">
        <f>INDEX(Tbl_BaselineSummary[Equipment ID],MATCH(D428,Tbl_BaselineSummary[Baseline ID],0))</f>
        <v>EQUI032</v>
      </c>
      <c r="E430" s="5"/>
      <c r="F430" s="63" t="s">
        <v>55</v>
      </c>
      <c r="G430" s="68" t="str">
        <f>INDEX(Tbl_EquipmentDefinitions[Natural Gas Baseline Efficiency],MATCH(D430,Tbl_EquipmentDefinitions[Equipment ID],0))</f>
        <v>-</v>
      </c>
      <c r="H430" s="69" t="str">
        <f>INDEX(Tbl_EquipmentDefinitions[Natural Gas Code Efficiency],MATCH(D430,Tbl_EquipmentDefinitions[Equipment ID],0))</f>
        <v>-</v>
      </c>
      <c r="J430" s="5"/>
      <c r="K430" s="5"/>
      <c r="L430" s="5"/>
      <c r="M430" s="5"/>
      <c r="N430" s="5"/>
      <c r="O430" s="5"/>
      <c r="P430" s="5"/>
      <c r="Q430" s="5"/>
      <c r="R430" s="5"/>
      <c r="S430" s="5"/>
      <c r="T430" s="5"/>
      <c r="U430" s="5"/>
      <c r="V430" s="5"/>
      <c r="W430" s="5"/>
      <c r="X430" s="5"/>
      <c r="Y430" s="5"/>
      <c r="Z430" s="5"/>
      <c r="AA430" s="5"/>
      <c r="AB430" s="5"/>
      <c r="AC430" s="5"/>
      <c r="AD430" s="5"/>
      <c r="AE430" s="5"/>
      <c r="AF430" s="51"/>
    </row>
    <row r="431" spans="1:32" ht="12.75" x14ac:dyDescent="0.2">
      <c r="B431" s="16"/>
      <c r="C431" s="283" t="s">
        <v>4</v>
      </c>
      <c r="D431" s="64" t="str">
        <f>INDEX(Tbl_EquipmentDefinitions[Equipment Name],MATCH(D430,Tbl_EquipmentDefinitions[Equipment ID],0))</f>
        <v>Central A/C+Oil Boiler</v>
      </c>
      <c r="E431" s="5"/>
      <c r="F431" s="63" t="s">
        <v>28</v>
      </c>
      <c r="G431" s="70" t="str">
        <f>INDEX(Tbl_EquipmentDefinitions[Propane Baseline Efficiency],MATCH(D430,Tbl_EquipmentDefinitions[Equipment ID],0))</f>
        <v>-</v>
      </c>
      <c r="H431" s="68" t="str">
        <f>INDEX(Tbl_EquipmentDefinitions[Propane Code Efficiency],MATCH(D430,Tbl_EquipmentDefinitions[Equipment ID],0))</f>
        <v>-</v>
      </c>
      <c r="J431" s="78" t="s">
        <v>259</v>
      </c>
      <c r="K431" s="78"/>
      <c r="L431" s="5"/>
      <c r="M431" s="5"/>
      <c r="N431" s="5"/>
      <c r="O431" s="5"/>
      <c r="P431" s="5"/>
      <c r="Q431" s="5"/>
      <c r="R431" s="5"/>
      <c r="S431" s="5"/>
      <c r="AD431" s="5"/>
      <c r="AE431" s="5"/>
      <c r="AF431" s="51"/>
    </row>
    <row r="432" spans="1:32" x14ac:dyDescent="0.2">
      <c r="B432" s="16"/>
      <c r="C432" s="283" t="s">
        <v>125</v>
      </c>
      <c r="D432" s="62" t="str">
        <f>INDEX(Tbl_EquipmentDefinitions[Equipment Level],MATCH(D430,Tbl_EquipmentDefinitions[Equipment ID],0))</f>
        <v>Secondary</v>
      </c>
      <c r="E432" s="5"/>
      <c r="F432" s="63" t="s">
        <v>27</v>
      </c>
      <c r="G432" s="68" t="str">
        <f>INDEX(Tbl_EquipmentDefinitions[Oil Baseline Efficiency],MATCH(D430,Tbl_EquipmentDefinitions[Equipment ID],0))</f>
        <v>75% AFUE</v>
      </c>
      <c r="H432" s="70" t="str">
        <f>INDEX(Tbl_EquipmentDefinitions[Oil Code Efficiency],MATCH(D430,Tbl_EquipmentDefinitions[Equipment ID],0))</f>
        <v>84% AFUE</v>
      </c>
      <c r="J432" s="289" t="s">
        <v>278</v>
      </c>
      <c r="K432" s="5"/>
      <c r="L432" s="5"/>
      <c r="M432" s="5"/>
      <c r="N432" s="5"/>
      <c r="AE432" s="5"/>
      <c r="AF432" s="51"/>
    </row>
    <row r="433" spans="2:32" ht="12.75" x14ac:dyDescent="0.2">
      <c r="B433" s="16"/>
      <c r="C433" s="283" t="s">
        <v>24</v>
      </c>
      <c r="D433" s="64" t="str">
        <f>INDEX(Tbl_EquipmentDefinitions[Function],MATCH(D430,Tbl_EquipmentDefinitions[Equipment ID],0))</f>
        <v>Cool+Heat</v>
      </c>
      <c r="E433" s="5"/>
      <c r="F433" s="5"/>
      <c r="G433" s="5"/>
      <c r="H433" s="5"/>
      <c r="J433" s="115" t="s">
        <v>157</v>
      </c>
      <c r="K433" s="52">
        <v>0.75</v>
      </c>
      <c r="L433" s="5" t="s">
        <v>158</v>
      </c>
      <c r="M433" s="5"/>
      <c r="N433" s="5"/>
      <c r="O433" s="5" t="s">
        <v>421</v>
      </c>
      <c r="P433" s="5"/>
      <c r="S433" s="5"/>
      <c r="T433" s="6" t="s">
        <v>279</v>
      </c>
      <c r="AF433" s="51"/>
    </row>
    <row r="434" spans="2:32" ht="12.75" x14ac:dyDescent="0.2">
      <c r="B434" s="16"/>
      <c r="C434" s="283" t="s">
        <v>7</v>
      </c>
      <c r="D434" s="62" t="str">
        <f>INDEX(Tbl_EquipmentDefinitions[Fuel Type],MATCH(D430,Tbl_EquipmentDefinitions[Equipment ID],0))</f>
        <v>Electric+Oil</v>
      </c>
      <c r="E434" s="65"/>
      <c r="F434" s="671" t="s">
        <v>273</v>
      </c>
      <c r="G434" s="672"/>
      <c r="H434" s="672"/>
      <c r="J434" s="115" t="s">
        <v>159</v>
      </c>
      <c r="K434" s="52">
        <v>0.84</v>
      </c>
      <c r="L434" s="5" t="s">
        <v>158</v>
      </c>
      <c r="M434" s="5"/>
      <c r="N434" s="5"/>
      <c r="O434" s="5" t="s">
        <v>420</v>
      </c>
      <c r="P434" s="144">
        <v>230</v>
      </c>
      <c r="Q434" s="5" t="s">
        <v>170</v>
      </c>
      <c r="S434" s="336"/>
      <c r="T434" s="6" t="s">
        <v>1506</v>
      </c>
      <c r="AE434" s="5"/>
      <c r="AF434" s="51"/>
    </row>
    <row r="435" spans="2:32" x14ac:dyDescent="0.2">
      <c r="B435" s="16"/>
      <c r="C435" s="283" t="s">
        <v>126</v>
      </c>
      <c r="D435" s="64">
        <f>IF(ISERR(SEARCH("+",D434,1)),1,2)</f>
        <v>2</v>
      </c>
      <c r="E435" s="65"/>
      <c r="F435" s="672"/>
      <c r="G435" s="672"/>
      <c r="H435" s="672"/>
      <c r="J435" s="156"/>
      <c r="K435" s="5"/>
      <c r="L435" s="5"/>
      <c r="M435" s="5"/>
      <c r="N435" s="5"/>
      <c r="O435" s="5" t="s">
        <v>408</v>
      </c>
      <c r="P435" s="144">
        <v>230</v>
      </c>
      <c r="Q435" s="5" t="s">
        <v>170</v>
      </c>
      <c r="S435" s="336"/>
      <c r="T435" s="6" t="s">
        <v>1507</v>
      </c>
      <c r="AE435" s="5"/>
      <c r="AF435" s="51"/>
    </row>
    <row r="436" spans="2:32" ht="12.75" x14ac:dyDescent="0.2">
      <c r="B436" s="16"/>
      <c r="C436" s="284"/>
      <c r="D436" s="5"/>
      <c r="E436" s="5"/>
      <c r="F436" s="672"/>
      <c r="G436" s="672"/>
      <c r="H436" s="672"/>
      <c r="J436" s="115" t="s">
        <v>353</v>
      </c>
      <c r="K436" s="56">
        <f>$D$437/K433</f>
        <v>102.26666666666667</v>
      </c>
      <c r="L436" s="5" t="s">
        <v>156</v>
      </c>
      <c r="M436" s="5"/>
      <c r="N436" s="5"/>
      <c r="O436" s="5"/>
      <c r="P436" s="5"/>
      <c r="Q436" s="337"/>
      <c r="S436" s="337"/>
      <c r="T436" s="6" t="s">
        <v>1494</v>
      </c>
      <c r="AE436" s="5"/>
      <c r="AF436" s="51"/>
    </row>
    <row r="437" spans="2:32" ht="12.75" x14ac:dyDescent="0.2">
      <c r="B437" s="16"/>
      <c r="C437" s="283" t="s">
        <v>155</v>
      </c>
      <c r="D437" s="62">
        <f>INDEX(Tbl_BaselineSummary[Space Heating Load (MMBtu/yr)],MATCH(D428,Tbl_BaselineSummary[Baseline ID],0))</f>
        <v>76.7</v>
      </c>
      <c r="E437" s="5" t="s">
        <v>156</v>
      </c>
      <c r="F437" s="672"/>
      <c r="G437" s="672"/>
      <c r="H437" s="672"/>
      <c r="J437" s="115" t="s">
        <v>385</v>
      </c>
      <c r="K437" s="56">
        <f>$D$437/K434</f>
        <v>91.30952380952381</v>
      </c>
      <c r="L437" s="5" t="s">
        <v>156</v>
      </c>
      <c r="M437" s="5"/>
      <c r="N437" s="5"/>
      <c r="O437" s="55" t="s">
        <v>276</v>
      </c>
      <c r="P437" s="57">
        <f>P434*PRICE_PER_KWH_2018_ELECTRICITY</f>
        <v>45.494</v>
      </c>
      <c r="Q437" s="5" t="s">
        <v>164</v>
      </c>
      <c r="S437" s="5"/>
      <c r="T437" s="154" t="s">
        <v>1440</v>
      </c>
      <c r="U437" s="406">
        <f>ACBASE_CAC_INSTALL_COST</f>
        <v>10592.4</v>
      </c>
      <c r="V437" s="5" t="s">
        <v>164</v>
      </c>
      <c r="AE437" s="5"/>
      <c r="AF437" s="51"/>
    </row>
    <row r="438" spans="2:32" ht="12.75" x14ac:dyDescent="0.2">
      <c r="B438" s="16"/>
      <c r="C438" s="283" t="s">
        <v>167</v>
      </c>
      <c r="D438" s="62">
        <f>INDEX(Tbl_BaselineSummary[Space Cooling Load (MMBtu/yr)],MATCH(D428,Tbl_BaselineSummary[Baseline ID],0))</f>
        <v>13.072800000000001</v>
      </c>
      <c r="E438" s="5" t="s">
        <v>156</v>
      </c>
      <c r="F438" s="672"/>
      <c r="G438" s="672"/>
      <c r="H438" s="672"/>
      <c r="J438" s="156"/>
      <c r="K438" s="5"/>
      <c r="L438" s="5"/>
      <c r="M438" s="5"/>
      <c r="N438" s="5"/>
      <c r="O438" s="55" t="s">
        <v>277</v>
      </c>
      <c r="P438" s="57">
        <f>P435*PRICE_PER_KWH_2018_ELECTRICITY</f>
        <v>45.494</v>
      </c>
      <c r="Q438" s="5" t="s">
        <v>164</v>
      </c>
      <c r="S438" s="5"/>
      <c r="T438" s="154" t="s">
        <v>1501</v>
      </c>
      <c r="U438" s="288">
        <f>ACBASE_CAC_BASE_KWH</f>
        <v>1307.2800000000002</v>
      </c>
      <c r="V438" s="6" t="s">
        <v>170</v>
      </c>
      <c r="AE438" s="5"/>
      <c r="AF438" s="51"/>
    </row>
    <row r="439" spans="2:32" ht="12.75" x14ac:dyDescent="0.2">
      <c r="B439" s="16"/>
      <c r="C439" s="283" t="s">
        <v>244</v>
      </c>
      <c r="D439" s="62">
        <f>INDEX(Tbl_BaselineSummary[Water Heating Load (MMBtu/yr)],MATCH(D428,Tbl_BaselineSummary[Baseline ID],0))</f>
        <v>13.9</v>
      </c>
      <c r="E439" s="5" t="s">
        <v>156</v>
      </c>
      <c r="F439" s="672"/>
      <c r="G439" s="672"/>
      <c r="H439" s="672"/>
      <c r="J439" s="115" t="s">
        <v>253</v>
      </c>
      <c r="K439" s="292">
        <f>K436*PRICE_PER_MMBTU_2018_OIL</f>
        <v>2296.9259980291781</v>
      </c>
      <c r="L439" s="5" t="s">
        <v>164</v>
      </c>
      <c r="M439" s="5"/>
      <c r="N439" s="5"/>
      <c r="O439" s="5"/>
      <c r="P439" s="5"/>
      <c r="Q439" s="5"/>
      <c r="S439" s="5"/>
      <c r="T439" s="154" t="s">
        <v>1502</v>
      </c>
      <c r="U439" s="288">
        <f>ACBASE_CAC_CODE_KWH</f>
        <v>1005.6000000000001</v>
      </c>
      <c r="V439" s="6" t="s">
        <v>170</v>
      </c>
      <c r="AE439" s="5"/>
      <c r="AF439" s="51"/>
    </row>
    <row r="440" spans="2:32" ht="12.75" x14ac:dyDescent="0.2">
      <c r="B440" s="16"/>
      <c r="C440" s="284"/>
      <c r="D440" s="5"/>
      <c r="E440" s="5"/>
      <c r="F440" s="5"/>
      <c r="G440" s="5"/>
      <c r="H440" s="5"/>
      <c r="J440" s="115" t="s">
        <v>254</v>
      </c>
      <c r="K440" s="292">
        <f>K437*PRICE_PER_MMBTU_2018_OIL</f>
        <v>2050.8267839546234</v>
      </c>
      <c r="L440" s="5" t="s">
        <v>164</v>
      </c>
      <c r="M440" s="5"/>
      <c r="N440" s="5"/>
      <c r="O440" s="5" t="s">
        <v>845</v>
      </c>
      <c r="S440" s="5"/>
      <c r="T440" s="154" t="s">
        <v>1503</v>
      </c>
      <c r="U440" s="42">
        <f>ACBASE_CAC_BASE_OP_COST</f>
        <v>258.57998400000002</v>
      </c>
      <c r="V440" s="6" t="s">
        <v>164</v>
      </c>
      <c r="AE440" s="5"/>
      <c r="AF440" s="51"/>
    </row>
    <row r="441" spans="2:32" ht="12.75" x14ac:dyDescent="0.2">
      <c r="B441" s="16"/>
      <c r="C441" s="283" t="s">
        <v>635</v>
      </c>
      <c r="D441" s="62">
        <f>INDEX(Tbl_EquipmentDefinitions[New Unit Equipment Life (years)],MATCH('Baseline Calculations'!D430,Tbl_EquipmentDefinitions[Equipment ID],0))</f>
        <v>20</v>
      </c>
      <c r="E441" s="188" t="s">
        <v>376</v>
      </c>
      <c r="F441" s="5"/>
      <c r="G441" s="5"/>
      <c r="H441" s="5"/>
      <c r="J441" s="80"/>
      <c r="K441" s="5"/>
      <c r="L441" s="5"/>
      <c r="M441" s="5"/>
      <c r="N441" s="5"/>
      <c r="O441" s="409" t="s">
        <v>451</v>
      </c>
      <c r="P441" s="138">
        <v>6866</v>
      </c>
      <c r="Q441" s="5" t="s">
        <v>164</v>
      </c>
      <c r="S441" s="5"/>
      <c r="T441" s="154" t="s">
        <v>1504</v>
      </c>
      <c r="U441" s="42">
        <f>ACBASE_CAC_CODE_OP_COST</f>
        <v>198.90768000000003</v>
      </c>
      <c r="V441" s="6" t="s">
        <v>164</v>
      </c>
      <c r="AE441" s="5"/>
      <c r="AF441" s="51"/>
    </row>
    <row r="442" spans="2:32" ht="12.75" x14ac:dyDescent="0.2">
      <c r="B442" s="16"/>
      <c r="C442" s="283" t="s">
        <v>636</v>
      </c>
      <c r="D442" s="62">
        <f>INDEX(Tbl_EquipmentDefinitions[Remaining Life for Early Replacement (years)],MATCH('Baseline Calculations'!D430,Tbl_EquipmentDefinitions[Equipment ID],0))</f>
        <v>10</v>
      </c>
      <c r="E442" s="188" t="s">
        <v>376</v>
      </c>
      <c r="F442" s="5"/>
      <c r="G442" s="5"/>
      <c r="H442" s="5"/>
      <c r="T442" s="154" t="s">
        <v>742</v>
      </c>
      <c r="U442" s="37">
        <f>ACBASE_CAC_BASE_KW_DEMAND</f>
        <v>1.835294117647059</v>
      </c>
      <c r="V442" s="6" t="s">
        <v>176</v>
      </c>
      <c r="AE442" s="5"/>
      <c r="AF442" s="51"/>
    </row>
    <row r="443" spans="2:32" ht="11.25" customHeight="1" x14ac:dyDescent="0.2">
      <c r="B443" s="16"/>
      <c r="C443" s="283" t="s">
        <v>909</v>
      </c>
      <c r="D443" s="62">
        <f>INDEX(Tbl_EquipmentDefinitions[A/C Life (years)],MATCH('Baseline Calculations'!D430,Tbl_EquipmentDefinitions[Equipment ID],0))</f>
        <v>16</v>
      </c>
      <c r="E443" s="188" t="s">
        <v>376</v>
      </c>
      <c r="F443" s="5"/>
      <c r="G443" s="5"/>
      <c r="H443" s="5"/>
      <c r="J443" s="80"/>
      <c r="K443" s="5"/>
      <c r="L443" s="5"/>
      <c r="M443" s="5"/>
      <c r="N443" s="5"/>
      <c r="O443" s="6" t="s">
        <v>423</v>
      </c>
      <c r="S443" s="5"/>
      <c r="T443" s="154" t="s">
        <v>743</v>
      </c>
      <c r="U443" s="37">
        <f>ACBASE_CAC_CODE_KW_DEMAND</f>
        <v>1.4181818181818182</v>
      </c>
      <c r="V443" s="6" t="s">
        <v>176</v>
      </c>
      <c r="AE443" s="5"/>
      <c r="AF443" s="51"/>
    </row>
    <row r="444" spans="2:32" s="5" customFormat="1" x14ac:dyDescent="0.2">
      <c r="B444" s="16"/>
      <c r="C444" s="283" t="s">
        <v>908</v>
      </c>
      <c r="D444" s="62">
        <f>INDEX(Tbl_EquipmentDefinitions[Remaining A/C Life for Early Replacement (years)],MATCH('Baseline Calculations'!D430,Tbl_EquipmentDefinitions[Equipment ID],0))</f>
        <v>5</v>
      </c>
      <c r="E444" s="188" t="s">
        <v>376</v>
      </c>
      <c r="O444" s="156" t="s">
        <v>422</v>
      </c>
      <c r="P444" s="146">
        <f>AVERAGE(530,984,1329,1329)</f>
        <v>1043</v>
      </c>
      <c r="Q444" s="6" t="s">
        <v>397</v>
      </c>
      <c r="W444" s="6"/>
      <c r="X444" s="6"/>
      <c r="Y444" s="6"/>
      <c r="Z444" s="6"/>
      <c r="AA444" s="6"/>
      <c r="AB444" s="6"/>
      <c r="AC444" s="6"/>
      <c r="AF444" s="51"/>
    </row>
    <row r="445" spans="2:32" s="5" customFormat="1" x14ac:dyDescent="0.2">
      <c r="B445" s="16"/>
      <c r="C445" s="50"/>
      <c r="O445" s="6"/>
      <c r="P445" s="6"/>
      <c r="Q445" s="6"/>
      <c r="W445" s="6"/>
      <c r="X445" s="6"/>
      <c r="Y445" s="6"/>
      <c r="Z445" s="6"/>
      <c r="AA445" s="6"/>
      <c r="AB445" s="6"/>
      <c r="AC445" s="6"/>
      <c r="AF445" s="51"/>
    </row>
    <row r="446" spans="2:32" s="5" customFormat="1" x14ac:dyDescent="0.2">
      <c r="B446" s="16"/>
      <c r="C446" s="50"/>
      <c r="O446" s="6" t="s">
        <v>740</v>
      </c>
      <c r="P446" s="6"/>
      <c r="Q446" s="6"/>
      <c r="AF446" s="51"/>
    </row>
    <row r="447" spans="2:32" s="5" customFormat="1" x14ac:dyDescent="0.2">
      <c r="B447" s="16"/>
      <c r="C447" s="50"/>
      <c r="O447" s="155" t="s">
        <v>739</v>
      </c>
      <c r="P447" s="146">
        <v>0.16</v>
      </c>
      <c r="Q447" s="6"/>
      <c r="AF447" s="51"/>
    </row>
    <row r="448" spans="2:32" s="5" customFormat="1" x14ac:dyDescent="0.2">
      <c r="B448" s="16"/>
      <c r="C448" s="50"/>
      <c r="O448" s="6"/>
      <c r="P448" s="6"/>
      <c r="Q448" s="6"/>
      <c r="AF448" s="51"/>
    </row>
    <row r="449" spans="2:32" s="5" customFormat="1" x14ac:dyDescent="0.2">
      <c r="B449" s="16"/>
      <c r="C449" s="50"/>
      <c r="O449" s="156" t="s">
        <v>744</v>
      </c>
      <c r="P449" s="145">
        <f>P447*P434/P444</f>
        <v>3.5282837967401733E-2</v>
      </c>
      <c r="Q449" s="5" t="s">
        <v>176</v>
      </c>
      <c r="AF449" s="51"/>
    </row>
    <row r="450" spans="2:32" s="5" customFormat="1" x14ac:dyDescent="0.2">
      <c r="B450" s="16"/>
      <c r="C450" s="50"/>
      <c r="O450" s="156" t="s">
        <v>745</v>
      </c>
      <c r="P450" s="145">
        <f>P447*P435/P444</f>
        <v>3.5282837967401733E-2</v>
      </c>
      <c r="Q450" s="5" t="s">
        <v>176</v>
      </c>
      <c r="AF450" s="51"/>
    </row>
    <row r="451" spans="2:32" s="5" customFormat="1" x14ac:dyDescent="0.2">
      <c r="B451" s="16"/>
      <c r="C451" s="58"/>
      <c r="D451" s="59"/>
      <c r="E451" s="59"/>
      <c r="F451" s="59"/>
      <c r="G451" s="59"/>
      <c r="H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60"/>
    </row>
    <row r="452" spans="2:32" ht="11.25" customHeight="1" x14ac:dyDescent="0.2">
      <c r="B452" s="16"/>
      <c r="D452" s="5"/>
      <c r="E452" s="5"/>
      <c r="AB452" s="5"/>
      <c r="AC452" s="5"/>
      <c r="AD452" s="5"/>
      <c r="AE452" s="5"/>
    </row>
    <row r="453" spans="2:32" ht="15.75" thickBot="1" x14ac:dyDescent="0.25">
      <c r="B453" s="16"/>
      <c r="C453" s="74" t="s">
        <v>270</v>
      </c>
      <c r="D453" s="75"/>
      <c r="E453" s="75"/>
      <c r="F453" s="75"/>
      <c r="G453" s="75"/>
      <c r="H453" s="75"/>
      <c r="J453" s="75" t="s">
        <v>271</v>
      </c>
      <c r="K453" s="75"/>
      <c r="L453" s="48"/>
      <c r="M453" s="48"/>
      <c r="N453" s="48"/>
      <c r="O453" s="48"/>
      <c r="P453" s="48"/>
      <c r="Q453" s="48"/>
      <c r="R453" s="48"/>
      <c r="S453" s="48"/>
      <c r="T453" s="48"/>
      <c r="U453" s="48"/>
      <c r="V453" s="48"/>
      <c r="W453" s="48"/>
      <c r="X453" s="48"/>
      <c r="Y453" s="48"/>
      <c r="Z453" s="48"/>
      <c r="AA453" s="48"/>
      <c r="AB453" s="48"/>
      <c r="AC453" s="48"/>
      <c r="AD453" s="48"/>
      <c r="AE453" s="48"/>
      <c r="AF453" s="49"/>
    </row>
    <row r="454" spans="2:32" ht="3.75" customHeight="1" x14ac:dyDescent="0.2">
      <c r="B454" s="16"/>
      <c r="C454" s="50"/>
      <c r="D454" s="5"/>
      <c r="E454" s="5"/>
      <c r="F454" s="5"/>
      <c r="G454" s="5"/>
      <c r="H454" s="5"/>
      <c r="J454" s="5"/>
      <c r="K454" s="5"/>
      <c r="L454" s="5"/>
      <c r="M454" s="5"/>
      <c r="N454" s="5"/>
      <c r="O454" s="5"/>
      <c r="P454" s="5"/>
      <c r="Q454" s="5"/>
      <c r="R454" s="5"/>
      <c r="S454" s="5"/>
      <c r="T454" s="5"/>
      <c r="U454" s="5"/>
      <c r="V454" s="5"/>
      <c r="W454" s="5"/>
      <c r="X454" s="5"/>
      <c r="Y454" s="5"/>
      <c r="Z454" s="5"/>
      <c r="AA454" s="5"/>
      <c r="AB454" s="5"/>
      <c r="AC454" s="5"/>
      <c r="AD454" s="5"/>
      <c r="AE454" s="5"/>
      <c r="AF454" s="51"/>
    </row>
    <row r="455" spans="2:32" ht="34.5" thickBot="1" x14ac:dyDescent="0.25">
      <c r="B455" s="16"/>
      <c r="C455" s="76" t="s">
        <v>249</v>
      </c>
      <c r="D455" s="81" t="s">
        <v>844</v>
      </c>
      <c r="E455" s="71"/>
      <c r="F455" s="66" t="s">
        <v>260</v>
      </c>
      <c r="G455" s="66" t="s">
        <v>5</v>
      </c>
      <c r="H455" s="66" t="s">
        <v>6</v>
      </c>
      <c r="J455" s="66" t="s">
        <v>127</v>
      </c>
      <c r="K455" s="72" t="s">
        <v>261</v>
      </c>
      <c r="L455" s="72" t="s">
        <v>262</v>
      </c>
      <c r="M455" s="72" t="s">
        <v>1455</v>
      </c>
      <c r="N455" s="72" t="s">
        <v>1456</v>
      </c>
      <c r="O455" s="72" t="s">
        <v>963</v>
      </c>
      <c r="P455" s="72" t="s">
        <v>974</v>
      </c>
      <c r="Q455" s="72" t="s">
        <v>263</v>
      </c>
      <c r="R455" s="72" t="s">
        <v>264</v>
      </c>
      <c r="S455" s="72" t="s">
        <v>265</v>
      </c>
      <c r="T455" s="72" t="s">
        <v>280</v>
      </c>
      <c r="U455" s="72" t="s">
        <v>200</v>
      </c>
      <c r="V455" s="72" t="s">
        <v>753</v>
      </c>
      <c r="W455" s="72" t="s">
        <v>634</v>
      </c>
      <c r="X455" s="72" t="s">
        <v>754</v>
      </c>
      <c r="Y455" s="72" t="s">
        <v>266</v>
      </c>
      <c r="Z455" s="72" t="s">
        <v>1457</v>
      </c>
      <c r="AA455" s="72" t="s">
        <v>1458</v>
      </c>
      <c r="AB455" s="72" t="s">
        <v>964</v>
      </c>
      <c r="AC455" s="72" t="s">
        <v>975</v>
      </c>
      <c r="AD455" s="72" t="s">
        <v>267</v>
      </c>
      <c r="AE455" s="72" t="s">
        <v>268</v>
      </c>
      <c r="AF455" s="77" t="s">
        <v>269</v>
      </c>
    </row>
    <row r="456" spans="2:32" x14ac:dyDescent="0.2">
      <c r="B456" s="16"/>
      <c r="C456" s="61"/>
      <c r="D456" s="5"/>
      <c r="E456" s="5"/>
      <c r="F456" s="63" t="s">
        <v>178</v>
      </c>
      <c r="G456" s="596" t="str">
        <f>INDEX(Tbl_EquipmentDefinitions[Electricity Baseline Efficiency],MATCH(D457,Tbl_EquipmentDefinitions[Equipment ID],0))</f>
        <v>10 SEER/8.5 EER</v>
      </c>
      <c r="H456" s="597" t="str">
        <f>INDEX(Tbl_EquipmentDefinitions[Electricity Code Efficiency],MATCH(D457,Tbl_EquipmentDefinitions[Equipment ID],0))</f>
        <v>13 SEER/11 EER</v>
      </c>
      <c r="J456" s="63" t="str">
        <f>D455</f>
        <v>BASE19</v>
      </c>
      <c r="K456" s="148">
        <f>K466+P463+U467</f>
        <v>3973.5614599667006</v>
      </c>
      <c r="L456" s="285">
        <f>P460+U465</f>
        <v>1504.2800000000002</v>
      </c>
      <c r="M456" s="285">
        <f>P460</f>
        <v>197</v>
      </c>
      <c r="N456" s="285">
        <f>U465</f>
        <v>1307.2800000000002</v>
      </c>
      <c r="O456" s="117">
        <f>P475</f>
        <v>3.0220517737296261E-2</v>
      </c>
      <c r="P456" s="117">
        <f>U469</f>
        <v>1.835294117647059</v>
      </c>
      <c r="Q456" s="286">
        <v>0</v>
      </c>
      <c r="R456" s="286">
        <f>K463</f>
        <v>102.26666666666667</v>
      </c>
      <c r="S456" s="286">
        <v>0</v>
      </c>
      <c r="T456" s="148">
        <f>K467+P464+U468</f>
        <v>3714.5592194388719</v>
      </c>
      <c r="U456" s="148">
        <f>P467+U464</f>
        <v>17187.400000000001</v>
      </c>
      <c r="V456" s="148">
        <f>U464</f>
        <v>10592.4</v>
      </c>
      <c r="W456" s="148">
        <f>((PV(DiscountRate, (D468-D469),PMT(DiscountRate, D468, U456))/(1+DiscountRate)^(D469)))</f>
        <v>7398.2044062285731</v>
      </c>
      <c r="X456" s="148">
        <f>((PV(DiscountRate, (D470-D471),PMT(DiscountRate, D470, V456))/(1+DiscountRate)^(D471)))</f>
        <v>6760.0638096312941</v>
      </c>
      <c r="Y456" s="285">
        <f>P461+U466</f>
        <v>1202.6000000000001</v>
      </c>
      <c r="Z456" s="285">
        <f>P461</f>
        <v>197</v>
      </c>
      <c r="AA456" s="285">
        <f>U466</f>
        <v>1005.6000000000001</v>
      </c>
      <c r="AB456" s="117">
        <f>P476</f>
        <v>3.0220517737296261E-2</v>
      </c>
      <c r="AC456" s="117">
        <f>U470</f>
        <v>1.4181818181818182</v>
      </c>
      <c r="AD456" s="286">
        <v>0</v>
      </c>
      <c r="AE456" s="286">
        <f>K464</f>
        <v>96.721311475409834</v>
      </c>
      <c r="AF456" s="287">
        <v>0</v>
      </c>
    </row>
    <row r="457" spans="2:32" x14ac:dyDescent="0.2">
      <c r="B457" s="16"/>
      <c r="C457" s="283" t="s">
        <v>2</v>
      </c>
      <c r="D457" s="62" t="str">
        <f>INDEX(Tbl_BaselineSummary[Equipment ID],MATCH(D455,Tbl_BaselineSummary[Baseline ID],0))</f>
        <v>EQUI034</v>
      </c>
      <c r="E457" s="5"/>
      <c r="F457" s="63" t="s">
        <v>55</v>
      </c>
      <c r="G457" s="68" t="str">
        <f>INDEX(Tbl_EquipmentDefinitions[Natural Gas Baseline Efficiency],MATCH(D457,Tbl_EquipmentDefinitions[Equipment ID],0))</f>
        <v>-</v>
      </c>
      <c r="H457" s="69" t="str">
        <f>INDEX(Tbl_EquipmentDefinitions[Natural Gas Code Efficiency],MATCH(D457,Tbl_EquipmentDefinitions[Equipment ID],0))</f>
        <v>-</v>
      </c>
      <c r="J457" s="5"/>
      <c r="K457" s="5"/>
      <c r="L457" s="5"/>
      <c r="M457" s="5"/>
      <c r="N457" s="5"/>
      <c r="O457" s="5"/>
      <c r="P457" s="5"/>
      <c r="Q457" s="5"/>
      <c r="R457" s="5"/>
      <c r="S457" s="5"/>
      <c r="T457" s="5"/>
      <c r="U457" s="5"/>
      <c r="V457" s="5"/>
      <c r="W457" s="5"/>
      <c r="X457" s="5"/>
      <c r="Y457" s="5"/>
      <c r="Z457" s="5"/>
      <c r="AA457" s="5"/>
      <c r="AB457" s="5"/>
      <c r="AC457" s="5"/>
      <c r="AD457" s="5"/>
      <c r="AE457" s="5"/>
      <c r="AF457" s="51"/>
    </row>
    <row r="458" spans="2:32" ht="12.75" x14ac:dyDescent="0.2">
      <c r="B458" s="16"/>
      <c r="C458" s="283" t="s">
        <v>4</v>
      </c>
      <c r="D458" s="64" t="str">
        <f>INDEX(Tbl_EquipmentDefinitions[Equipment Name],MATCH(D457,Tbl_EquipmentDefinitions[Equipment ID],0))</f>
        <v>Central A/C+Propane Boiler</v>
      </c>
      <c r="E458" s="5"/>
      <c r="F458" s="63" t="s">
        <v>28</v>
      </c>
      <c r="G458" s="70" t="str">
        <f>INDEX(Tbl_EquipmentDefinitions[Propane Baseline Efficiency],MATCH(D457,Tbl_EquipmentDefinitions[Equipment ID],0))</f>
        <v>75% AFUE</v>
      </c>
      <c r="H458" s="68" t="str">
        <f>INDEX(Tbl_EquipmentDefinitions[Propane Code Efficiency],MATCH(D457,Tbl_EquipmentDefinitions[Equipment ID],0))</f>
        <v>82% AFUE (79.3% actual)</v>
      </c>
      <c r="J458" s="78" t="s">
        <v>272</v>
      </c>
      <c r="K458" s="78"/>
      <c r="L458" s="5"/>
      <c r="M458" s="5"/>
      <c r="N458" s="5"/>
      <c r="O458" s="5"/>
      <c r="P458" s="5"/>
      <c r="Q458" s="5"/>
      <c r="R458" s="5"/>
      <c r="S458" s="5"/>
      <c r="X458" s="5"/>
      <c r="Y458" s="5"/>
      <c r="Z458" s="5"/>
      <c r="AA458" s="5"/>
      <c r="AB458" s="5"/>
      <c r="AC458" s="5"/>
      <c r="AD458" s="5"/>
      <c r="AE458" s="5"/>
      <c r="AF458" s="51"/>
    </row>
    <row r="459" spans="2:32" x14ac:dyDescent="0.2">
      <c r="B459" s="16"/>
      <c r="C459" s="283" t="s">
        <v>125</v>
      </c>
      <c r="D459" s="62" t="str">
        <f>INDEX(Tbl_EquipmentDefinitions[Equipment Level],MATCH(D457,Tbl_EquipmentDefinitions[Equipment ID],0))</f>
        <v>Secondary</v>
      </c>
      <c r="E459" s="5"/>
      <c r="F459" s="63" t="s">
        <v>27</v>
      </c>
      <c r="G459" s="68" t="str">
        <f>INDEX(Tbl_EquipmentDefinitions[Oil Baseline Efficiency],MATCH(D457,Tbl_EquipmentDefinitions[Equipment ID],0))</f>
        <v>-</v>
      </c>
      <c r="H459" s="70" t="str">
        <f>INDEX(Tbl_EquipmentDefinitions[Oil Code Efficiency],MATCH(D457,Tbl_EquipmentDefinitions[Equipment ID],0))</f>
        <v>-</v>
      </c>
      <c r="J459" s="5"/>
      <c r="K459" s="5"/>
      <c r="L459" s="5"/>
      <c r="M459" s="5"/>
      <c r="N459" s="5"/>
      <c r="O459" s="5" t="s">
        <v>421</v>
      </c>
      <c r="P459" s="5"/>
      <c r="S459" s="5"/>
      <c r="X459" s="5"/>
      <c r="Y459" s="5"/>
      <c r="Z459" s="5"/>
      <c r="AA459" s="5"/>
      <c r="AB459" s="5"/>
      <c r="AC459" s="5"/>
      <c r="AD459" s="5"/>
      <c r="AF459" s="51"/>
    </row>
    <row r="460" spans="2:32" ht="12.75" x14ac:dyDescent="0.2">
      <c r="B460" s="16"/>
      <c r="C460" s="283" t="s">
        <v>24</v>
      </c>
      <c r="D460" s="64" t="str">
        <f>INDEX(Tbl_EquipmentDefinitions[Function],MATCH(D457,Tbl_EquipmentDefinitions[Equipment ID],0))</f>
        <v>Cool+Heat</v>
      </c>
      <c r="E460" s="5"/>
      <c r="F460" s="5"/>
      <c r="G460" s="5"/>
      <c r="H460" s="5"/>
      <c r="J460" s="115" t="s">
        <v>157</v>
      </c>
      <c r="K460" s="52">
        <v>0.75</v>
      </c>
      <c r="L460" s="5" t="s">
        <v>158</v>
      </c>
      <c r="M460" s="5"/>
      <c r="N460" s="5"/>
      <c r="O460" s="5" t="s">
        <v>420</v>
      </c>
      <c r="P460" s="144">
        <v>197</v>
      </c>
      <c r="Q460" s="5" t="s">
        <v>170</v>
      </c>
      <c r="S460" s="336"/>
      <c r="T460" s="6" t="s">
        <v>279</v>
      </c>
      <c r="X460" s="5"/>
      <c r="Y460" s="5"/>
      <c r="Z460" s="5"/>
      <c r="AA460" s="5"/>
      <c r="AB460" s="5"/>
      <c r="AC460" s="5"/>
      <c r="AD460" s="5"/>
      <c r="AF460" s="51"/>
    </row>
    <row r="461" spans="2:32" ht="12.75" x14ac:dyDescent="0.2">
      <c r="B461" s="16"/>
      <c r="C461" s="283" t="s">
        <v>7</v>
      </c>
      <c r="D461" s="62" t="str">
        <f>INDEX(Tbl_EquipmentDefinitions[Fuel Type],MATCH(D457,Tbl_EquipmentDefinitions[Equipment ID],0))</f>
        <v>Electric+Propane</v>
      </c>
      <c r="E461" s="65"/>
      <c r="F461" s="671" t="s">
        <v>273</v>
      </c>
      <c r="G461" s="672"/>
      <c r="H461" s="672"/>
      <c r="J461" s="115" t="s">
        <v>159</v>
      </c>
      <c r="K461" s="52">
        <v>0.79300000000000004</v>
      </c>
      <c r="L461" s="5" t="s">
        <v>158</v>
      </c>
      <c r="M461" s="5"/>
      <c r="N461" s="5"/>
      <c r="O461" s="5" t="s">
        <v>408</v>
      </c>
      <c r="P461" s="144">
        <v>197</v>
      </c>
      <c r="Q461" s="5" t="s">
        <v>170</v>
      </c>
      <c r="S461" s="336"/>
      <c r="T461" s="6" t="s">
        <v>1506</v>
      </c>
      <c r="X461" s="5"/>
      <c r="Y461" s="5"/>
      <c r="Z461" s="5"/>
      <c r="AA461" s="5"/>
      <c r="AB461" s="5"/>
      <c r="AC461" s="5"/>
      <c r="AD461" s="5"/>
      <c r="AF461" s="51"/>
    </row>
    <row r="462" spans="2:32" x14ac:dyDescent="0.2">
      <c r="B462" s="16"/>
      <c r="C462" s="283" t="s">
        <v>126</v>
      </c>
      <c r="D462" s="64">
        <f>IF(ISERR(SEARCH("+",D461,1)),1,2)</f>
        <v>2</v>
      </c>
      <c r="E462" s="65"/>
      <c r="F462" s="672"/>
      <c r="G462" s="672"/>
      <c r="H462" s="672"/>
      <c r="J462" s="156"/>
      <c r="K462" s="5"/>
      <c r="L462" s="5"/>
      <c r="M462" s="5"/>
      <c r="N462" s="5"/>
      <c r="O462" s="5"/>
      <c r="P462" s="5"/>
      <c r="Q462" s="337"/>
      <c r="S462" s="337"/>
      <c r="T462" s="6" t="s">
        <v>1507</v>
      </c>
      <c r="X462" s="5"/>
      <c r="Y462" s="5"/>
      <c r="Z462" s="5"/>
      <c r="AA462" s="5"/>
      <c r="AB462" s="5"/>
      <c r="AC462" s="5"/>
      <c r="AD462" s="5"/>
      <c r="AF462" s="51"/>
    </row>
    <row r="463" spans="2:32" ht="12.75" x14ac:dyDescent="0.2">
      <c r="B463" s="16"/>
      <c r="C463" s="284"/>
      <c r="D463" s="5"/>
      <c r="E463" s="5"/>
      <c r="F463" s="672"/>
      <c r="G463" s="672"/>
      <c r="H463" s="672"/>
      <c r="J463" s="115" t="s">
        <v>334</v>
      </c>
      <c r="K463" s="56">
        <f>$D$464/K460</f>
        <v>102.26666666666667</v>
      </c>
      <c r="L463" s="5" t="s">
        <v>156</v>
      </c>
      <c r="M463" s="5"/>
      <c r="N463" s="5"/>
      <c r="O463" s="55" t="s">
        <v>256</v>
      </c>
      <c r="P463" s="57">
        <f>P460*PRICE_PER_KWH_2018_ELECTRICITY</f>
        <v>38.9666</v>
      </c>
      <c r="Q463" s="5" t="s">
        <v>164</v>
      </c>
      <c r="S463" s="5"/>
      <c r="T463" s="6" t="s">
        <v>1494</v>
      </c>
      <c r="X463" s="5"/>
      <c r="Y463" s="5"/>
      <c r="Z463" s="5"/>
      <c r="AA463" s="5"/>
      <c r="AB463" s="5"/>
      <c r="AC463" s="5"/>
      <c r="AD463" s="5"/>
      <c r="AF463" s="51"/>
    </row>
    <row r="464" spans="2:32" ht="12.75" x14ac:dyDescent="0.2">
      <c r="B464" s="16"/>
      <c r="C464" s="283" t="s">
        <v>155</v>
      </c>
      <c r="D464" s="62">
        <f>INDEX(Tbl_BaselineSummary[Space Heating Load (MMBtu/yr)],MATCH(D455,Tbl_BaselineSummary[Baseline ID],0))</f>
        <v>76.7</v>
      </c>
      <c r="E464" s="5" t="s">
        <v>156</v>
      </c>
      <c r="F464" s="672"/>
      <c r="G464" s="672"/>
      <c r="H464" s="672"/>
      <c r="J464" s="115" t="s">
        <v>384</v>
      </c>
      <c r="K464" s="56">
        <f>$D$464/K461</f>
        <v>96.721311475409834</v>
      </c>
      <c r="L464" s="5" t="s">
        <v>156</v>
      </c>
      <c r="M464" s="5"/>
      <c r="N464" s="5"/>
      <c r="O464" s="55" t="s">
        <v>257</v>
      </c>
      <c r="P464" s="57">
        <f>P461*PRICE_PER_KWH_2018_ELECTRICITY</f>
        <v>38.9666</v>
      </c>
      <c r="Q464" s="5" t="s">
        <v>164</v>
      </c>
      <c r="S464" s="5"/>
      <c r="T464" s="154" t="s">
        <v>1440</v>
      </c>
      <c r="U464" s="406">
        <f>ACBASE_CAC_INSTALL_COST</f>
        <v>10592.4</v>
      </c>
      <c r="V464" s="5" t="s">
        <v>164</v>
      </c>
      <c r="X464" s="5"/>
      <c r="Y464" s="5"/>
      <c r="Z464" s="5"/>
      <c r="AA464" s="5"/>
      <c r="AB464" s="5"/>
      <c r="AC464" s="5"/>
      <c r="AD464" s="5"/>
      <c r="AF464" s="51"/>
    </row>
    <row r="465" spans="2:32" ht="12.75" x14ac:dyDescent="0.2">
      <c r="B465" s="16"/>
      <c r="C465" s="283" t="s">
        <v>167</v>
      </c>
      <c r="D465" s="62">
        <f>INDEX(Tbl_BaselineSummary[Space Cooling Load (MMBtu/yr)],MATCH(D455,Tbl_BaselineSummary[Baseline ID],0))</f>
        <v>13.072800000000001</v>
      </c>
      <c r="E465" s="5" t="s">
        <v>156</v>
      </c>
      <c r="F465" s="672"/>
      <c r="G465" s="672"/>
      <c r="H465" s="672"/>
      <c r="J465" s="156"/>
      <c r="K465" s="5"/>
      <c r="L465" s="5"/>
      <c r="M465" s="5"/>
      <c r="N465" s="5"/>
      <c r="T465" s="154" t="s">
        <v>1501</v>
      </c>
      <c r="U465" s="288">
        <f>ACBASE_CAC_BASE_KWH</f>
        <v>1307.2800000000002</v>
      </c>
      <c r="V465" s="6" t="s">
        <v>170</v>
      </c>
      <c r="X465" s="5"/>
      <c r="Y465" s="5"/>
      <c r="Z465" s="5"/>
      <c r="AA465" s="5"/>
      <c r="AB465" s="5"/>
      <c r="AC465" s="5"/>
      <c r="AD465" s="5"/>
      <c r="AF465" s="51"/>
    </row>
    <row r="466" spans="2:32" ht="12.75" x14ac:dyDescent="0.2">
      <c r="B466" s="16"/>
      <c r="C466" s="283" t="s">
        <v>244</v>
      </c>
      <c r="D466" s="62">
        <f>INDEX(Tbl_BaselineSummary[Water Heating Load (MMBtu/yr)],MATCH(D455,Tbl_BaselineSummary[Baseline ID],0))</f>
        <v>11.3</v>
      </c>
      <c r="E466" s="5" t="s">
        <v>156</v>
      </c>
      <c r="F466" s="672"/>
      <c r="G466" s="672"/>
      <c r="H466" s="672"/>
      <c r="J466" s="115" t="s">
        <v>313</v>
      </c>
      <c r="K466" s="292">
        <f>K463*PRICE_PER_MMBTU_2018_PROPANE</f>
        <v>3676.0148759667004</v>
      </c>
      <c r="L466" s="5" t="s">
        <v>164</v>
      </c>
      <c r="M466" s="5"/>
      <c r="N466" s="5"/>
      <c r="O466" s="5" t="s">
        <v>429</v>
      </c>
      <c r="S466" s="5"/>
      <c r="T466" s="154" t="s">
        <v>1502</v>
      </c>
      <c r="U466" s="288">
        <f>ACBASE_CAC_CODE_KWH</f>
        <v>1005.6000000000001</v>
      </c>
      <c r="V466" s="6" t="s">
        <v>170</v>
      </c>
      <c r="X466" s="5"/>
      <c r="Y466" s="5"/>
      <c r="Z466" s="5"/>
      <c r="AA466" s="5"/>
      <c r="AB466" s="5"/>
      <c r="AC466" s="5"/>
      <c r="AD466" s="5"/>
      <c r="AF466" s="51"/>
    </row>
    <row r="467" spans="2:32" ht="12.75" x14ac:dyDescent="0.2">
      <c r="B467" s="16"/>
      <c r="C467" s="284"/>
      <c r="D467" s="5"/>
      <c r="E467" s="5"/>
      <c r="F467" s="5"/>
      <c r="G467" s="5"/>
      <c r="H467" s="5"/>
      <c r="J467" s="115" t="s">
        <v>314</v>
      </c>
      <c r="K467" s="292">
        <f>K464*PRICE_PER_MMBTU_2018_PROPANE</f>
        <v>3476.6849394388719</v>
      </c>
      <c r="L467" s="5" t="s">
        <v>164</v>
      </c>
      <c r="M467" s="5"/>
      <c r="N467" s="5"/>
      <c r="O467" s="155" t="s">
        <v>451</v>
      </c>
      <c r="P467" s="147">
        <v>6595</v>
      </c>
      <c r="Q467" s="5" t="s">
        <v>164</v>
      </c>
      <c r="S467" s="5"/>
      <c r="T467" s="154" t="s">
        <v>1503</v>
      </c>
      <c r="U467" s="42">
        <f>ACBASE_CAC_BASE_OP_COST</f>
        <v>258.57998400000002</v>
      </c>
      <c r="V467" s="6" t="s">
        <v>164</v>
      </c>
      <c r="X467" s="5"/>
      <c r="Y467" s="5"/>
      <c r="Z467" s="5"/>
      <c r="AA467" s="5"/>
      <c r="AB467" s="5"/>
      <c r="AC467" s="5"/>
      <c r="AD467" s="5"/>
      <c r="AF467" s="51"/>
    </row>
    <row r="468" spans="2:32" ht="12.75" x14ac:dyDescent="0.2">
      <c r="B468" s="16"/>
      <c r="C468" s="283" t="s">
        <v>635</v>
      </c>
      <c r="D468" s="62">
        <f>INDEX(Tbl_EquipmentDefinitions[New Unit Equipment Life (years)],MATCH('Baseline Calculations'!D457,Tbl_EquipmentDefinitions[Equipment ID],0))</f>
        <v>20</v>
      </c>
      <c r="E468" s="188" t="s">
        <v>376</v>
      </c>
      <c r="F468" s="5"/>
      <c r="G468" s="5"/>
      <c r="H468" s="5"/>
      <c r="T468" s="154" t="s">
        <v>1504</v>
      </c>
      <c r="U468" s="42">
        <f>ACBASE_CAC_CODE_OP_COST</f>
        <v>198.90768000000003</v>
      </c>
      <c r="V468" s="6" t="s">
        <v>164</v>
      </c>
      <c r="X468" s="5"/>
      <c r="Y468" s="5"/>
      <c r="Z468" s="5"/>
      <c r="AA468" s="5"/>
      <c r="AB468" s="5"/>
      <c r="AC468" s="5"/>
      <c r="AD468" s="5"/>
      <c r="AF468" s="51"/>
    </row>
    <row r="469" spans="2:32" ht="12.75" x14ac:dyDescent="0.2">
      <c r="B469" s="16"/>
      <c r="C469" s="283" t="s">
        <v>636</v>
      </c>
      <c r="D469" s="62">
        <f>INDEX(Tbl_EquipmentDefinitions[Remaining Life for Early Replacement (years)],MATCH('Baseline Calculations'!D457,Tbl_EquipmentDefinitions[Equipment ID],0))</f>
        <v>10</v>
      </c>
      <c r="E469" s="188" t="s">
        <v>376</v>
      </c>
      <c r="F469" s="5"/>
      <c r="G469" s="5"/>
      <c r="H469" s="5"/>
      <c r="O469" s="6" t="s">
        <v>423</v>
      </c>
      <c r="T469" s="154" t="s">
        <v>742</v>
      </c>
      <c r="U469" s="37">
        <f>ACBASE_CAC_BASE_KW_DEMAND</f>
        <v>1.835294117647059</v>
      </c>
      <c r="V469" s="6" t="s">
        <v>176</v>
      </c>
      <c r="X469" s="5"/>
      <c r="Y469" s="5"/>
      <c r="Z469" s="5"/>
      <c r="AA469" s="5"/>
      <c r="AB469" s="5"/>
      <c r="AC469" s="5"/>
      <c r="AD469" s="5"/>
      <c r="AF469" s="51"/>
    </row>
    <row r="470" spans="2:32" s="5" customFormat="1" ht="12.75" x14ac:dyDescent="0.2">
      <c r="B470" s="16"/>
      <c r="C470" s="283" t="s">
        <v>909</v>
      </c>
      <c r="D470" s="62">
        <f>INDEX(Tbl_EquipmentDefinitions[A/C Life (years)],MATCH('Baseline Calculations'!D457,Tbl_EquipmentDefinitions[Equipment ID],0))</f>
        <v>16</v>
      </c>
      <c r="E470" s="188" t="s">
        <v>376</v>
      </c>
      <c r="O470" s="155" t="s">
        <v>422</v>
      </c>
      <c r="P470" s="146">
        <f>AVERAGE(530,984,1329,1329)</f>
        <v>1043</v>
      </c>
      <c r="Q470" s="6" t="s">
        <v>397</v>
      </c>
      <c r="T470" s="154" t="s">
        <v>743</v>
      </c>
      <c r="U470" s="37">
        <f>ACBASE_CAC_CODE_KW_DEMAND</f>
        <v>1.4181818181818182</v>
      </c>
      <c r="V470" s="6" t="s">
        <v>176</v>
      </c>
      <c r="AF470" s="51"/>
    </row>
    <row r="471" spans="2:32" s="5" customFormat="1" x14ac:dyDescent="0.2">
      <c r="B471" s="16"/>
      <c r="C471" s="283" t="s">
        <v>908</v>
      </c>
      <c r="D471" s="62">
        <f>INDEX(Tbl_EquipmentDefinitions[Remaining A/C Life for Early Replacement (years)],MATCH('Baseline Calculations'!D457,Tbl_EquipmentDefinitions[Equipment ID],0))</f>
        <v>5</v>
      </c>
      <c r="E471" s="188" t="s">
        <v>376</v>
      </c>
      <c r="O471" s="6"/>
      <c r="P471" s="6"/>
      <c r="Q471" s="6"/>
      <c r="AF471" s="51"/>
    </row>
    <row r="472" spans="2:32" s="5" customFormat="1" x14ac:dyDescent="0.2">
      <c r="B472" s="16"/>
      <c r="C472" s="50"/>
      <c r="O472" s="6" t="s">
        <v>740</v>
      </c>
      <c r="P472" s="6"/>
      <c r="Q472" s="6"/>
      <c r="AF472" s="51"/>
    </row>
    <row r="473" spans="2:32" s="5" customFormat="1" x14ac:dyDescent="0.2">
      <c r="B473" s="16"/>
      <c r="C473" s="50"/>
      <c r="O473" s="155" t="s">
        <v>739</v>
      </c>
      <c r="P473" s="146">
        <v>0.16</v>
      </c>
      <c r="Q473" s="6"/>
      <c r="AF473" s="51"/>
    </row>
    <row r="474" spans="2:32" s="5" customFormat="1" x14ac:dyDescent="0.2">
      <c r="B474" s="16"/>
      <c r="C474" s="50"/>
      <c r="O474" s="6"/>
      <c r="P474" s="6"/>
      <c r="Q474" s="6"/>
      <c r="AF474" s="51"/>
    </row>
    <row r="475" spans="2:32" s="5" customFormat="1" x14ac:dyDescent="0.2">
      <c r="B475" s="16"/>
      <c r="C475" s="50"/>
      <c r="O475" s="156" t="s">
        <v>744</v>
      </c>
      <c r="P475" s="145">
        <f>P473*P460/P470</f>
        <v>3.0220517737296261E-2</v>
      </c>
      <c r="Q475" s="5" t="s">
        <v>176</v>
      </c>
      <c r="AF475" s="51"/>
    </row>
    <row r="476" spans="2:32" s="5" customFormat="1" x14ac:dyDescent="0.2">
      <c r="B476" s="16"/>
      <c r="C476" s="50"/>
      <c r="O476" s="156" t="s">
        <v>745</v>
      </c>
      <c r="P476" s="145">
        <f>P473*P461/P470</f>
        <v>3.0220517737296261E-2</v>
      </c>
      <c r="Q476" s="5" t="s">
        <v>176</v>
      </c>
      <c r="AF476" s="51"/>
    </row>
    <row r="477" spans="2:32" s="5" customFormat="1" x14ac:dyDescent="0.2">
      <c r="B477" s="16"/>
      <c r="C477" s="58"/>
      <c r="D477" s="59"/>
      <c r="E477" s="59"/>
      <c r="F477" s="59"/>
      <c r="G477" s="59"/>
      <c r="H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60"/>
    </row>
    <row r="478" spans="2:32" ht="11.25" customHeight="1" x14ac:dyDescent="0.2">
      <c r="B478" s="16"/>
      <c r="D478" s="5"/>
      <c r="E478" s="5"/>
      <c r="AB478" s="5"/>
      <c r="AC478" s="5"/>
      <c r="AD478" s="5"/>
      <c r="AE478" s="5"/>
    </row>
    <row r="479" spans="2:32" ht="15.75" thickBot="1" x14ac:dyDescent="0.25">
      <c r="B479" s="16"/>
      <c r="C479" s="74" t="s">
        <v>270</v>
      </c>
      <c r="D479" s="75"/>
      <c r="E479" s="75"/>
      <c r="F479" s="75"/>
      <c r="G479" s="75"/>
      <c r="H479" s="75"/>
      <c r="J479" s="75" t="s">
        <v>271</v>
      </c>
      <c r="K479" s="75"/>
      <c r="L479" s="48"/>
      <c r="M479" s="48"/>
      <c r="N479" s="48"/>
      <c r="O479" s="48"/>
      <c r="P479" s="48"/>
      <c r="Q479" s="48"/>
      <c r="R479" s="48"/>
      <c r="S479" s="48"/>
      <c r="T479" s="48"/>
      <c r="U479" s="48"/>
      <c r="V479" s="48"/>
      <c r="W479" s="48"/>
      <c r="X479" s="48"/>
      <c r="Y479" s="48"/>
      <c r="Z479" s="48"/>
      <c r="AA479" s="48"/>
      <c r="AB479" s="48"/>
      <c r="AC479" s="48"/>
      <c r="AD479" s="48"/>
      <c r="AE479" s="48"/>
      <c r="AF479" s="49"/>
    </row>
    <row r="480" spans="2:32" ht="3.75" customHeight="1" x14ac:dyDescent="0.2">
      <c r="B480" s="16"/>
      <c r="C480" s="50"/>
      <c r="D480" s="5"/>
      <c r="E480" s="5"/>
      <c r="F480" s="5"/>
      <c r="G480" s="5"/>
      <c r="H480" s="5"/>
      <c r="J480" s="5"/>
      <c r="K480" s="5"/>
      <c r="L480" s="5"/>
      <c r="M480" s="5"/>
      <c r="N480" s="5"/>
      <c r="O480" s="5"/>
      <c r="P480" s="5"/>
      <c r="Q480" s="5"/>
      <c r="R480" s="5"/>
      <c r="S480" s="5"/>
      <c r="T480" s="5"/>
      <c r="U480" s="5"/>
      <c r="V480" s="5"/>
      <c r="W480" s="5"/>
      <c r="X480" s="5"/>
      <c r="Y480" s="5"/>
      <c r="Z480" s="5"/>
      <c r="AA480" s="5"/>
      <c r="AB480" s="5"/>
      <c r="AC480" s="5"/>
      <c r="AD480" s="5"/>
      <c r="AE480" s="5"/>
      <c r="AF480" s="51"/>
    </row>
    <row r="481" spans="2:32" ht="34.5" thickBot="1" x14ac:dyDescent="0.25">
      <c r="B481" s="16"/>
      <c r="C481" s="76" t="s">
        <v>249</v>
      </c>
      <c r="D481" s="81" t="s">
        <v>936</v>
      </c>
      <c r="E481" s="71"/>
      <c r="F481" s="66" t="s">
        <v>260</v>
      </c>
      <c r="G481" s="66" t="s">
        <v>5</v>
      </c>
      <c r="H481" s="66" t="s">
        <v>6</v>
      </c>
      <c r="J481" s="66" t="s">
        <v>127</v>
      </c>
      <c r="K481" s="72" t="s">
        <v>261</v>
      </c>
      <c r="L481" s="72" t="s">
        <v>262</v>
      </c>
      <c r="M481" s="72" t="s">
        <v>1455</v>
      </c>
      <c r="N481" s="72" t="s">
        <v>1456</v>
      </c>
      <c r="O481" s="72" t="s">
        <v>963</v>
      </c>
      <c r="P481" s="72" t="s">
        <v>974</v>
      </c>
      <c r="Q481" s="72" t="s">
        <v>263</v>
      </c>
      <c r="R481" s="72" t="s">
        <v>264</v>
      </c>
      <c r="S481" s="72" t="s">
        <v>265</v>
      </c>
      <c r="T481" s="72" t="s">
        <v>280</v>
      </c>
      <c r="U481" s="72" t="s">
        <v>200</v>
      </c>
      <c r="V481" s="72" t="s">
        <v>753</v>
      </c>
      <c r="W481" s="72" t="s">
        <v>634</v>
      </c>
      <c r="X481" s="72" t="s">
        <v>754</v>
      </c>
      <c r="Y481" s="72" t="s">
        <v>266</v>
      </c>
      <c r="Z481" s="72" t="s">
        <v>1457</v>
      </c>
      <c r="AA481" s="72" t="s">
        <v>1458</v>
      </c>
      <c r="AB481" s="72" t="s">
        <v>964</v>
      </c>
      <c r="AC481" s="72" t="s">
        <v>975</v>
      </c>
      <c r="AD481" s="72" t="s">
        <v>267</v>
      </c>
      <c r="AE481" s="72" t="s">
        <v>268</v>
      </c>
      <c r="AF481" s="77" t="s">
        <v>269</v>
      </c>
    </row>
    <row r="482" spans="2:32" x14ac:dyDescent="0.2">
      <c r="B482" s="16"/>
      <c r="C482" s="61"/>
      <c r="D482" s="5"/>
      <c r="E482" s="5"/>
      <c r="F482" s="63" t="s">
        <v>178</v>
      </c>
      <c r="G482" s="67" t="str">
        <f>INDEX(Tbl_EquipmentDefinitions[Electricity Baseline Efficiency],MATCH(D483,Tbl_EquipmentDefinitions[Equipment ID],0))</f>
        <v>8 EER</v>
      </c>
      <c r="H482" s="68" t="str">
        <f>INDEX(Tbl_EquipmentDefinitions[Electricity Code Efficiency],MATCH(D483,Tbl_EquipmentDefinitions[Equipment ID],0))</f>
        <v>10 EER</v>
      </c>
      <c r="J482" s="63" t="str">
        <f>D481</f>
        <v>BASE20</v>
      </c>
      <c r="K482" s="148">
        <f>K492+P489+Z493</f>
        <v>2629.7287980291785</v>
      </c>
      <c r="L482" s="285">
        <f>P486+Z491</f>
        <v>1682.521739130435</v>
      </c>
      <c r="M482" s="285">
        <f>P486</f>
        <v>230</v>
      </c>
      <c r="N482" s="285">
        <f>Z491</f>
        <v>1452.521739130435</v>
      </c>
      <c r="O482" s="117">
        <f>U494</f>
        <v>3.5282837967401733E-2</v>
      </c>
      <c r="P482" s="117">
        <f>Z495</f>
        <v>1.9200000000000002</v>
      </c>
      <c r="Q482" s="286">
        <v>0</v>
      </c>
      <c r="R482" s="286">
        <v>0</v>
      </c>
      <c r="S482" s="286">
        <f>K489</f>
        <v>102.26666666666667</v>
      </c>
      <c r="T482" s="148">
        <f>K493+P490+Z494</f>
        <v>2326.1678239546236</v>
      </c>
      <c r="U482" s="148">
        <f>U486+Z490</f>
        <v>7700.782608695652</v>
      </c>
      <c r="V482" s="148">
        <f>Z490</f>
        <v>834.78260869565224</v>
      </c>
      <c r="W482" s="148">
        <f>((PV(DiscountRate, (D494-D495),PMT(DiscountRate, D494, (U482-V482)))/(1+DiscountRate)^(D495)))+((PV(DiscountRate, (D497-D498),PMT(DiscountRate, D497, V482))/(1+DiscountRate)^(D498)))</f>
        <v>3496.2245592483241</v>
      </c>
      <c r="X482" s="148">
        <f>((PV(DiscountRate, (D497-D498),PMT(DiscountRate, D497, V482))/(1+DiscountRate)^(D498)))</f>
        <v>540.79957040967588</v>
      </c>
      <c r="Y482" s="285">
        <f>P487+Z492</f>
        <v>1392.0173913043479</v>
      </c>
      <c r="Z482" s="285">
        <f>P487</f>
        <v>230</v>
      </c>
      <c r="AA482" s="285">
        <f>Z492</f>
        <v>1162.0173913043479</v>
      </c>
      <c r="AB482" s="117">
        <f>U495</f>
        <v>3.5282837967401733E-2</v>
      </c>
      <c r="AC482" s="117">
        <f>Z496</f>
        <v>1.5360000000000005</v>
      </c>
      <c r="AD482" s="286">
        <v>0</v>
      </c>
      <c r="AE482" s="286">
        <v>0</v>
      </c>
      <c r="AF482" s="287">
        <f>K490</f>
        <v>91.30952380952381</v>
      </c>
    </row>
    <row r="483" spans="2:32" x14ac:dyDescent="0.2">
      <c r="B483" s="16"/>
      <c r="C483" s="283" t="s">
        <v>2</v>
      </c>
      <c r="D483" s="62" t="str">
        <f>INDEX(Tbl_BaselineSummary[Equipment ID],MATCH(D481,Tbl_BaselineSummary[Baseline ID],0))</f>
        <v>EQUI036</v>
      </c>
      <c r="E483" s="5"/>
      <c r="F483" s="63" t="s">
        <v>55</v>
      </c>
      <c r="G483" s="68" t="str">
        <f>INDEX(Tbl_EquipmentDefinitions[Natural Gas Baseline Efficiency],MATCH(D483,Tbl_EquipmentDefinitions[Equipment ID],0))</f>
        <v>-</v>
      </c>
      <c r="H483" s="69" t="str">
        <f>INDEX(Tbl_EquipmentDefinitions[Natural Gas Code Efficiency],MATCH(D483,Tbl_EquipmentDefinitions[Equipment ID],0))</f>
        <v>-</v>
      </c>
      <c r="J483" s="5"/>
      <c r="K483" s="5"/>
      <c r="L483" s="5"/>
      <c r="M483" s="5"/>
      <c r="N483" s="5"/>
      <c r="O483" s="5"/>
      <c r="P483" s="5"/>
      <c r="Q483" s="5"/>
      <c r="R483" s="5"/>
      <c r="S483" s="5"/>
      <c r="T483" s="5"/>
      <c r="U483" s="5"/>
      <c r="V483" s="5"/>
      <c r="W483" s="5"/>
      <c r="X483" s="5"/>
      <c r="Y483" s="5"/>
      <c r="Z483" s="5"/>
      <c r="AA483" s="5"/>
      <c r="AB483" s="5"/>
      <c r="AC483" s="5"/>
      <c r="AD483" s="5"/>
      <c r="AE483" s="5"/>
      <c r="AF483" s="51"/>
    </row>
    <row r="484" spans="2:32" ht="12.75" x14ac:dyDescent="0.2">
      <c r="B484" s="16"/>
      <c r="C484" s="283" t="s">
        <v>4</v>
      </c>
      <c r="D484" s="64" t="str">
        <f>INDEX(Tbl_EquipmentDefinitions[Equipment Name],MATCH(D483,Tbl_EquipmentDefinitions[Equipment ID],0))</f>
        <v>Room AC/No AC Blend+Oil Boiler</v>
      </c>
      <c r="E484" s="5"/>
      <c r="F484" s="63" t="s">
        <v>28</v>
      </c>
      <c r="G484" s="70" t="str">
        <f>INDEX(Tbl_EquipmentDefinitions[Propane Baseline Efficiency],MATCH(D483,Tbl_EquipmentDefinitions[Equipment ID],0))</f>
        <v>-</v>
      </c>
      <c r="H484" s="68" t="str">
        <f>INDEX(Tbl_EquipmentDefinitions[Propane Code Efficiency],MATCH(D483,Tbl_EquipmentDefinitions[Equipment ID],0))</f>
        <v>-</v>
      </c>
      <c r="J484" s="78" t="s">
        <v>272</v>
      </c>
      <c r="K484" s="78"/>
      <c r="L484" s="5"/>
      <c r="M484" s="5"/>
      <c r="N484" s="5"/>
      <c r="O484" s="5"/>
      <c r="P484" s="5"/>
      <c r="Q484" s="5"/>
      <c r="R484" s="5"/>
      <c r="S484" s="5"/>
      <c r="T484" s="5"/>
      <c r="U484" s="5"/>
      <c r="V484" s="5"/>
      <c r="W484" s="5"/>
    </row>
    <row r="485" spans="2:32" x14ac:dyDescent="0.2">
      <c r="B485" s="16"/>
      <c r="C485" s="283" t="s">
        <v>125</v>
      </c>
      <c r="D485" s="62" t="str">
        <f>INDEX(Tbl_EquipmentDefinitions[Equipment Level],MATCH(D483,Tbl_EquipmentDefinitions[Equipment ID],0))</f>
        <v>Secondary</v>
      </c>
      <c r="E485" s="5"/>
      <c r="F485" s="63" t="s">
        <v>27</v>
      </c>
      <c r="G485" s="68" t="str">
        <f>INDEX(Tbl_EquipmentDefinitions[Oil Baseline Efficiency],MATCH(D483,Tbl_EquipmentDefinitions[Equipment ID],0))</f>
        <v>75% AFUE</v>
      </c>
      <c r="H485" s="70" t="str">
        <f>INDEX(Tbl_EquipmentDefinitions[Oil Code Efficiency],MATCH(D483,Tbl_EquipmentDefinitions[Equipment ID],0))</f>
        <v>84% AFUE</v>
      </c>
      <c r="J485" s="5"/>
      <c r="K485" s="5"/>
      <c r="L485" s="5"/>
      <c r="M485" s="5"/>
      <c r="N485" s="5"/>
      <c r="O485" s="5" t="s">
        <v>421</v>
      </c>
      <c r="P485" s="5"/>
      <c r="T485" s="5" t="s">
        <v>845</v>
      </c>
    </row>
    <row r="486" spans="2:32" ht="12.75" x14ac:dyDescent="0.2">
      <c r="B486" s="16"/>
      <c r="C486" s="283" t="s">
        <v>24</v>
      </c>
      <c r="D486" s="64" t="str">
        <f>INDEX(Tbl_EquipmentDefinitions[Function],MATCH(D483,Tbl_EquipmentDefinitions[Equipment ID],0))</f>
        <v>Cool+Heat</v>
      </c>
      <c r="E486" s="5"/>
      <c r="F486" s="5"/>
      <c r="G486" s="5"/>
      <c r="H486" s="5"/>
      <c r="J486" s="115" t="s">
        <v>157</v>
      </c>
      <c r="K486" s="52">
        <v>0.75</v>
      </c>
      <c r="L486" s="5" t="s">
        <v>158</v>
      </c>
      <c r="M486" s="5"/>
      <c r="N486" s="5"/>
      <c r="O486" s="5" t="s">
        <v>420</v>
      </c>
      <c r="P486" s="144">
        <v>230</v>
      </c>
      <c r="Q486" s="5" t="s">
        <v>170</v>
      </c>
      <c r="S486" s="5"/>
      <c r="T486" s="5" t="s">
        <v>428</v>
      </c>
      <c r="U486" s="147">
        <v>6866</v>
      </c>
      <c r="V486" s="5" t="s">
        <v>164</v>
      </c>
      <c r="W486" s="5"/>
      <c r="Y486" s="6" t="s">
        <v>279</v>
      </c>
    </row>
    <row r="487" spans="2:32" ht="12.75" x14ac:dyDescent="0.2">
      <c r="B487" s="16"/>
      <c r="C487" s="283" t="s">
        <v>7</v>
      </c>
      <c r="D487" s="62" t="str">
        <f>INDEX(Tbl_EquipmentDefinitions[Fuel Type],MATCH(D483,Tbl_EquipmentDefinitions[Equipment ID],0))</f>
        <v>Electric+Oil</v>
      </c>
      <c r="E487" s="65"/>
      <c r="F487" s="671" t="s">
        <v>273</v>
      </c>
      <c r="G487" s="672"/>
      <c r="H487" s="672"/>
      <c r="J487" s="115" t="s">
        <v>159</v>
      </c>
      <c r="K487" s="52">
        <v>0.84</v>
      </c>
      <c r="L487" s="5" t="s">
        <v>158</v>
      </c>
      <c r="M487" s="5"/>
      <c r="N487" s="5"/>
      <c r="O487" s="5" t="s">
        <v>408</v>
      </c>
      <c r="P487" s="144">
        <v>230</v>
      </c>
      <c r="Q487" s="5" t="s">
        <v>170</v>
      </c>
      <c r="S487" s="376"/>
      <c r="Y487" s="6" t="s">
        <v>1508</v>
      </c>
    </row>
    <row r="488" spans="2:32" x14ac:dyDescent="0.2">
      <c r="B488" s="16"/>
      <c r="C488" s="283" t="s">
        <v>126</v>
      </c>
      <c r="D488" s="64">
        <f>IF(ISERR(SEARCH("+",D487,1)),1,2)</f>
        <v>2</v>
      </c>
      <c r="E488" s="65"/>
      <c r="F488" s="672"/>
      <c r="G488" s="672"/>
      <c r="H488" s="672"/>
      <c r="J488" s="156"/>
      <c r="K488" s="5"/>
      <c r="L488" s="5"/>
      <c r="M488" s="5"/>
      <c r="N488" s="5"/>
      <c r="O488" s="5"/>
      <c r="P488" s="5"/>
      <c r="Q488" s="376"/>
      <c r="T488" s="6" t="s">
        <v>423</v>
      </c>
      <c r="Y488" s="6" t="s">
        <v>1493</v>
      </c>
    </row>
    <row r="489" spans="2:32" ht="12.75" x14ac:dyDescent="0.2">
      <c r="B489" s="16"/>
      <c r="C489" s="284"/>
      <c r="D489" s="5"/>
      <c r="E489" s="5"/>
      <c r="F489" s="672"/>
      <c r="G489" s="672"/>
      <c r="H489" s="672"/>
      <c r="J489" s="115" t="s">
        <v>353</v>
      </c>
      <c r="K489" s="56">
        <f>$D$490/K486</f>
        <v>102.26666666666667</v>
      </c>
      <c r="L489" s="5" t="s">
        <v>156</v>
      </c>
      <c r="M489" s="5"/>
      <c r="N489" s="5"/>
      <c r="O489" s="55" t="s">
        <v>426</v>
      </c>
      <c r="P489" s="57">
        <f>P486*PRICE_PER_KWH_2018_ELECTRICITY</f>
        <v>45.494</v>
      </c>
      <c r="Q489" s="5" t="s">
        <v>164</v>
      </c>
      <c r="T489" s="156" t="s">
        <v>422</v>
      </c>
      <c r="U489" s="146">
        <f>AVERAGE(530,984,1329,1329)</f>
        <v>1043</v>
      </c>
      <c r="V489" s="6" t="s">
        <v>397</v>
      </c>
      <c r="Y489" s="6" t="s">
        <v>1494</v>
      </c>
    </row>
    <row r="490" spans="2:32" ht="12.75" x14ac:dyDescent="0.2">
      <c r="B490" s="16"/>
      <c r="C490" s="283" t="s">
        <v>155</v>
      </c>
      <c r="D490" s="62">
        <f>INDEX(Tbl_BaselineSummary[Space Heating Load (MMBtu/yr)],MATCH(D481,Tbl_BaselineSummary[Baseline ID],0))</f>
        <v>76.7</v>
      </c>
      <c r="E490" s="5" t="s">
        <v>156</v>
      </c>
      <c r="F490" s="672"/>
      <c r="G490" s="672"/>
      <c r="H490" s="672"/>
      <c r="J490" s="115" t="s">
        <v>385</v>
      </c>
      <c r="K490" s="56">
        <f>$D$490/K487</f>
        <v>91.30952380952381</v>
      </c>
      <c r="L490" s="5" t="s">
        <v>156</v>
      </c>
      <c r="M490" s="5"/>
      <c r="N490" s="5"/>
      <c r="O490" s="55" t="s">
        <v>427</v>
      </c>
      <c r="P490" s="57">
        <f>P487*PRICE_PER_KWH_2018_ELECTRICITY</f>
        <v>45.494</v>
      </c>
      <c r="Q490" s="5" t="s">
        <v>164</v>
      </c>
      <c r="Y490" s="154" t="s">
        <v>1440</v>
      </c>
      <c r="Z490" s="406">
        <f>ACBASE2_INSTALL_COST</f>
        <v>834.78260869565224</v>
      </c>
      <c r="AA490" s="5" t="s">
        <v>164</v>
      </c>
    </row>
    <row r="491" spans="2:32" ht="12.75" x14ac:dyDescent="0.2">
      <c r="B491" s="16"/>
      <c r="C491" s="283" t="s">
        <v>167</v>
      </c>
      <c r="D491" s="62">
        <f>INDEX(Tbl_BaselineSummary[Space Cooling Load (MMBtu/yr)],MATCH(D481,Tbl_BaselineSummary[Baseline ID],0))</f>
        <v>13.072800000000001</v>
      </c>
      <c r="E491" s="5" t="s">
        <v>156</v>
      </c>
      <c r="F491" s="672"/>
      <c r="G491" s="672"/>
      <c r="H491" s="672"/>
      <c r="J491" s="156"/>
      <c r="K491" s="5"/>
      <c r="L491" s="5"/>
      <c r="M491" s="5"/>
      <c r="N491" s="5"/>
      <c r="S491" s="5"/>
      <c r="T491" s="6" t="s">
        <v>740</v>
      </c>
      <c r="Y491" s="154" t="s">
        <v>1501</v>
      </c>
      <c r="Z491" s="288">
        <f>ACBASE2_BASE_KWH</f>
        <v>1452.521739130435</v>
      </c>
      <c r="AA491" s="6" t="s">
        <v>170</v>
      </c>
    </row>
    <row r="492" spans="2:32" ht="12.75" x14ac:dyDescent="0.2">
      <c r="B492" s="16"/>
      <c r="C492" s="283" t="s">
        <v>244</v>
      </c>
      <c r="D492" s="62">
        <f>INDEX(Tbl_BaselineSummary[Water Heating Load (MMBtu/yr)],MATCH(D481,Tbl_BaselineSummary[Baseline ID],0))</f>
        <v>13.9</v>
      </c>
      <c r="E492" s="5" t="s">
        <v>156</v>
      </c>
      <c r="F492" s="672"/>
      <c r="G492" s="672"/>
      <c r="H492" s="672"/>
      <c r="J492" s="115" t="s">
        <v>253</v>
      </c>
      <c r="K492" s="292">
        <f>K489*PRICE_PER_MMBTU_2018_OIL</f>
        <v>2296.9259980291781</v>
      </c>
      <c r="L492" s="5" t="s">
        <v>164</v>
      </c>
      <c r="M492" s="5"/>
      <c r="N492" s="5"/>
      <c r="S492" s="5"/>
      <c r="T492" s="155" t="s">
        <v>739</v>
      </c>
      <c r="U492" s="146">
        <v>0.16</v>
      </c>
      <c r="Y492" s="154" t="s">
        <v>1502</v>
      </c>
      <c r="Z492" s="288">
        <f>ACBASE2_CODE_KWH</f>
        <v>1162.0173913043479</v>
      </c>
      <c r="AA492" s="6" t="s">
        <v>170</v>
      </c>
    </row>
    <row r="493" spans="2:32" ht="12.75" x14ac:dyDescent="0.2">
      <c r="B493" s="16"/>
      <c r="C493" s="284"/>
      <c r="D493" s="5"/>
      <c r="E493" s="5"/>
      <c r="F493" s="5"/>
      <c r="G493" s="5"/>
      <c r="H493" s="5"/>
      <c r="J493" s="115" t="s">
        <v>254</v>
      </c>
      <c r="K493" s="292">
        <f>K490*PRICE_PER_MMBTU_2018_OIL</f>
        <v>2050.8267839546234</v>
      </c>
      <c r="L493" s="5" t="s">
        <v>164</v>
      </c>
      <c r="M493" s="5"/>
      <c r="N493" s="5"/>
      <c r="S493" s="5"/>
      <c r="Y493" s="154" t="s">
        <v>1503</v>
      </c>
      <c r="Z493" s="42">
        <f>ACBASE2_BASE_OP_COST</f>
        <v>287.30880000000002</v>
      </c>
      <c r="AA493" s="6" t="s">
        <v>164</v>
      </c>
    </row>
    <row r="494" spans="2:32" ht="12.75" x14ac:dyDescent="0.2">
      <c r="B494" s="16"/>
      <c r="C494" s="283" t="s">
        <v>635</v>
      </c>
      <c r="D494" s="62">
        <f>INDEX(Tbl_EquipmentDefinitions[New Unit Equipment Life (years)],MATCH('Baseline Calculations'!D483,Tbl_EquipmentDefinitions[Equipment ID],0))</f>
        <v>20</v>
      </c>
      <c r="E494" s="188" t="s">
        <v>376</v>
      </c>
      <c r="F494" s="5"/>
      <c r="G494" s="5"/>
      <c r="H494" s="5"/>
      <c r="J494" s="234"/>
      <c r="L494" s="5"/>
      <c r="M494" s="5"/>
      <c r="N494" s="5"/>
      <c r="S494" s="5"/>
      <c r="T494" s="5" t="s">
        <v>424</v>
      </c>
      <c r="U494" s="145">
        <f>U492*P486/U489</f>
        <v>3.5282837967401733E-2</v>
      </c>
      <c r="V494" s="5" t="s">
        <v>176</v>
      </c>
      <c r="W494" s="5"/>
      <c r="Y494" s="154" t="s">
        <v>1504</v>
      </c>
      <c r="Z494" s="42">
        <f>ACBASE2_CODE_OP_COST</f>
        <v>229.84704000000002</v>
      </c>
      <c r="AA494" s="6" t="s">
        <v>164</v>
      </c>
    </row>
    <row r="495" spans="2:32" ht="12.75" x14ac:dyDescent="0.2">
      <c r="B495" s="16"/>
      <c r="C495" s="283" t="s">
        <v>636</v>
      </c>
      <c r="D495" s="62">
        <f>INDEX(Tbl_EquipmentDefinitions[Remaining Life for Early Replacement (years)],MATCH('Baseline Calculations'!D483,Tbl_EquipmentDefinitions[Equipment ID],0))</f>
        <v>10</v>
      </c>
      <c r="E495" s="188" t="s">
        <v>376</v>
      </c>
      <c r="F495" s="5"/>
      <c r="G495" s="5"/>
      <c r="H495" s="5"/>
      <c r="T495" s="5" t="s">
        <v>425</v>
      </c>
      <c r="U495" s="145">
        <f>U492*P487/U489</f>
        <v>3.5282837967401733E-2</v>
      </c>
      <c r="V495" s="5" t="s">
        <v>176</v>
      </c>
      <c r="W495" s="5"/>
      <c r="Y495" s="154" t="s">
        <v>742</v>
      </c>
      <c r="Z495" s="37">
        <f>ACBASE2_BASE_KW_DEMAND</f>
        <v>1.9200000000000002</v>
      </c>
      <c r="AA495" s="6" t="s">
        <v>176</v>
      </c>
    </row>
    <row r="496" spans="2:32" ht="12.75" x14ac:dyDescent="0.2">
      <c r="B496" s="16"/>
      <c r="C496" s="377"/>
      <c r="D496" s="188"/>
      <c r="E496" s="188"/>
      <c r="F496" s="5"/>
      <c r="G496" s="5"/>
      <c r="H496" s="5"/>
      <c r="T496" s="5"/>
      <c r="U496" s="5"/>
      <c r="V496" s="5"/>
      <c r="W496" s="5"/>
      <c r="Y496" s="154" t="s">
        <v>743</v>
      </c>
      <c r="Z496" s="37">
        <f>ACBASE2_CODE_KW_DEMAND</f>
        <v>1.5360000000000005</v>
      </c>
      <c r="AA496" s="6" t="s">
        <v>176</v>
      </c>
    </row>
    <row r="497" spans="1:32" x14ac:dyDescent="0.2">
      <c r="B497" s="16"/>
      <c r="C497" s="283" t="s">
        <v>934</v>
      </c>
      <c r="D497" s="62">
        <f>INDEX(Tbl_EquipmentDefinitions[A/C Life (years)],MATCH('Baseline Calculations'!D483,Tbl_EquipmentDefinitions[Equipment ID],0))</f>
        <v>6</v>
      </c>
      <c r="E497" s="188" t="s">
        <v>376</v>
      </c>
      <c r="F497" s="5"/>
      <c r="G497" s="5"/>
      <c r="H497" s="5"/>
      <c r="T497" s="5"/>
      <c r="U497" s="5"/>
      <c r="V497" s="5"/>
      <c r="W497" s="5"/>
    </row>
    <row r="498" spans="1:32" x14ac:dyDescent="0.2">
      <c r="B498" s="16"/>
      <c r="C498" s="283" t="s">
        <v>935</v>
      </c>
      <c r="D498" s="298">
        <f>INDEX(Tbl_EquipmentDefinitions[Remaining A/C Life for Early Replacement (years)],MATCH('Baseline Calculations'!D483,Tbl_EquipmentDefinitions[Equipment ID],0))</f>
        <v>2</v>
      </c>
      <c r="E498" s="188" t="s">
        <v>376</v>
      </c>
      <c r="F498" s="5"/>
      <c r="G498" s="5"/>
      <c r="H498" s="5"/>
      <c r="T498" s="5"/>
      <c r="U498" s="5"/>
      <c r="V498" s="5"/>
      <c r="W498" s="5"/>
    </row>
    <row r="499" spans="1:32" x14ac:dyDescent="0.2">
      <c r="B499" s="16"/>
      <c r="C499" s="377"/>
      <c r="D499" s="188"/>
      <c r="E499" s="188"/>
      <c r="F499" s="5"/>
      <c r="G499" s="5"/>
      <c r="H499" s="5"/>
      <c r="T499" s="5"/>
      <c r="U499" s="5"/>
      <c r="V499" s="5"/>
      <c r="W499" s="5"/>
    </row>
    <row r="500" spans="1:32" x14ac:dyDescent="0.2">
      <c r="B500" s="16"/>
      <c r="C500" s="377"/>
      <c r="D500" s="188"/>
      <c r="E500" s="188"/>
      <c r="F500" s="5"/>
      <c r="G500" s="5"/>
      <c r="H500" s="5"/>
      <c r="T500" s="5"/>
      <c r="U500" s="5"/>
      <c r="V500" s="5"/>
      <c r="W500" s="5"/>
    </row>
    <row r="501" spans="1:32" x14ac:dyDescent="0.2">
      <c r="B501" s="16"/>
      <c r="C501" s="377"/>
      <c r="D501" s="188"/>
      <c r="E501" s="188"/>
      <c r="F501" s="5"/>
      <c r="G501" s="5"/>
      <c r="H501" s="5"/>
      <c r="T501" s="5"/>
      <c r="U501" s="5"/>
      <c r="V501" s="5"/>
      <c r="W501" s="5"/>
    </row>
    <row r="502" spans="1:32" x14ac:dyDescent="0.2">
      <c r="B502" s="16"/>
      <c r="C502" s="377"/>
      <c r="D502" s="188"/>
      <c r="E502" s="188"/>
      <c r="F502" s="5"/>
      <c r="G502" s="5"/>
      <c r="H502" s="5"/>
      <c r="T502" s="5"/>
      <c r="U502" s="5"/>
      <c r="V502" s="5"/>
      <c r="W502" s="5"/>
    </row>
    <row r="503" spans="1:32" x14ac:dyDescent="0.2">
      <c r="B503" s="16"/>
      <c r="C503" s="58"/>
      <c r="D503" s="59"/>
      <c r="E503" s="59"/>
      <c r="F503" s="59"/>
      <c r="G503" s="59"/>
      <c r="H503" s="59"/>
      <c r="J503" s="59"/>
      <c r="K503" s="59"/>
      <c r="L503" s="59"/>
      <c r="M503" s="59"/>
      <c r="N503" s="59"/>
      <c r="O503" s="59"/>
      <c r="P503" s="59"/>
      <c r="Q503" s="59"/>
      <c r="R503" s="59"/>
      <c r="S503" s="59"/>
      <c r="T503" s="59"/>
      <c r="U503" s="59"/>
      <c r="V503" s="59"/>
      <c r="W503" s="59"/>
      <c r="X503" s="59"/>
      <c r="Y503" s="59"/>
      <c r="Z503" s="59"/>
      <c r="AA503" s="59"/>
    </row>
    <row r="504" spans="1:32" x14ac:dyDescent="0.2">
      <c r="B504" s="16"/>
    </row>
    <row r="505" spans="1:32" ht="15.75" thickBot="1" x14ac:dyDescent="0.25">
      <c r="A505" s="137"/>
      <c r="B505" s="16"/>
      <c r="C505" s="74" t="s">
        <v>270</v>
      </c>
      <c r="D505" s="75"/>
      <c r="E505" s="75"/>
      <c r="F505" s="75"/>
      <c r="G505" s="75"/>
      <c r="H505" s="75"/>
      <c r="J505" s="75" t="s">
        <v>271</v>
      </c>
      <c r="K505" s="75"/>
      <c r="L505" s="48"/>
      <c r="M505" s="48"/>
      <c r="N505" s="48"/>
      <c r="O505" s="48"/>
      <c r="P505" s="48"/>
      <c r="Q505" s="48"/>
      <c r="R505" s="48"/>
      <c r="S505" s="48"/>
      <c r="T505" s="48"/>
      <c r="U505" s="48"/>
      <c r="V505" s="48"/>
      <c r="W505" s="48"/>
      <c r="X505" s="48"/>
      <c r="Y505" s="48"/>
      <c r="Z505" s="48"/>
      <c r="AA505" s="48"/>
      <c r="AB505" s="48"/>
      <c r="AC505" s="48"/>
      <c r="AD505" s="48"/>
      <c r="AE505" s="48"/>
      <c r="AF505" s="49"/>
    </row>
    <row r="506" spans="1:32" ht="3.75" customHeight="1" x14ac:dyDescent="0.2">
      <c r="A506" s="137"/>
      <c r="B506" s="16"/>
      <c r="C506" s="50"/>
      <c r="D506" s="5"/>
      <c r="E506" s="5"/>
      <c r="F506" s="5"/>
      <c r="G506" s="5"/>
      <c r="H506" s="5"/>
      <c r="J506" s="5"/>
      <c r="K506" s="5"/>
      <c r="L506" s="5"/>
      <c r="M506" s="5"/>
      <c r="N506" s="5"/>
      <c r="O506" s="5"/>
      <c r="P506" s="5"/>
      <c r="Q506" s="5"/>
      <c r="R506" s="5"/>
      <c r="S506" s="5"/>
      <c r="T506" s="5"/>
      <c r="U506" s="5"/>
      <c r="V506" s="5"/>
      <c r="W506" s="5"/>
      <c r="X506" s="5"/>
      <c r="Y506" s="5"/>
      <c r="Z506" s="5"/>
      <c r="AA506" s="5"/>
      <c r="AB506" s="5"/>
      <c r="AC506" s="5"/>
      <c r="AD506" s="5"/>
      <c r="AE506" s="5"/>
      <c r="AF506" s="51"/>
    </row>
    <row r="507" spans="1:32" ht="34.5" thickBot="1" x14ac:dyDescent="0.25">
      <c r="A507" s="137"/>
      <c r="B507" s="16"/>
      <c r="C507" s="76" t="s">
        <v>249</v>
      </c>
      <c r="D507" s="81" t="s">
        <v>937</v>
      </c>
      <c r="E507" s="71"/>
      <c r="F507" s="66" t="s">
        <v>260</v>
      </c>
      <c r="G507" s="66" t="s">
        <v>5</v>
      </c>
      <c r="H507" s="66" t="s">
        <v>6</v>
      </c>
      <c r="J507" s="66" t="s">
        <v>127</v>
      </c>
      <c r="K507" s="72" t="s">
        <v>261</v>
      </c>
      <c r="L507" s="72" t="s">
        <v>262</v>
      </c>
      <c r="M507" s="72" t="s">
        <v>1455</v>
      </c>
      <c r="N507" s="72" t="s">
        <v>1456</v>
      </c>
      <c r="O507" s="72" t="s">
        <v>963</v>
      </c>
      <c r="P507" s="72" t="s">
        <v>974</v>
      </c>
      <c r="Q507" s="72" t="s">
        <v>263</v>
      </c>
      <c r="R507" s="72" t="s">
        <v>264</v>
      </c>
      <c r="S507" s="72" t="s">
        <v>265</v>
      </c>
      <c r="T507" s="72" t="s">
        <v>280</v>
      </c>
      <c r="U507" s="72" t="s">
        <v>200</v>
      </c>
      <c r="V507" s="72" t="s">
        <v>753</v>
      </c>
      <c r="W507" s="72" t="s">
        <v>634</v>
      </c>
      <c r="X507" s="72" t="s">
        <v>754</v>
      </c>
      <c r="Y507" s="72" t="s">
        <v>266</v>
      </c>
      <c r="Z507" s="72" t="s">
        <v>1457</v>
      </c>
      <c r="AA507" s="72" t="s">
        <v>1458</v>
      </c>
      <c r="AB507" s="72" t="s">
        <v>964</v>
      </c>
      <c r="AC507" s="72" t="s">
        <v>975</v>
      </c>
      <c r="AD507" s="72" t="s">
        <v>267</v>
      </c>
      <c r="AE507" s="72" t="s">
        <v>268</v>
      </c>
      <c r="AF507" s="77" t="s">
        <v>269</v>
      </c>
    </row>
    <row r="508" spans="1:32" x14ac:dyDescent="0.2">
      <c r="A508" s="137"/>
      <c r="B508" s="16"/>
      <c r="C508" s="61"/>
      <c r="D508" s="5"/>
      <c r="E508" s="5"/>
      <c r="F508" s="63" t="s">
        <v>178</v>
      </c>
      <c r="G508" s="67" t="str">
        <f>INDEX(Tbl_EquipmentDefinitions[Electricity Baseline Efficiency],MATCH(D509,Tbl_EquipmentDefinitions[Equipment ID],0))</f>
        <v>8 EER</v>
      </c>
      <c r="H508" s="68" t="str">
        <f>INDEX(Tbl_EquipmentDefinitions[Electricity Code Efficiency],MATCH(D509,Tbl_EquipmentDefinitions[Equipment ID],0))</f>
        <v>10 EER</v>
      </c>
      <c r="J508" s="63" t="str">
        <f>D507</f>
        <v>BASE21</v>
      </c>
      <c r="K508" s="148">
        <f>K518+P515+Z519</f>
        <v>4002.2902759667004</v>
      </c>
      <c r="L508" s="285">
        <f>P512+Z517</f>
        <v>1649.521739130435</v>
      </c>
      <c r="M508" s="285">
        <f>P512</f>
        <v>197</v>
      </c>
      <c r="N508" s="285">
        <f>Z517</f>
        <v>1452.521739130435</v>
      </c>
      <c r="O508" s="117">
        <f>U520</f>
        <v>3.0220517737296261E-2</v>
      </c>
      <c r="P508" s="117">
        <f>Z521</f>
        <v>1.9200000000000002</v>
      </c>
      <c r="Q508" s="286">
        <v>0</v>
      </c>
      <c r="R508" s="286">
        <f>K515</f>
        <v>102.26666666666667</v>
      </c>
      <c r="S508" s="286">
        <v>0</v>
      </c>
      <c r="T508" s="148">
        <f>K519+P516+Z520</f>
        <v>3745.4985794388722</v>
      </c>
      <c r="U508" s="148">
        <f>U512+Z516</f>
        <v>7429.782608695652</v>
      </c>
      <c r="V508" s="148">
        <f>Z516</f>
        <v>834.78260869565224</v>
      </c>
      <c r="W508" s="148">
        <f>((PV(DiscountRate, (D520-D521),PMT(DiscountRate, D520, (U508-V508)))/(1+DiscountRate)^(D521)))+((PV(DiscountRate, (D523-D524),PMT(DiscountRate, D523, V508))/(1+DiscountRate)^(D524)))</f>
        <v>3379.5743739912205</v>
      </c>
      <c r="X508" s="148">
        <f>((PV(DiscountRate, (D523-D524),PMT(DiscountRate, D523, V508))/(1+DiscountRate)^(D524)))</f>
        <v>540.79957040967588</v>
      </c>
      <c r="Y508" s="285">
        <f>P513+Z518</f>
        <v>1359.0173913043479</v>
      </c>
      <c r="Z508" s="285">
        <f>P513</f>
        <v>197</v>
      </c>
      <c r="AA508" s="285">
        <f>Z518</f>
        <v>1162.0173913043479</v>
      </c>
      <c r="AB508" s="117">
        <f>U521</f>
        <v>3.0220517737296261E-2</v>
      </c>
      <c r="AC508" s="117">
        <f>Z522</f>
        <v>1.5360000000000005</v>
      </c>
      <c r="AD508" s="286">
        <v>0</v>
      </c>
      <c r="AE508" s="286">
        <f>K516</f>
        <v>96.721311475409834</v>
      </c>
      <c r="AF508" s="287">
        <v>0</v>
      </c>
    </row>
    <row r="509" spans="1:32" x14ac:dyDescent="0.2">
      <c r="A509" s="137"/>
      <c r="B509" s="16"/>
      <c r="C509" s="283" t="s">
        <v>2</v>
      </c>
      <c r="D509" s="62" t="str">
        <f>INDEX(Tbl_BaselineSummary[Equipment ID],MATCH(D507,Tbl_BaselineSummary[Baseline ID],0))</f>
        <v>EQUI037</v>
      </c>
      <c r="E509" s="5"/>
      <c r="F509" s="63" t="s">
        <v>55</v>
      </c>
      <c r="G509" s="68" t="str">
        <f>INDEX(Tbl_EquipmentDefinitions[Natural Gas Baseline Efficiency],MATCH(D509,Tbl_EquipmentDefinitions[Equipment ID],0))</f>
        <v>-</v>
      </c>
      <c r="H509" s="69" t="str">
        <f>INDEX(Tbl_EquipmentDefinitions[Natural Gas Code Efficiency],MATCH(D509,Tbl_EquipmentDefinitions[Equipment ID],0))</f>
        <v>-</v>
      </c>
      <c r="J509" s="5"/>
      <c r="K509" s="5"/>
      <c r="L509" s="5"/>
      <c r="M509" s="5"/>
      <c r="N509" s="5"/>
      <c r="O509" s="5"/>
      <c r="P509" s="5"/>
      <c r="Q509" s="5"/>
      <c r="R509" s="5"/>
      <c r="S509" s="5"/>
      <c r="T509" s="5"/>
      <c r="U509" s="5"/>
      <c r="V509" s="5"/>
      <c r="W509" s="5"/>
      <c r="X509" s="5"/>
      <c r="Y509" s="5"/>
      <c r="Z509" s="5"/>
      <c r="AA509" s="5"/>
      <c r="AB509" s="5"/>
      <c r="AC509" s="5"/>
      <c r="AD509" s="5"/>
      <c r="AE509" s="5"/>
      <c r="AF509" s="51"/>
    </row>
    <row r="510" spans="1:32" ht="12.75" x14ac:dyDescent="0.2">
      <c r="A510" s="137"/>
      <c r="B510" s="16"/>
      <c r="C510" s="283" t="s">
        <v>4</v>
      </c>
      <c r="D510" s="64" t="str">
        <f>INDEX(Tbl_EquipmentDefinitions[Equipment Name],MATCH(D509,Tbl_EquipmentDefinitions[Equipment ID],0))</f>
        <v>Room AC/No AC Blend+Propane Boiler</v>
      </c>
      <c r="E510" s="5"/>
      <c r="F510" s="63" t="s">
        <v>28</v>
      </c>
      <c r="G510" s="70" t="str">
        <f>INDEX(Tbl_EquipmentDefinitions[Propane Baseline Efficiency],MATCH(D509,Tbl_EquipmentDefinitions[Equipment ID],0))</f>
        <v>75% AFUE</v>
      </c>
      <c r="H510" s="68" t="str">
        <f>INDEX(Tbl_EquipmentDefinitions[Propane Code Efficiency],MATCH(D509,Tbl_EquipmentDefinitions[Equipment ID],0))</f>
        <v>82% AFUE (79.3% actual)</v>
      </c>
      <c r="J510" s="78" t="s">
        <v>272</v>
      </c>
      <c r="K510" s="78"/>
      <c r="L510" s="5"/>
      <c r="M510" s="5"/>
      <c r="N510" s="5"/>
      <c r="O510" s="5"/>
      <c r="P510" s="5"/>
      <c r="Q510" s="5"/>
      <c r="R510" s="5"/>
      <c r="S510" s="5"/>
      <c r="T510" s="5"/>
      <c r="U510" s="5"/>
      <c r="V510" s="5"/>
      <c r="W510" s="5"/>
      <c r="AF510" s="51"/>
    </row>
    <row r="511" spans="1:32" x14ac:dyDescent="0.2">
      <c r="A511" s="137"/>
      <c r="B511" s="16"/>
      <c r="C511" s="283" t="s">
        <v>125</v>
      </c>
      <c r="D511" s="62" t="str">
        <f>INDEX(Tbl_EquipmentDefinitions[Equipment Level],MATCH(D509,Tbl_EquipmentDefinitions[Equipment ID],0))</f>
        <v>Secondary</v>
      </c>
      <c r="E511" s="5"/>
      <c r="F511" s="63" t="s">
        <v>27</v>
      </c>
      <c r="G511" s="68" t="str">
        <f>INDEX(Tbl_EquipmentDefinitions[Oil Baseline Efficiency],MATCH(D509,Tbl_EquipmentDefinitions[Equipment ID],0))</f>
        <v>-</v>
      </c>
      <c r="H511" s="70" t="str">
        <f>INDEX(Tbl_EquipmentDefinitions[Oil Code Efficiency],MATCH(D509,Tbl_EquipmentDefinitions[Equipment ID],0))</f>
        <v>-</v>
      </c>
      <c r="J511" s="5"/>
      <c r="K511" s="5"/>
      <c r="L511" s="5"/>
      <c r="M511" s="5"/>
      <c r="N511" s="5"/>
      <c r="O511" s="5" t="s">
        <v>421</v>
      </c>
      <c r="P511" s="5"/>
      <c r="T511" s="5" t="s">
        <v>429</v>
      </c>
      <c r="AF511" s="51"/>
    </row>
    <row r="512" spans="1:32" ht="12.75" x14ac:dyDescent="0.2">
      <c r="A512" s="137"/>
      <c r="B512" s="16"/>
      <c r="C512" s="283" t="s">
        <v>24</v>
      </c>
      <c r="D512" s="64" t="str">
        <f>INDEX(Tbl_EquipmentDefinitions[Function],MATCH(D509,Tbl_EquipmentDefinitions[Equipment ID],0))</f>
        <v>Cool+Heat</v>
      </c>
      <c r="E512" s="5"/>
      <c r="F512" s="5"/>
      <c r="G512" s="5"/>
      <c r="H512" s="5"/>
      <c r="J512" s="115" t="s">
        <v>157</v>
      </c>
      <c r="K512" s="52">
        <v>0.75</v>
      </c>
      <c r="L512" s="5" t="s">
        <v>158</v>
      </c>
      <c r="M512" s="5"/>
      <c r="N512" s="5"/>
      <c r="O512" s="5" t="s">
        <v>420</v>
      </c>
      <c r="P512" s="144">
        <v>197</v>
      </c>
      <c r="Q512" s="5" t="s">
        <v>170</v>
      </c>
      <c r="S512" s="5"/>
      <c r="T512" s="5" t="s">
        <v>428</v>
      </c>
      <c r="U512" s="147">
        <v>6595</v>
      </c>
      <c r="V512" s="5" t="s">
        <v>164</v>
      </c>
      <c r="W512" s="5"/>
      <c r="Y512" s="6" t="s">
        <v>279</v>
      </c>
      <c r="AF512" s="51"/>
    </row>
    <row r="513" spans="1:32" ht="12.75" x14ac:dyDescent="0.2">
      <c r="A513" s="137"/>
      <c r="B513" s="16"/>
      <c r="C513" s="283" t="s">
        <v>7</v>
      </c>
      <c r="D513" s="62" t="str">
        <f>INDEX(Tbl_EquipmentDefinitions[Fuel Type],MATCH(D509,Tbl_EquipmentDefinitions[Equipment ID],0))</f>
        <v>Electric+Propane</v>
      </c>
      <c r="E513" s="65"/>
      <c r="F513" s="671" t="s">
        <v>273</v>
      </c>
      <c r="G513" s="672"/>
      <c r="H513" s="672"/>
      <c r="J513" s="115" t="s">
        <v>159</v>
      </c>
      <c r="K513" s="52">
        <v>0.79300000000000004</v>
      </c>
      <c r="L513" s="5" t="s">
        <v>158</v>
      </c>
      <c r="M513" s="5"/>
      <c r="N513" s="5"/>
      <c r="O513" s="5" t="s">
        <v>408</v>
      </c>
      <c r="P513" s="144">
        <v>197</v>
      </c>
      <c r="Q513" s="5" t="s">
        <v>170</v>
      </c>
      <c r="S513" s="376"/>
      <c r="Y513" s="6" t="s">
        <v>1508</v>
      </c>
      <c r="AF513" s="51"/>
    </row>
    <row r="514" spans="1:32" x14ac:dyDescent="0.2">
      <c r="A514" s="137"/>
      <c r="B514" s="16"/>
      <c r="C514" s="283" t="s">
        <v>126</v>
      </c>
      <c r="D514" s="64">
        <f>IF(ISERR(SEARCH("+",D513,1)),1,2)</f>
        <v>2</v>
      </c>
      <c r="E514" s="65"/>
      <c r="F514" s="672"/>
      <c r="G514" s="672"/>
      <c r="H514" s="672"/>
      <c r="J514" s="156"/>
      <c r="K514" s="5"/>
      <c r="L514" s="5"/>
      <c r="M514" s="5"/>
      <c r="N514" s="5"/>
      <c r="O514" s="5"/>
      <c r="P514" s="5"/>
      <c r="Q514" s="376"/>
      <c r="T514" s="6" t="s">
        <v>423</v>
      </c>
      <c r="Y514" s="6" t="s">
        <v>1493</v>
      </c>
      <c r="AF514" s="51"/>
    </row>
    <row r="515" spans="1:32" ht="12.75" x14ac:dyDescent="0.2">
      <c r="A515" s="137"/>
      <c r="B515" s="16"/>
      <c r="C515" s="284"/>
      <c r="D515" s="5"/>
      <c r="E515" s="5"/>
      <c r="F515" s="672"/>
      <c r="G515" s="672"/>
      <c r="H515" s="672"/>
      <c r="J515" s="115" t="s">
        <v>334</v>
      </c>
      <c r="K515" s="56">
        <f>$D$516/K512</f>
        <v>102.26666666666667</v>
      </c>
      <c r="L515" s="5" t="s">
        <v>156</v>
      </c>
      <c r="M515" s="5"/>
      <c r="N515" s="5"/>
      <c r="O515" s="55" t="s">
        <v>426</v>
      </c>
      <c r="P515" s="57">
        <f>P512*PRICE_PER_KWH_2018_ELECTRICITY</f>
        <v>38.9666</v>
      </c>
      <c r="Q515" s="5" t="s">
        <v>164</v>
      </c>
      <c r="T515" s="5" t="s">
        <v>422</v>
      </c>
      <c r="U515" s="146">
        <f>AVERAGE(530,984,1329,1329)</f>
        <v>1043</v>
      </c>
      <c r="V515" s="6" t="s">
        <v>397</v>
      </c>
      <c r="Y515" s="6" t="s">
        <v>1494</v>
      </c>
      <c r="AF515" s="51"/>
    </row>
    <row r="516" spans="1:32" ht="12.75" x14ac:dyDescent="0.2">
      <c r="A516" s="137"/>
      <c r="B516" s="16"/>
      <c r="C516" s="283" t="s">
        <v>155</v>
      </c>
      <c r="D516" s="62">
        <f>INDEX(Tbl_BaselineSummary[Space Heating Load (MMBtu/yr)],MATCH(D507,Tbl_BaselineSummary[Baseline ID],0))</f>
        <v>76.7</v>
      </c>
      <c r="E516" s="5" t="s">
        <v>156</v>
      </c>
      <c r="F516" s="672"/>
      <c r="G516" s="672"/>
      <c r="H516" s="672"/>
      <c r="J516" s="115" t="s">
        <v>384</v>
      </c>
      <c r="K516" s="56">
        <f>$D$516/K513</f>
        <v>96.721311475409834</v>
      </c>
      <c r="L516" s="5" t="s">
        <v>156</v>
      </c>
      <c r="M516" s="5"/>
      <c r="N516" s="5"/>
      <c r="O516" s="55" t="s">
        <v>427</v>
      </c>
      <c r="P516" s="57">
        <f>P513*PRICE_PER_KWH_2018_ELECTRICITY</f>
        <v>38.9666</v>
      </c>
      <c r="Q516" s="5" t="s">
        <v>164</v>
      </c>
      <c r="Y516" s="154" t="s">
        <v>1440</v>
      </c>
      <c r="Z516" s="406">
        <f>ACBASE2_INSTALL_COST</f>
        <v>834.78260869565224</v>
      </c>
      <c r="AA516" s="5" t="s">
        <v>164</v>
      </c>
      <c r="AF516" s="51"/>
    </row>
    <row r="517" spans="1:32" ht="12.75" x14ac:dyDescent="0.2">
      <c r="A517" s="137"/>
      <c r="B517" s="16"/>
      <c r="C517" s="283" t="s">
        <v>167</v>
      </c>
      <c r="D517" s="62">
        <f>INDEX(Tbl_BaselineSummary[Space Cooling Load (MMBtu/yr)],MATCH(D507,Tbl_BaselineSummary[Baseline ID],0))</f>
        <v>13.072800000000001</v>
      </c>
      <c r="E517" s="5" t="s">
        <v>156</v>
      </c>
      <c r="F517" s="672"/>
      <c r="G517" s="672"/>
      <c r="H517" s="672"/>
      <c r="J517" s="156"/>
      <c r="K517" s="5"/>
      <c r="L517" s="5"/>
      <c r="M517" s="5"/>
      <c r="N517" s="5"/>
      <c r="S517" s="5"/>
      <c r="T517" s="6" t="s">
        <v>740</v>
      </c>
      <c r="Y517" s="154" t="s">
        <v>1501</v>
      </c>
      <c r="Z517" s="288">
        <f>ACBASE2_BASE_KWH</f>
        <v>1452.521739130435</v>
      </c>
      <c r="AA517" s="6" t="s">
        <v>170</v>
      </c>
      <c r="AF517" s="51"/>
    </row>
    <row r="518" spans="1:32" ht="12.75" x14ac:dyDescent="0.2">
      <c r="A518" s="137"/>
      <c r="B518" s="16"/>
      <c r="C518" s="283" t="s">
        <v>244</v>
      </c>
      <c r="D518" s="62">
        <f>INDEX(Tbl_BaselineSummary[Water Heating Load (MMBtu/yr)],MATCH(D507,Tbl_BaselineSummary[Baseline ID],0))</f>
        <v>11.3</v>
      </c>
      <c r="E518" s="5" t="s">
        <v>156</v>
      </c>
      <c r="F518" s="672"/>
      <c r="G518" s="672"/>
      <c r="H518" s="672"/>
      <c r="J518" s="115" t="s">
        <v>313</v>
      </c>
      <c r="K518" s="292">
        <f>K515*PRICE_PER_MMBTU_2018_PROPANE</f>
        <v>3676.0148759667004</v>
      </c>
      <c r="L518" s="5" t="s">
        <v>164</v>
      </c>
      <c r="M518" s="5"/>
      <c r="N518" s="5"/>
      <c r="S518" s="5"/>
      <c r="T518" s="155" t="s">
        <v>739</v>
      </c>
      <c r="U518" s="146">
        <v>0.16</v>
      </c>
      <c r="Y518" s="154" t="s">
        <v>1502</v>
      </c>
      <c r="Z518" s="288">
        <f>ACBASE2_CODE_KWH</f>
        <v>1162.0173913043479</v>
      </c>
      <c r="AA518" s="6" t="s">
        <v>170</v>
      </c>
      <c r="AF518" s="51"/>
    </row>
    <row r="519" spans="1:32" ht="12.75" x14ac:dyDescent="0.2">
      <c r="A519" s="137"/>
      <c r="B519" s="16"/>
      <c r="C519" s="284"/>
      <c r="D519" s="5"/>
      <c r="E519" s="5"/>
      <c r="F519" s="5"/>
      <c r="G519" s="5"/>
      <c r="H519" s="5"/>
      <c r="J519" s="115" t="s">
        <v>314</v>
      </c>
      <c r="K519" s="292">
        <f>K516*PRICE_PER_MMBTU_2018_PROPANE</f>
        <v>3476.6849394388719</v>
      </c>
      <c r="L519" s="5" t="s">
        <v>164</v>
      </c>
      <c r="M519" s="5"/>
      <c r="N519" s="5"/>
      <c r="T519" s="5"/>
      <c r="U519" s="5"/>
      <c r="V519" s="5"/>
      <c r="W519" s="5"/>
      <c r="Y519" s="154" t="s">
        <v>1503</v>
      </c>
      <c r="Z519" s="42">
        <f>ACBASE2_BASE_OP_COST</f>
        <v>287.30880000000002</v>
      </c>
      <c r="AA519" s="6" t="s">
        <v>164</v>
      </c>
      <c r="AF519" s="51"/>
    </row>
    <row r="520" spans="1:32" ht="12.75" x14ac:dyDescent="0.2">
      <c r="A520" s="137"/>
      <c r="B520" s="16"/>
      <c r="C520" s="283" t="s">
        <v>635</v>
      </c>
      <c r="D520" s="62">
        <f>INDEX(Tbl_EquipmentDefinitions[New Unit Equipment Life (years)],MATCH('Baseline Calculations'!D509,Tbl_EquipmentDefinitions[Equipment ID],0))</f>
        <v>20</v>
      </c>
      <c r="E520" s="188" t="s">
        <v>376</v>
      </c>
      <c r="F520" s="5"/>
      <c r="G520" s="5"/>
      <c r="H520" s="5"/>
      <c r="J520" s="234"/>
      <c r="L520" s="5"/>
      <c r="M520" s="5"/>
      <c r="N520" s="5"/>
      <c r="T520" s="5" t="s">
        <v>424</v>
      </c>
      <c r="U520" s="145">
        <f>U518*P512/U515</f>
        <v>3.0220517737296261E-2</v>
      </c>
      <c r="V520" s="5" t="s">
        <v>176</v>
      </c>
      <c r="W520" s="5"/>
      <c r="Y520" s="154" t="s">
        <v>1504</v>
      </c>
      <c r="Z520" s="42">
        <f>ACBASE2_CODE_OP_COST</f>
        <v>229.84704000000002</v>
      </c>
      <c r="AA520" s="6" t="s">
        <v>164</v>
      </c>
      <c r="AF520" s="51"/>
    </row>
    <row r="521" spans="1:32" ht="12.75" x14ac:dyDescent="0.2">
      <c r="A521" s="137"/>
      <c r="B521" s="16"/>
      <c r="C521" s="283" t="s">
        <v>636</v>
      </c>
      <c r="D521" s="62">
        <f>INDEX(Tbl_EquipmentDefinitions[Remaining Life for Early Replacement (years)],MATCH('Baseline Calculations'!D509,Tbl_EquipmentDefinitions[Equipment ID],0))</f>
        <v>10</v>
      </c>
      <c r="E521" s="188" t="s">
        <v>376</v>
      </c>
      <c r="F521" s="5"/>
      <c r="G521" s="5"/>
      <c r="H521" s="5"/>
      <c r="T521" s="5" t="s">
        <v>425</v>
      </c>
      <c r="U521" s="145">
        <f>U518*P513/U515</f>
        <v>3.0220517737296261E-2</v>
      </c>
      <c r="V521" s="5" t="s">
        <v>176</v>
      </c>
      <c r="W521" s="5"/>
      <c r="Y521" s="154" t="s">
        <v>742</v>
      </c>
      <c r="Z521" s="37">
        <f>ACBASE2_BASE_KW_DEMAND</f>
        <v>1.9200000000000002</v>
      </c>
      <c r="AA521" s="6" t="s">
        <v>176</v>
      </c>
      <c r="AF521" s="51"/>
    </row>
    <row r="522" spans="1:32" ht="12.75" x14ac:dyDescent="0.2">
      <c r="A522" s="137"/>
      <c r="B522" s="16"/>
      <c r="C522" s="377"/>
      <c r="D522" s="188"/>
      <c r="E522" s="188"/>
      <c r="F522" s="5"/>
      <c r="G522" s="5"/>
      <c r="H522" s="5"/>
      <c r="T522" s="5"/>
      <c r="U522" s="5"/>
      <c r="V522" s="5"/>
      <c r="W522" s="5"/>
      <c r="Y522" s="154" t="s">
        <v>743</v>
      </c>
      <c r="Z522" s="37">
        <f>ACBASE2_CODE_KW_DEMAND</f>
        <v>1.5360000000000005</v>
      </c>
      <c r="AA522" s="6" t="s">
        <v>176</v>
      </c>
      <c r="AF522" s="51"/>
    </row>
    <row r="523" spans="1:32" x14ac:dyDescent="0.2">
      <c r="A523" s="137"/>
      <c r="B523" s="16"/>
      <c r="C523" s="283" t="s">
        <v>934</v>
      </c>
      <c r="D523" s="62">
        <f>INDEX(Tbl_EquipmentDefinitions[A/C Life (years)],MATCH('Baseline Calculations'!D509,Tbl_EquipmentDefinitions[Equipment ID],0))</f>
        <v>6</v>
      </c>
      <c r="E523" s="188" t="s">
        <v>376</v>
      </c>
      <c r="F523" s="5"/>
      <c r="G523" s="5"/>
      <c r="H523" s="5"/>
      <c r="T523" s="5"/>
      <c r="U523" s="5"/>
      <c r="V523" s="5"/>
      <c r="W523" s="5"/>
      <c r="AF523" s="51"/>
    </row>
    <row r="524" spans="1:32" x14ac:dyDescent="0.2">
      <c r="A524" s="137"/>
      <c r="B524" s="16"/>
      <c r="C524" s="283" t="s">
        <v>935</v>
      </c>
      <c r="D524" s="298">
        <f>INDEX(Tbl_EquipmentDefinitions[Remaining A/C Life for Early Replacement (years)],MATCH('Baseline Calculations'!D509,Tbl_EquipmentDefinitions[Equipment ID],0))</f>
        <v>2</v>
      </c>
      <c r="E524" s="188" t="s">
        <v>376</v>
      </c>
      <c r="F524" s="5"/>
      <c r="G524" s="5"/>
      <c r="H524" s="5"/>
      <c r="T524" s="5"/>
      <c r="U524" s="5"/>
      <c r="V524" s="5"/>
      <c r="W524" s="5"/>
      <c r="AF524" s="51"/>
    </row>
    <row r="525" spans="1:32" x14ac:dyDescent="0.2">
      <c r="A525" s="137"/>
      <c r="B525" s="16"/>
      <c r="C525" s="377"/>
      <c r="D525" s="188"/>
      <c r="E525" s="188"/>
      <c r="F525" s="5"/>
      <c r="G525" s="5"/>
      <c r="H525" s="5"/>
      <c r="T525" s="5"/>
      <c r="U525" s="5"/>
      <c r="V525" s="5"/>
      <c r="W525" s="5"/>
      <c r="AF525" s="51"/>
    </row>
    <row r="526" spans="1:32" x14ac:dyDescent="0.2">
      <c r="A526" s="137"/>
      <c r="B526" s="16"/>
      <c r="C526" s="377"/>
      <c r="D526" s="188"/>
      <c r="E526" s="188"/>
      <c r="F526" s="5"/>
      <c r="G526" s="5"/>
      <c r="H526" s="5"/>
      <c r="T526" s="5"/>
      <c r="U526" s="5"/>
      <c r="V526" s="5"/>
      <c r="W526" s="5"/>
      <c r="AF526" s="51"/>
    </row>
    <row r="527" spans="1:32" x14ac:dyDescent="0.2">
      <c r="A527" s="137"/>
      <c r="B527" s="16"/>
      <c r="C527" s="377"/>
      <c r="D527" s="188"/>
      <c r="E527" s="188"/>
      <c r="F527" s="5"/>
      <c r="G527" s="5"/>
      <c r="H527" s="5"/>
      <c r="T527" s="5"/>
      <c r="U527" s="5"/>
      <c r="V527" s="5"/>
      <c r="W527" s="5"/>
      <c r="AF527" s="51"/>
    </row>
    <row r="528" spans="1:32" x14ac:dyDescent="0.2">
      <c r="A528" s="137"/>
      <c r="B528" s="16"/>
      <c r="C528" s="377"/>
      <c r="D528" s="188"/>
      <c r="E528" s="188"/>
      <c r="F528" s="5"/>
      <c r="G528" s="5"/>
      <c r="H528" s="5"/>
      <c r="T528" s="5"/>
      <c r="U528" s="5"/>
      <c r="V528" s="5"/>
      <c r="W528" s="5"/>
      <c r="AF528" s="51"/>
    </row>
    <row r="529" spans="1:32" x14ac:dyDescent="0.2">
      <c r="A529" s="137"/>
      <c r="B529" s="16"/>
      <c r="C529" s="58"/>
      <c r="D529" s="59"/>
      <c r="E529" s="59"/>
      <c r="F529" s="59"/>
      <c r="G529" s="59"/>
      <c r="H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60"/>
    </row>
    <row r="530" spans="1:32" x14ac:dyDescent="0.2">
      <c r="B530" s="16"/>
    </row>
    <row r="531" spans="1:32" ht="15.75" thickBot="1" x14ac:dyDescent="0.25">
      <c r="B531" s="16"/>
      <c r="C531" s="74" t="s">
        <v>270</v>
      </c>
      <c r="D531" s="75"/>
      <c r="E531" s="75"/>
      <c r="F531" s="75"/>
      <c r="G531" s="75"/>
      <c r="H531" s="75"/>
      <c r="J531" s="75" t="s">
        <v>271</v>
      </c>
      <c r="K531" s="75"/>
      <c r="L531" s="48"/>
      <c r="M531" s="48"/>
      <c r="N531" s="48"/>
      <c r="O531" s="48"/>
      <c r="P531" s="48"/>
      <c r="Q531" s="48"/>
      <c r="R531" s="48"/>
      <c r="S531" s="48"/>
      <c r="T531" s="48"/>
      <c r="U531" s="48"/>
      <c r="V531" s="48"/>
      <c r="W531" s="48"/>
      <c r="X531" s="48"/>
      <c r="Y531" s="48"/>
      <c r="Z531" s="48"/>
      <c r="AA531" s="48"/>
      <c r="AB531" s="48"/>
      <c r="AC531" s="48"/>
      <c r="AD531" s="48"/>
      <c r="AE531" s="48"/>
      <c r="AF531" s="49"/>
    </row>
    <row r="532" spans="1:32" ht="3.75" customHeight="1" x14ac:dyDescent="0.2">
      <c r="B532" s="16"/>
      <c r="C532" s="50"/>
      <c r="D532" s="5"/>
      <c r="E532" s="5"/>
      <c r="F532" s="5"/>
      <c r="G532" s="5"/>
      <c r="H532" s="5"/>
      <c r="J532" s="5"/>
      <c r="K532" s="5"/>
      <c r="L532" s="5"/>
      <c r="M532" s="5"/>
      <c r="N532" s="5"/>
      <c r="O532" s="5"/>
      <c r="P532" s="5"/>
      <c r="Q532" s="5"/>
      <c r="R532" s="5"/>
      <c r="S532" s="5"/>
      <c r="T532" s="5"/>
      <c r="U532" s="5"/>
      <c r="V532" s="5"/>
      <c r="W532" s="5"/>
      <c r="X532" s="5"/>
      <c r="Y532" s="5"/>
      <c r="Z532" s="5"/>
      <c r="AA532" s="5"/>
      <c r="AB532" s="5"/>
      <c r="AC532" s="5"/>
      <c r="AD532" s="5"/>
      <c r="AE532" s="5"/>
      <c r="AF532" s="51"/>
    </row>
    <row r="533" spans="1:32" ht="34.5" thickBot="1" x14ac:dyDescent="0.25">
      <c r="B533" s="16"/>
      <c r="C533" s="76" t="s">
        <v>249</v>
      </c>
      <c r="D533" s="81" t="s">
        <v>938</v>
      </c>
      <c r="E533" s="71"/>
      <c r="F533" s="66" t="s">
        <v>260</v>
      </c>
      <c r="G533" s="66" t="s">
        <v>5</v>
      </c>
      <c r="H533" s="66" t="s">
        <v>6</v>
      </c>
      <c r="J533" s="66" t="s">
        <v>127</v>
      </c>
      <c r="K533" s="72" t="s">
        <v>261</v>
      </c>
      <c r="L533" s="72" t="s">
        <v>262</v>
      </c>
      <c r="M533" s="72" t="s">
        <v>1455</v>
      </c>
      <c r="N533" s="72" t="s">
        <v>1456</v>
      </c>
      <c r="O533" s="72" t="s">
        <v>963</v>
      </c>
      <c r="P533" s="72" t="s">
        <v>974</v>
      </c>
      <c r="Q533" s="72" t="s">
        <v>263</v>
      </c>
      <c r="R533" s="72" t="s">
        <v>264</v>
      </c>
      <c r="S533" s="72" t="s">
        <v>265</v>
      </c>
      <c r="T533" s="72" t="s">
        <v>280</v>
      </c>
      <c r="U533" s="72" t="s">
        <v>200</v>
      </c>
      <c r="V533" s="72" t="s">
        <v>753</v>
      </c>
      <c r="W533" s="72" t="s">
        <v>634</v>
      </c>
      <c r="X533" s="72" t="s">
        <v>754</v>
      </c>
      <c r="Y533" s="72" t="s">
        <v>266</v>
      </c>
      <c r="Z533" s="72" t="s">
        <v>1457</v>
      </c>
      <c r="AA533" s="72" t="s">
        <v>1458</v>
      </c>
      <c r="AB533" s="72" t="s">
        <v>964</v>
      </c>
      <c r="AC533" s="72" t="s">
        <v>975</v>
      </c>
      <c r="AD533" s="72" t="s">
        <v>267</v>
      </c>
      <c r="AE533" s="72" t="s">
        <v>268</v>
      </c>
      <c r="AF533" s="77" t="s">
        <v>269</v>
      </c>
    </row>
    <row r="534" spans="1:32" x14ac:dyDescent="0.2">
      <c r="B534" s="16"/>
      <c r="C534" s="61"/>
      <c r="D534" s="5"/>
      <c r="E534" s="5"/>
      <c r="F534" s="63" t="s">
        <v>178</v>
      </c>
      <c r="G534" s="67" t="str">
        <f>INDEX(Tbl_EquipmentDefinitions[Electricity Baseline Efficiency],MATCH(D535,Tbl_EquipmentDefinitions[Equipment ID],0))</f>
        <v>8 EER/1 COP</v>
      </c>
      <c r="H534" s="68" t="str">
        <f>INDEX(Tbl_EquipmentDefinitions[Electricity Code Efficiency],MATCH(D535,Tbl_EquipmentDefinitions[Equipment ID],0))</f>
        <v>10 EER/1 COP</v>
      </c>
      <c r="J534" s="63" t="str">
        <f>D533</f>
        <v>BASE22</v>
      </c>
      <c r="K534" s="148">
        <f>P540+Z545</f>
        <v>4733.7507695193435</v>
      </c>
      <c r="L534" s="285">
        <f>P538+Z543</f>
        <v>23932.005912635712</v>
      </c>
      <c r="M534" s="285">
        <f>P538</f>
        <v>22479.484173505276</v>
      </c>
      <c r="N534" s="285">
        <f>Z543</f>
        <v>1452.521739130435</v>
      </c>
      <c r="O534" s="117">
        <f>P544</f>
        <v>3.75</v>
      </c>
      <c r="P534" s="117">
        <f>Z547</f>
        <v>1.9200000000000002</v>
      </c>
      <c r="Q534" s="286">
        <v>0</v>
      </c>
      <c r="R534" s="286">
        <v>0</v>
      </c>
      <c r="S534" s="286">
        <v>0</v>
      </c>
      <c r="T534" s="148">
        <f>K534+Z546</f>
        <v>4963.5978095193432</v>
      </c>
      <c r="U534" s="148">
        <f>P546+Z542</f>
        <v>1389.7826086956522</v>
      </c>
      <c r="V534" s="148">
        <f>Z542</f>
        <v>834.78260869565224</v>
      </c>
      <c r="W534" s="148">
        <f>((PV(DiscountRate, (D546-D547),PMT(DiscountRate, D546, (U534-V534)))/(1+DiscountRate)^(D547)))+((PV(DiscountRate, (D549-D550),PMT(DiscountRate, D549, V534))/(1+DiscountRate)^(D550)))</f>
        <v>884.37841048184657</v>
      </c>
      <c r="X534" s="148">
        <f>((PV(DiscountRate, (D549-D550),PMT(DiscountRate, D549, V534))/(1+DiscountRate)^(D550)))</f>
        <v>540.79957040967588</v>
      </c>
      <c r="Y534" s="285">
        <f>L534+Z544</f>
        <v>25094.023303940059</v>
      </c>
      <c r="Z534" s="285">
        <f>P538</f>
        <v>22479.484173505276</v>
      </c>
      <c r="AA534" s="285">
        <f>Z544</f>
        <v>1162.0173913043479</v>
      </c>
      <c r="AB534" s="117">
        <f>O534</f>
        <v>3.75</v>
      </c>
      <c r="AC534" s="117">
        <f>Z548</f>
        <v>1.5360000000000005</v>
      </c>
      <c r="AD534" s="286">
        <v>0</v>
      </c>
      <c r="AE534" s="286">
        <v>0</v>
      </c>
      <c r="AF534" s="287">
        <v>0</v>
      </c>
    </row>
    <row r="535" spans="1:32" x14ac:dyDescent="0.2">
      <c r="B535" s="16"/>
      <c r="C535" s="283" t="s">
        <v>2</v>
      </c>
      <c r="D535" s="62" t="str">
        <f>INDEX(Tbl_BaselineSummary[Equipment ID],MATCH(D533,Tbl_BaselineSummary[Baseline ID],0))</f>
        <v>EQUI038</v>
      </c>
      <c r="E535" s="5"/>
      <c r="F535" s="63" t="s">
        <v>55</v>
      </c>
      <c r="G535" s="68" t="str">
        <f>INDEX(Tbl_EquipmentDefinitions[Natural Gas Baseline Efficiency],MATCH(D535,Tbl_EquipmentDefinitions[Equipment ID],0))</f>
        <v>-</v>
      </c>
      <c r="H535" s="69" t="str">
        <f>INDEX(Tbl_EquipmentDefinitions[Natural Gas Code Efficiency],MATCH(D535,Tbl_EquipmentDefinitions[Equipment ID],0))</f>
        <v>-</v>
      </c>
      <c r="J535" s="5"/>
      <c r="K535" s="5"/>
      <c r="L535" s="5"/>
      <c r="M535" s="5"/>
      <c r="N535" s="5"/>
      <c r="O535" s="5"/>
      <c r="P535" s="5"/>
      <c r="Q535" s="5"/>
      <c r="R535" s="5"/>
      <c r="S535" s="5"/>
      <c r="T535" s="5"/>
      <c r="U535" s="5"/>
      <c r="V535" s="5"/>
      <c r="W535" s="5"/>
      <c r="X535" s="5"/>
      <c r="Y535" s="5"/>
      <c r="Z535" s="5"/>
      <c r="AA535" s="5"/>
      <c r="AB535" s="5"/>
      <c r="AC535" s="5"/>
      <c r="AD535" s="5"/>
      <c r="AE535" s="5"/>
      <c r="AF535" s="51"/>
    </row>
    <row r="536" spans="1:32" ht="12.75" x14ac:dyDescent="0.2">
      <c r="B536" s="16"/>
      <c r="C536" s="283" t="s">
        <v>4</v>
      </c>
      <c r="D536" s="64" t="str">
        <f>INDEX(Tbl_EquipmentDefinitions[Equipment Name],MATCH(D535,Tbl_EquipmentDefinitions[Equipment ID],0))</f>
        <v>Room AC/No AC Blend+Electric Baseboard</v>
      </c>
      <c r="E536" s="5"/>
      <c r="F536" s="63" t="s">
        <v>28</v>
      </c>
      <c r="G536" s="70" t="str">
        <f>INDEX(Tbl_EquipmentDefinitions[Propane Baseline Efficiency],MATCH(D535,Tbl_EquipmentDefinitions[Equipment ID],0))</f>
        <v>-</v>
      </c>
      <c r="H536" s="68" t="str">
        <f>INDEX(Tbl_EquipmentDefinitions[Propane Code Efficiency],MATCH(D535,Tbl_EquipmentDefinitions[Equipment ID],0))</f>
        <v>-</v>
      </c>
      <c r="J536" s="78" t="s">
        <v>272</v>
      </c>
      <c r="K536" s="78"/>
      <c r="L536" s="5"/>
      <c r="M536" s="5"/>
      <c r="N536" s="5"/>
      <c r="O536" s="5"/>
      <c r="P536" s="5"/>
      <c r="Q536" s="5"/>
      <c r="R536" s="5"/>
      <c r="S536" s="5"/>
      <c r="T536" s="5"/>
      <c r="U536" s="5"/>
      <c r="V536" s="5"/>
      <c r="W536" s="5"/>
    </row>
    <row r="537" spans="1:32" x14ac:dyDescent="0.2">
      <c r="B537" s="16"/>
      <c r="C537" s="283" t="s">
        <v>125</v>
      </c>
      <c r="D537" s="62" t="str">
        <f>INDEX(Tbl_EquipmentDefinitions[Equipment Level],MATCH(D535,Tbl_EquipmentDefinitions[Equipment ID],0))</f>
        <v>Secondary</v>
      </c>
      <c r="E537" s="5"/>
      <c r="F537" s="63" t="s">
        <v>27</v>
      </c>
      <c r="G537" s="68" t="str">
        <f>INDEX(Tbl_EquipmentDefinitions[Oil Baseline Efficiency],MATCH(D535,Tbl_EquipmentDefinitions[Equipment ID],0))</f>
        <v>-</v>
      </c>
      <c r="H537" s="70" t="str">
        <f>INDEX(Tbl_EquipmentDefinitions[Oil Code Efficiency],MATCH(D535,Tbl_EquipmentDefinitions[Equipment ID],0))</f>
        <v>-</v>
      </c>
      <c r="J537" s="5"/>
      <c r="K537" s="5"/>
      <c r="L537" s="5"/>
      <c r="M537" s="5"/>
      <c r="N537" s="5"/>
      <c r="O537" s="5"/>
      <c r="P537" s="5"/>
      <c r="Q537" s="5"/>
      <c r="R537" s="5"/>
      <c r="S537" s="5"/>
      <c r="T537" s="5"/>
      <c r="U537" s="5"/>
      <c r="V537" s="5"/>
      <c r="W537" s="5"/>
    </row>
    <row r="538" spans="1:32" ht="12.75" x14ac:dyDescent="0.2">
      <c r="B538" s="16"/>
      <c r="C538" s="283" t="s">
        <v>24</v>
      </c>
      <c r="D538" s="64" t="str">
        <f>INDEX(Tbl_EquipmentDefinitions[Function],MATCH(D535,Tbl_EquipmentDefinitions[Equipment ID],0))</f>
        <v>Cool+Heat</v>
      </c>
      <c r="E538" s="5"/>
      <c r="F538" s="5"/>
      <c r="G538" s="5"/>
      <c r="H538" s="5"/>
      <c r="J538" s="115" t="s">
        <v>157</v>
      </c>
      <c r="K538" s="113">
        <v>1</v>
      </c>
      <c r="L538" s="5" t="s">
        <v>356</v>
      </c>
      <c r="M538" s="5"/>
      <c r="N538" s="5"/>
      <c r="O538" s="220" t="s">
        <v>436</v>
      </c>
      <c r="P538" s="221">
        <f>K539*K538</f>
        <v>22479.484173505276</v>
      </c>
      <c r="Q538" s="6" t="s">
        <v>365</v>
      </c>
      <c r="S538" s="375"/>
      <c r="T538" s="5"/>
      <c r="U538" s="5"/>
      <c r="V538" s="5"/>
      <c r="W538" s="5"/>
      <c r="Y538" s="6" t="s">
        <v>279</v>
      </c>
    </row>
    <row r="539" spans="1:32" ht="12.75" x14ac:dyDescent="0.2">
      <c r="B539" s="16"/>
      <c r="C539" s="283" t="s">
        <v>7</v>
      </c>
      <c r="D539" s="62" t="str">
        <f>INDEX(Tbl_EquipmentDefinitions[Fuel Type],MATCH(D535,Tbl_EquipmentDefinitions[Equipment ID],0))</f>
        <v>Electric+Electric</v>
      </c>
      <c r="E539" s="65"/>
      <c r="F539" s="671" t="s">
        <v>273</v>
      </c>
      <c r="G539" s="672"/>
      <c r="H539" s="672"/>
      <c r="J539" s="115" t="s">
        <v>369</v>
      </c>
      <c r="K539" s="221">
        <f>D542*1000000/Btu_per_kWh</f>
        <v>22479.484173505276</v>
      </c>
      <c r="L539" s="5"/>
      <c r="M539" s="5"/>
      <c r="N539" s="5"/>
      <c r="O539" s="155"/>
      <c r="S539" s="375"/>
      <c r="Y539" s="6" t="s">
        <v>1508</v>
      </c>
    </row>
    <row r="540" spans="1:32" ht="12.75" x14ac:dyDescent="0.2">
      <c r="B540" s="16"/>
      <c r="C540" s="283" t="s">
        <v>126</v>
      </c>
      <c r="D540" s="64">
        <f>IF(ISERR(SEARCH("+",D539,1)),1,2)</f>
        <v>2</v>
      </c>
      <c r="E540" s="65"/>
      <c r="F540" s="672"/>
      <c r="G540" s="672"/>
      <c r="H540" s="672"/>
      <c r="J540" s="156"/>
      <c r="K540" s="5"/>
      <c r="L540" s="5"/>
      <c r="M540" s="5"/>
      <c r="N540" s="5"/>
      <c r="O540" s="222" t="s">
        <v>368</v>
      </c>
      <c r="P540" s="292">
        <f>P538*PRICE_PER_KWH_2018_ELECTRICITY</f>
        <v>4446.4419695193437</v>
      </c>
      <c r="Q540" s="6" t="s">
        <v>164</v>
      </c>
      <c r="S540" s="376"/>
      <c r="Y540" s="6" t="s">
        <v>1493</v>
      </c>
    </row>
    <row r="541" spans="1:32" ht="12.75" x14ac:dyDescent="0.2">
      <c r="B541" s="16"/>
      <c r="C541" s="284"/>
      <c r="D541" s="5"/>
      <c r="E541" s="5"/>
      <c r="F541" s="672"/>
      <c r="G541" s="672"/>
      <c r="H541" s="672"/>
      <c r="J541" s="115" t="s">
        <v>357</v>
      </c>
      <c r="K541" s="5"/>
      <c r="L541" s="374"/>
      <c r="M541" s="567"/>
      <c r="N541" s="567"/>
      <c r="O541" s="155"/>
      <c r="S541" s="5"/>
      <c r="T541" s="5"/>
      <c r="U541" s="5"/>
      <c r="V541" s="5"/>
      <c r="W541" s="5"/>
      <c r="Y541" s="6" t="s">
        <v>1494</v>
      </c>
    </row>
    <row r="542" spans="1:32" ht="12.75" x14ac:dyDescent="0.2">
      <c r="B542" s="16"/>
      <c r="C542" s="283" t="s">
        <v>155</v>
      </c>
      <c r="D542" s="62">
        <f>INDEX(Tbl_BaselineSummary[Space Heating Load (MMBtu/yr)],MATCH(D533,Tbl_BaselineSummary[Baseline ID],0))</f>
        <v>76.7</v>
      </c>
      <c r="E542" s="5" t="s">
        <v>156</v>
      </c>
      <c r="F542" s="672"/>
      <c r="G542" s="672"/>
      <c r="H542" s="672"/>
      <c r="J542" s="115" t="s">
        <v>358</v>
      </c>
      <c r="K542" s="44">
        <v>3</v>
      </c>
      <c r="L542" s="129" t="s">
        <v>359</v>
      </c>
      <c r="M542" s="129"/>
      <c r="N542" s="129"/>
      <c r="O542" s="222" t="s">
        <v>174</v>
      </c>
      <c r="P542" s="44">
        <v>0.5</v>
      </c>
      <c r="Q542" s="45" t="s">
        <v>367</v>
      </c>
      <c r="S542" s="5"/>
      <c r="T542" s="5"/>
      <c r="U542" s="5"/>
      <c r="V542" s="5"/>
      <c r="W542" s="5"/>
      <c r="Y542" s="154" t="s">
        <v>1440</v>
      </c>
      <c r="Z542" s="406">
        <f>ACBASE2_INSTALL_COST</f>
        <v>834.78260869565224</v>
      </c>
      <c r="AA542" s="5" t="s">
        <v>164</v>
      </c>
    </row>
    <row r="543" spans="1:32" ht="12.75" x14ac:dyDescent="0.2">
      <c r="B543" s="16"/>
      <c r="C543" s="283" t="s">
        <v>167</v>
      </c>
      <c r="D543" s="62">
        <f>INDEX(Tbl_BaselineSummary[Space Cooling Load (MMBtu/yr)],MATCH(D533,Tbl_BaselineSummary[Baseline ID],0))</f>
        <v>13.072800000000001</v>
      </c>
      <c r="E543" s="5" t="s">
        <v>156</v>
      </c>
      <c r="F543" s="672"/>
      <c r="G543" s="672"/>
      <c r="H543" s="672"/>
      <c r="J543" s="115" t="s">
        <v>360</v>
      </c>
      <c r="K543" s="44">
        <v>10</v>
      </c>
      <c r="L543" s="128" t="s">
        <v>361</v>
      </c>
      <c r="M543" s="128"/>
      <c r="N543" s="128"/>
      <c r="O543" s="155"/>
      <c r="T543" s="5"/>
      <c r="U543" s="5"/>
      <c r="V543" s="5"/>
      <c r="W543" s="5"/>
      <c r="Y543" s="154" t="s">
        <v>1501</v>
      </c>
      <c r="Z543" s="288">
        <f>ACBASE2_BASE_KWH</f>
        <v>1452.521739130435</v>
      </c>
      <c r="AA543" s="6" t="s">
        <v>170</v>
      </c>
    </row>
    <row r="544" spans="1:32" ht="12.75" x14ac:dyDescent="0.2">
      <c r="B544" s="16"/>
      <c r="C544" s="283" t="s">
        <v>244</v>
      </c>
      <c r="D544" s="62">
        <f>INDEX(Tbl_BaselineSummary[Water Heating Load (MMBtu/yr)],MATCH(D533,Tbl_BaselineSummary[Baseline ID],0))</f>
        <v>8</v>
      </c>
      <c r="E544" s="5" t="s">
        <v>156</v>
      </c>
      <c r="F544" s="672"/>
      <c r="G544" s="672"/>
      <c r="H544" s="672"/>
      <c r="J544" s="115" t="s">
        <v>362</v>
      </c>
      <c r="K544" s="44">
        <v>250</v>
      </c>
      <c r="L544" s="71" t="s">
        <v>363</v>
      </c>
      <c r="M544" s="71"/>
      <c r="N544" s="71"/>
      <c r="O544" s="222" t="s">
        <v>366</v>
      </c>
      <c r="P544" s="56">
        <f>P542*K545</f>
        <v>3.75</v>
      </c>
      <c r="Q544" s="6" t="s">
        <v>176</v>
      </c>
      <c r="S544" s="5"/>
      <c r="T544" s="5"/>
      <c r="U544" s="5"/>
      <c r="V544" s="5"/>
      <c r="W544" s="5"/>
      <c r="Y544" s="154" t="s">
        <v>1502</v>
      </c>
      <c r="Z544" s="288">
        <f>ACBASE2_CODE_KWH</f>
        <v>1162.0173913043479</v>
      </c>
      <c r="AA544" s="6" t="s">
        <v>170</v>
      </c>
    </row>
    <row r="545" spans="2:32" ht="12.75" x14ac:dyDescent="0.2">
      <c r="B545" s="16"/>
      <c r="C545" s="284"/>
      <c r="D545" s="5"/>
      <c r="E545" s="5"/>
      <c r="F545" s="5"/>
      <c r="G545" s="5"/>
      <c r="H545" s="5"/>
      <c r="J545" s="115" t="s">
        <v>364</v>
      </c>
      <c r="K545" s="56">
        <f>K542*K543*K544/1000</f>
        <v>7.5</v>
      </c>
      <c r="L545" s="5" t="s">
        <v>176</v>
      </c>
      <c r="M545" s="5"/>
      <c r="N545" s="5"/>
      <c r="S545" s="5"/>
      <c r="T545" s="5"/>
      <c r="U545" s="5"/>
      <c r="V545" s="5"/>
      <c r="W545" s="5"/>
      <c r="Y545" s="154" t="s">
        <v>1503</v>
      </c>
      <c r="Z545" s="42">
        <f>ACBASE2_BASE_OP_COST</f>
        <v>287.30880000000002</v>
      </c>
      <c r="AA545" s="6" t="s">
        <v>164</v>
      </c>
    </row>
    <row r="546" spans="2:32" ht="12.75" x14ac:dyDescent="0.2">
      <c r="B546" s="16"/>
      <c r="C546" s="283" t="s">
        <v>635</v>
      </c>
      <c r="D546" s="62">
        <f>INDEX(Tbl_EquipmentDefinitions[New Unit Equipment Life (years)],MATCH('Baseline Calculations'!D535,Tbl_EquipmentDefinitions[Equipment ID],0))</f>
        <v>15</v>
      </c>
      <c r="E546" s="188" t="s">
        <v>376</v>
      </c>
      <c r="F546" s="5"/>
      <c r="G546" s="5"/>
      <c r="H546" s="5"/>
      <c r="J546" s="234"/>
      <c r="O546" s="6" t="s">
        <v>727</v>
      </c>
      <c r="P546" s="293">
        <f>K542*(110+75)</f>
        <v>555</v>
      </c>
      <c r="Q546" s="45" t="s">
        <v>728</v>
      </c>
      <c r="S546" s="5"/>
      <c r="T546" s="5"/>
      <c r="U546" s="5"/>
      <c r="V546" s="5"/>
      <c r="W546" s="5"/>
      <c r="Y546" s="154" t="s">
        <v>1504</v>
      </c>
      <c r="Z546" s="42">
        <f>ACBASE2_CODE_OP_COST</f>
        <v>229.84704000000002</v>
      </c>
      <c r="AA546" s="6" t="s">
        <v>164</v>
      </c>
    </row>
    <row r="547" spans="2:32" ht="12.75" x14ac:dyDescent="0.2">
      <c r="B547" s="16"/>
      <c r="C547" s="283" t="s">
        <v>636</v>
      </c>
      <c r="D547" s="62">
        <f>INDEX(Tbl_EquipmentDefinitions[Remaining Life for Early Replacement (years)],MATCH('Baseline Calculations'!D535,Tbl_EquipmentDefinitions[Equipment ID],0))</f>
        <v>5</v>
      </c>
      <c r="E547" s="188" t="s">
        <v>376</v>
      </c>
      <c r="F547" s="5"/>
      <c r="G547" s="5"/>
      <c r="H547" s="5"/>
      <c r="J547" s="234"/>
      <c r="S547" s="5"/>
      <c r="T547" s="5"/>
      <c r="U547" s="5"/>
      <c r="V547" s="5"/>
      <c r="W547" s="5"/>
      <c r="Y547" s="154" t="s">
        <v>742</v>
      </c>
      <c r="Z547" s="37">
        <f>ACBASE2_BASE_KW_DEMAND</f>
        <v>1.9200000000000002</v>
      </c>
      <c r="AA547" s="6" t="s">
        <v>176</v>
      </c>
    </row>
    <row r="548" spans="2:32" ht="12.75" x14ac:dyDescent="0.2">
      <c r="B548" s="16"/>
      <c r="C548" s="377"/>
      <c r="D548" s="188"/>
      <c r="E548" s="188"/>
      <c r="F548" s="5"/>
      <c r="G548" s="5"/>
      <c r="H548" s="5"/>
      <c r="J548" s="234"/>
      <c r="S548" s="5"/>
      <c r="T548" s="5"/>
      <c r="U548" s="5"/>
      <c r="V548" s="5"/>
      <c r="W548" s="5"/>
      <c r="Y548" s="154" t="s">
        <v>743</v>
      </c>
      <c r="Z548" s="37">
        <f>ACBASE2_CODE_KW_DEMAND</f>
        <v>1.5360000000000005</v>
      </c>
      <c r="AA548" s="6" t="s">
        <v>176</v>
      </c>
    </row>
    <row r="549" spans="2:32" ht="12.75" x14ac:dyDescent="0.2">
      <c r="B549" s="16"/>
      <c r="C549" s="283" t="s">
        <v>934</v>
      </c>
      <c r="D549" s="62">
        <f>INDEX(Tbl_EquipmentDefinitions[A/C Life (years)],MATCH('Baseline Calculations'!D535,Tbl_EquipmentDefinitions[Equipment ID],0))</f>
        <v>6</v>
      </c>
      <c r="E549" s="188" t="s">
        <v>376</v>
      </c>
      <c r="F549" s="5"/>
      <c r="G549" s="5"/>
      <c r="H549" s="5"/>
      <c r="J549" s="234"/>
      <c r="S549" s="5"/>
      <c r="T549" s="5"/>
      <c r="U549" s="5"/>
      <c r="V549" s="5"/>
      <c r="W549" s="5"/>
    </row>
    <row r="550" spans="2:32" ht="12.75" x14ac:dyDescent="0.2">
      <c r="B550" s="16"/>
      <c r="C550" s="283" t="s">
        <v>935</v>
      </c>
      <c r="D550" s="298">
        <f>INDEX(Tbl_EquipmentDefinitions[Remaining A/C Life for Early Replacement (years)],MATCH('Baseline Calculations'!D535,Tbl_EquipmentDefinitions[Equipment ID],0))</f>
        <v>2</v>
      </c>
      <c r="E550" s="188" t="s">
        <v>376</v>
      </c>
      <c r="F550" s="5"/>
      <c r="G550" s="5"/>
      <c r="H550" s="5"/>
      <c r="J550" s="234"/>
      <c r="S550" s="5"/>
      <c r="T550" s="5"/>
      <c r="U550" s="5"/>
      <c r="V550" s="5"/>
      <c r="W550" s="5"/>
    </row>
    <row r="551" spans="2:32" ht="12.75" x14ac:dyDescent="0.2">
      <c r="B551" s="16"/>
      <c r="C551" s="377"/>
      <c r="D551" s="188"/>
      <c r="E551" s="188"/>
      <c r="F551" s="5"/>
      <c r="G551" s="5"/>
      <c r="H551" s="5"/>
      <c r="J551" s="234"/>
      <c r="S551" s="5"/>
      <c r="T551" s="5"/>
      <c r="U551" s="5"/>
      <c r="V551" s="5"/>
      <c r="W551" s="5"/>
    </row>
    <row r="552" spans="2:32" ht="12.75" x14ac:dyDescent="0.2">
      <c r="B552" s="16"/>
      <c r="C552" s="377"/>
      <c r="D552" s="188"/>
      <c r="E552" s="188"/>
      <c r="F552" s="5"/>
      <c r="G552" s="5"/>
      <c r="H552" s="5"/>
      <c r="J552" s="234"/>
      <c r="S552" s="5"/>
      <c r="T552" s="5"/>
      <c r="U552" s="5"/>
      <c r="V552" s="5"/>
      <c r="W552" s="5"/>
    </row>
    <row r="553" spans="2:32" ht="12.75" x14ac:dyDescent="0.2">
      <c r="B553" s="16"/>
      <c r="C553" s="377"/>
      <c r="D553" s="188"/>
      <c r="E553" s="188"/>
      <c r="F553" s="5"/>
      <c r="G553" s="5"/>
      <c r="H553" s="5"/>
      <c r="J553" s="234"/>
      <c r="S553" s="5"/>
      <c r="T553" s="5"/>
      <c r="U553" s="5"/>
      <c r="V553" s="5"/>
      <c r="W553" s="5"/>
    </row>
    <row r="554" spans="2:32" ht="12.75" x14ac:dyDescent="0.2">
      <c r="B554" s="16"/>
      <c r="C554" s="377"/>
      <c r="D554" s="188"/>
      <c r="E554" s="188"/>
      <c r="F554" s="5"/>
      <c r="G554" s="5"/>
      <c r="H554" s="5"/>
      <c r="J554" s="234"/>
      <c r="S554" s="5"/>
      <c r="T554" s="5"/>
      <c r="U554" s="5"/>
      <c r="V554" s="5"/>
      <c r="W554" s="5"/>
    </row>
    <row r="555" spans="2:32" x14ac:dyDescent="0.2">
      <c r="B555" s="16"/>
      <c r="C555" s="58"/>
      <c r="D555" s="59"/>
      <c r="E555" s="59"/>
      <c r="F555" s="59"/>
      <c r="G555" s="59"/>
      <c r="H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60"/>
    </row>
  </sheetData>
  <sortState ref="E407:E425">
    <sortCondition ref="E407"/>
  </sortState>
  <mergeCells count="26">
    <mergeCell ref="F513:H518"/>
    <mergeCell ref="F539:H544"/>
    <mergeCell ref="F487:H492"/>
    <mergeCell ref="F434:H439"/>
    <mergeCell ref="F461:H466"/>
    <mergeCell ref="F180:H185"/>
    <mergeCell ref="F202:H207"/>
    <mergeCell ref="Q105:R107"/>
    <mergeCell ref="F412:H417"/>
    <mergeCell ref="F224:H229"/>
    <mergeCell ref="F243:H248"/>
    <mergeCell ref="F265:H270"/>
    <mergeCell ref="F287:H292"/>
    <mergeCell ref="F306:H311"/>
    <mergeCell ref="F325:H330"/>
    <mergeCell ref="F348:H353"/>
    <mergeCell ref="F391:H396"/>
    <mergeCell ref="F371:H376"/>
    <mergeCell ref="F106:H111"/>
    <mergeCell ref="F47:H52"/>
    <mergeCell ref="F158:H163"/>
    <mergeCell ref="Q131:R133"/>
    <mergeCell ref="F132:H137"/>
    <mergeCell ref="Q79:R81"/>
    <mergeCell ref="F80:H85"/>
    <mergeCell ref="Q47:R48"/>
  </mergeCells>
  <conditionalFormatting sqref="H24 G23:H23 G25:H29 H13:I16 G17:I22 G30:I34">
    <cfRule type="cellIs" dxfId="550" priority="12" operator="equal">
      <formula>0</formula>
    </cfRule>
  </conditionalFormatting>
  <conditionalFormatting sqref="I23">
    <cfRule type="cellIs" dxfId="549" priority="9" operator="equal">
      <formula>0</formula>
    </cfRule>
  </conditionalFormatting>
  <conditionalFormatting sqref="I25">
    <cfRule type="cellIs" dxfId="548" priority="8" operator="equal">
      <formula>0</formula>
    </cfRule>
  </conditionalFormatting>
  <conditionalFormatting sqref="I27">
    <cfRule type="cellIs" dxfId="547" priority="7" operator="equal">
      <formula>0</formula>
    </cfRule>
  </conditionalFormatting>
  <conditionalFormatting sqref="I24">
    <cfRule type="cellIs" dxfId="546" priority="5" operator="equal">
      <formula>0</formula>
    </cfRule>
  </conditionalFormatting>
  <conditionalFormatting sqref="I26">
    <cfRule type="cellIs" dxfId="545" priority="4" operator="equal">
      <formula>0</formula>
    </cfRule>
  </conditionalFormatting>
  <conditionalFormatting sqref="I28">
    <cfRule type="cellIs" dxfId="544" priority="3" operator="equal">
      <formula>0</formula>
    </cfRule>
  </conditionalFormatting>
  <conditionalFormatting sqref="I29">
    <cfRule type="cellIs" dxfId="543" priority="2" operator="equal">
      <formula>0</formula>
    </cfRule>
  </conditionalFormatting>
  <dataValidations count="2">
    <dataValidation type="list" allowBlank="1" showInputMessage="1" showErrorMessage="1" sqref="D100 D41 D126 D74 D406 D218 D152 D174 D196 D385 D365 D319 D342 D237 D259 D281 D300 D428 D455 D481 D507 D533">
      <formula1>$C$13:$C$34</formula1>
    </dataValidation>
    <dataValidation type="list" allowBlank="1" showInputMessage="1" showErrorMessage="1" sqref="D13:D34">
      <formula1>List_EquipmentID</formula1>
    </dataValidation>
  </dataValidations>
  <hyperlinks>
    <hyperlink ref="J372" r:id="rId1"/>
  </hyperlinks>
  <pageMargins left="0.7" right="0.7" top="0.75" bottom="0.75" header="0.3" footer="0.3"/>
  <pageSetup orientation="portrait" r:id="rId2"/>
  <legacyDrawing r:id="rId3"/>
  <tableParts count="1">
    <tablePart r:id="rId4"/>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3"/>
  </sheetPr>
  <dimension ref="A1:AD156"/>
  <sheetViews>
    <sheetView workbookViewId="0"/>
  </sheetViews>
  <sheetFormatPr defaultColWidth="9.33203125" defaultRowHeight="11.25" x14ac:dyDescent="0.2"/>
  <cols>
    <col min="1" max="2" width="3.33203125" style="6" customWidth="1"/>
    <col min="3" max="3" width="22.6640625" style="6" bestFit="1" customWidth="1"/>
    <col min="4" max="4" width="19.5" style="6" customWidth="1"/>
    <col min="5" max="5" width="23.6640625" style="6" customWidth="1"/>
    <col min="6" max="6" width="15" style="6" customWidth="1"/>
    <col min="7" max="7" width="13.5" style="6" customWidth="1"/>
    <col min="8" max="8" width="14.1640625" style="6" customWidth="1"/>
    <col min="9" max="9" width="22.33203125" style="6" bestFit="1" customWidth="1"/>
    <col min="10" max="10" width="20.5" style="6" bestFit="1" customWidth="1"/>
    <col min="11"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93" t="s">
        <v>842</v>
      </c>
      <c r="E9" s="7" t="s">
        <v>290</v>
      </c>
    </row>
    <row r="10" spans="1:30" ht="12.75" x14ac:dyDescent="0.2">
      <c r="B10" s="16"/>
      <c r="C10" s="30" t="s">
        <v>289</v>
      </c>
      <c r="D10" s="83" t="str">
        <f>INDEX(Tbl_MeasureList[Baseline ID],MATCH($D$9,Tbl_MeasureList[Measure ID],0))</f>
        <v>BASE19</v>
      </c>
      <c r="E10" s="7"/>
    </row>
    <row r="11" spans="1:30" x14ac:dyDescent="0.2">
      <c r="B11" s="16"/>
      <c r="C11" s="7"/>
      <c r="D11" s="7"/>
      <c r="E11" s="7"/>
    </row>
    <row r="12" spans="1:30" ht="12" thickBot="1" x14ac:dyDescent="0.25">
      <c r="B12" s="16"/>
      <c r="C12" s="7"/>
      <c r="D12" s="338" t="s">
        <v>5</v>
      </c>
      <c r="E12" s="338" t="s">
        <v>284</v>
      </c>
    </row>
    <row r="13" spans="1:30" x14ac:dyDescent="0.2">
      <c r="B13" s="16"/>
      <c r="C13" s="32" t="s">
        <v>2</v>
      </c>
      <c r="D13" s="84" t="str">
        <f>INDEX(Tbl_MeasureList[Baseline Equipment ID],MATCH($D$9,Tbl_MeasureList[Measure ID],0))</f>
        <v>EQUI034</v>
      </c>
      <c r="E13" s="84" t="str">
        <f>INDEX(Tbl_MeasureList[Replacement ID],MATCH($D$9,Tbl_MeasureList[Measure ID],0))</f>
        <v>EQUI035</v>
      </c>
      <c r="F13" s="7"/>
    </row>
    <row r="14" spans="1:30" x14ac:dyDescent="0.2">
      <c r="B14" s="16"/>
      <c r="C14" s="32" t="s">
        <v>4</v>
      </c>
      <c r="D14" s="85" t="str">
        <f>INDEX(Tbl_EquipmentDefinitions[[Equipment Name]:[Equipment Name]],MATCH(D$13,Tbl_EquipmentDefinitions[[Equipment ID]:[Equipment ID]],0))</f>
        <v>Central A/C+Propane Boiler</v>
      </c>
      <c r="E14" s="85" t="str">
        <f>INDEX(Tbl_EquipmentDefinitions[[Equipment Name]:[Equipment Name]],MATCH(E$13,Tbl_EquipmentDefinitions[[Equipment ID]:[Equipment ID]],0))</f>
        <v>Central HP+Propane Boiler</v>
      </c>
      <c r="F14" s="7"/>
    </row>
    <row r="15" spans="1:30" x14ac:dyDescent="0.2">
      <c r="B15" s="16"/>
      <c r="C15" s="32" t="s">
        <v>24</v>
      </c>
      <c r="D15" s="84" t="str">
        <f>INDEX(Tbl_EquipmentDefinitions[[Function]:[Function]],MATCH(D$13,Tbl_EquipmentDefinitions[[Equipment ID]:[Equipment ID]],0))</f>
        <v>Cool+Heat</v>
      </c>
      <c r="E15" s="84" t="str">
        <f>INDEX(Tbl_EquipmentDefinitions[[Function]:[Function]],MATCH(E$13,Tbl_EquipmentDefinitions[[Equipment ID]:[Equipment ID]],0))</f>
        <v>Cool+Heat</v>
      </c>
      <c r="F15" s="7"/>
    </row>
    <row r="16" spans="1:30" x14ac:dyDescent="0.2">
      <c r="B16" s="16"/>
      <c r="C16" s="32" t="s">
        <v>7</v>
      </c>
      <c r="D16" s="85" t="str">
        <f>INDEX(Tbl_EquipmentDefinitions[[Fuel Type]:[Fuel Type]],MATCH(D$13,Tbl_EquipmentDefinitions[[Equipment ID]:[Equipment ID]],0))</f>
        <v>Electric+Propane</v>
      </c>
      <c r="E16" s="85" t="str">
        <f>INDEX(Tbl_EquipmentDefinitions[[Fuel Type]:[Fuel Type]],MATCH(E$13,Tbl_EquipmentDefinitions[[Equipment ID]:[Equipment ID]],0))</f>
        <v>Electric+Propane</v>
      </c>
      <c r="F16" s="7"/>
    </row>
    <row r="17" spans="2:14" x14ac:dyDescent="0.2">
      <c r="B17" s="16"/>
      <c r="C17" s="32" t="s">
        <v>126</v>
      </c>
      <c r="D17" s="84">
        <f>IF(ISERR(SEARCH("+",D16,1)),1,2)</f>
        <v>2</v>
      </c>
      <c r="E17" s="84">
        <f>IF(ISERR(SEARCH("+",E16,1)),1,2)</f>
        <v>2</v>
      </c>
      <c r="F17" s="7"/>
    </row>
    <row r="18" spans="2:14" x14ac:dyDescent="0.2">
      <c r="B18" s="16"/>
      <c r="C18" s="32" t="s">
        <v>155</v>
      </c>
      <c r="D18" s="86">
        <f>INDEX(Tbl_BaselineSummary[Space Heating Load (MMBtu/yr)],MATCH($D$10,Tbl_BaselineSummary[Baseline ID],0))</f>
        <v>76.7</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11.3</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338" t="s">
        <v>127</v>
      </c>
      <c r="D25" s="338" t="s">
        <v>345</v>
      </c>
      <c r="E25" s="385" t="s">
        <v>956</v>
      </c>
      <c r="F25" s="338" t="s">
        <v>326</v>
      </c>
      <c r="G25" s="421" t="s">
        <v>1532</v>
      </c>
      <c r="H25" s="385" t="s">
        <v>958</v>
      </c>
      <c r="I25" s="569" t="s">
        <v>1447</v>
      </c>
      <c r="J25" s="569" t="s">
        <v>1448</v>
      </c>
      <c r="L25" s="338" t="s">
        <v>1533</v>
      </c>
      <c r="M25" s="421" t="s">
        <v>1531</v>
      </c>
    </row>
    <row r="26" spans="2:14" ht="11.25" customHeight="1" x14ac:dyDescent="0.2">
      <c r="B26" s="16"/>
      <c r="C26" s="32" t="s">
        <v>6</v>
      </c>
      <c r="D26" s="122">
        <f>D102</f>
        <v>8867.8930335714904</v>
      </c>
      <c r="E26" s="126">
        <f>D126</f>
        <v>1.1341463414634148</v>
      </c>
      <c r="F26" s="111">
        <f>D106</f>
        <v>1754.0692420404409</v>
      </c>
      <c r="G26" s="296">
        <f>D153</f>
        <v>11242.5</v>
      </c>
      <c r="H26" s="126">
        <f>D137</f>
        <v>1.2820512820512822</v>
      </c>
      <c r="I26" s="202">
        <f>D98</f>
        <v>933.7714285714286</v>
      </c>
      <c r="J26" s="202">
        <f>D78</f>
        <v>7934.1216050000621</v>
      </c>
      <c r="L26" s="84">
        <f t="shared" ref="L26:M28" si="0">F26+E32+E38+E44</f>
        <v>2511.6825931766671</v>
      </c>
      <c r="M26" s="86">
        <f t="shared" si="0"/>
        <v>11242.5</v>
      </c>
    </row>
    <row r="27" spans="2:14" x14ac:dyDescent="0.2">
      <c r="B27" s="16"/>
      <c r="C27" s="32" t="s">
        <v>19</v>
      </c>
      <c r="D27" s="122">
        <f>D103</f>
        <v>8472.2455548388152</v>
      </c>
      <c r="E27" s="126">
        <f>D127</f>
        <v>1.0941176470588236</v>
      </c>
      <c r="F27" s="111">
        <f>D107</f>
        <v>1675.8101707471176</v>
      </c>
      <c r="G27" s="296">
        <f t="shared" ref="G27:G28" si="1">D154</f>
        <v>12112.5</v>
      </c>
      <c r="H27" s="126">
        <f t="shared" ref="H27:H28" si="2">D138</f>
        <v>1.2820512820512822</v>
      </c>
      <c r="I27" s="202">
        <f t="shared" ref="I27:I28" si="3">D99</f>
        <v>817.05000000000007</v>
      </c>
      <c r="J27" s="202">
        <f t="shared" ref="J27:J28" si="4">D79</f>
        <v>7655.195554838816</v>
      </c>
      <c r="L27" s="84">
        <f t="shared" si="0"/>
        <v>2433.4235218833437</v>
      </c>
      <c r="M27" s="86">
        <f t="shared" si="0"/>
        <v>12112.5</v>
      </c>
    </row>
    <row r="28" spans="2:14" x14ac:dyDescent="0.2">
      <c r="B28" s="16"/>
      <c r="C28" s="32" t="s">
        <v>20</v>
      </c>
      <c r="D28" s="122">
        <f>D104</f>
        <v>7507.8813282921392</v>
      </c>
      <c r="E28" s="126">
        <f>D128</f>
        <v>1.6875000000000004</v>
      </c>
      <c r="F28" s="111">
        <f>D108</f>
        <v>1485.0589267361852</v>
      </c>
      <c r="G28" s="296">
        <f t="shared" si="1"/>
        <v>12982.5</v>
      </c>
      <c r="H28" s="126">
        <f t="shared" si="2"/>
        <v>1.2820512820512822</v>
      </c>
      <c r="I28" s="202">
        <f t="shared" si="3"/>
        <v>726.26666666666677</v>
      </c>
      <c r="J28" s="202">
        <f t="shared" si="4"/>
        <v>6781.6146616254728</v>
      </c>
      <c r="L28" s="84">
        <f t="shared" si="0"/>
        <v>2242.6722778724111</v>
      </c>
      <c r="M28" s="86">
        <f t="shared" si="0"/>
        <v>12982.5</v>
      </c>
    </row>
    <row r="29" spans="2:14" x14ac:dyDescent="0.2">
      <c r="B29" s="16"/>
    </row>
    <row r="30" spans="2:14" ht="12.75" thickBot="1" x14ac:dyDescent="0.25">
      <c r="B30" s="16"/>
      <c r="C30" s="34" t="s">
        <v>55</v>
      </c>
      <c r="D30" s="34"/>
      <c r="E30" s="33"/>
      <c r="F30" s="33"/>
    </row>
    <row r="31" spans="2:14" ht="34.5" thickBot="1" x14ac:dyDescent="0.25">
      <c r="B31" s="16"/>
      <c r="C31" s="338" t="s">
        <v>127</v>
      </c>
      <c r="D31" s="338" t="s">
        <v>325</v>
      </c>
      <c r="E31" s="338" t="s">
        <v>326</v>
      </c>
      <c r="F31" s="421" t="s">
        <v>1532</v>
      </c>
    </row>
    <row r="32" spans="2:14" x14ac:dyDescent="0.2">
      <c r="B32" s="16"/>
      <c r="C32" s="32" t="s">
        <v>6</v>
      </c>
      <c r="D32" s="40">
        <v>0</v>
      </c>
      <c r="E32" s="39">
        <v>0</v>
      </c>
      <c r="F32" s="39">
        <v>0</v>
      </c>
      <c r="G32" s="7" t="s">
        <v>128</v>
      </c>
    </row>
    <row r="33" spans="2:14" x14ac:dyDescent="0.2">
      <c r="B33" s="16"/>
      <c r="C33" s="32" t="s">
        <v>19</v>
      </c>
      <c r="D33" s="40">
        <v>0</v>
      </c>
      <c r="E33" s="39">
        <v>0</v>
      </c>
      <c r="F33" s="39">
        <v>0</v>
      </c>
    </row>
    <row r="34" spans="2:14" x14ac:dyDescent="0.2">
      <c r="B34" s="16"/>
      <c r="C34" s="32" t="s">
        <v>20</v>
      </c>
      <c r="D34" s="40">
        <v>0</v>
      </c>
      <c r="E34" s="39">
        <v>0</v>
      </c>
      <c r="F34" s="39">
        <v>0</v>
      </c>
    </row>
    <row r="35" spans="2:14" x14ac:dyDescent="0.2">
      <c r="B35" s="16"/>
    </row>
    <row r="36" spans="2:14" ht="12.75" thickBot="1" x14ac:dyDescent="0.25">
      <c r="B36" s="16"/>
      <c r="C36" s="34" t="s">
        <v>28</v>
      </c>
      <c r="D36" s="34"/>
      <c r="E36" s="33"/>
      <c r="F36" s="33"/>
    </row>
    <row r="37" spans="2:14" ht="34.5" thickBot="1" x14ac:dyDescent="0.25">
      <c r="B37" s="16"/>
      <c r="C37" s="338" t="s">
        <v>127</v>
      </c>
      <c r="D37" s="338" t="s">
        <v>756</v>
      </c>
      <c r="E37" s="338" t="s">
        <v>326</v>
      </c>
      <c r="F37" s="421" t="s">
        <v>1532</v>
      </c>
    </row>
    <row r="38" spans="2:14" x14ac:dyDescent="0.2">
      <c r="B38" s="16"/>
      <c r="C38" s="32" t="s">
        <v>6</v>
      </c>
      <c r="D38" s="122">
        <f>$D$86</f>
        <v>21.076789582493124</v>
      </c>
      <c r="E38" s="111">
        <f>$D$87</f>
        <v>757.6133511362259</v>
      </c>
      <c r="F38" s="139">
        <v>0</v>
      </c>
      <c r="G38" s="7" t="s">
        <v>128</v>
      </c>
    </row>
    <row r="39" spans="2:14" x14ac:dyDescent="0.2">
      <c r="B39" s="16"/>
      <c r="C39" s="32" t="s">
        <v>19</v>
      </c>
      <c r="D39" s="122">
        <f>$D$86</f>
        <v>21.076789582493124</v>
      </c>
      <c r="E39" s="111">
        <f>$D$87</f>
        <v>757.6133511362259</v>
      </c>
      <c r="F39" s="139">
        <v>0</v>
      </c>
    </row>
    <row r="40" spans="2:14" x14ac:dyDescent="0.2">
      <c r="B40" s="16"/>
      <c r="C40" s="32" t="s">
        <v>20</v>
      </c>
      <c r="D40" s="122">
        <f>$D$86</f>
        <v>21.076789582493124</v>
      </c>
      <c r="E40" s="111">
        <f>$D$87</f>
        <v>757.6133511362259</v>
      </c>
      <c r="F40" s="139">
        <v>0</v>
      </c>
    </row>
    <row r="41" spans="2:14" x14ac:dyDescent="0.2">
      <c r="B41" s="16"/>
    </row>
    <row r="42" spans="2:14" ht="12.75" thickBot="1" x14ac:dyDescent="0.25">
      <c r="B42" s="16"/>
      <c r="C42" s="34" t="s">
        <v>27</v>
      </c>
      <c r="D42" s="34"/>
      <c r="E42" s="33"/>
      <c r="F42" s="33"/>
    </row>
    <row r="43" spans="2:14" ht="34.5" thickBot="1" x14ac:dyDescent="0.25">
      <c r="B43" s="16"/>
      <c r="C43" s="338" t="s">
        <v>127</v>
      </c>
      <c r="D43" s="338" t="s">
        <v>756</v>
      </c>
      <c r="E43" s="338" t="s">
        <v>326</v>
      </c>
      <c r="F43" s="421" t="s">
        <v>1532</v>
      </c>
    </row>
    <row r="44" spans="2:14" x14ac:dyDescent="0.2">
      <c r="B44" s="16"/>
      <c r="C44" s="32" t="s">
        <v>6</v>
      </c>
      <c r="D44" s="39">
        <v>0</v>
      </c>
      <c r="E44" s="39">
        <v>0</v>
      </c>
      <c r="F44" s="39">
        <v>0</v>
      </c>
      <c r="G44" s="7" t="s">
        <v>128</v>
      </c>
    </row>
    <row r="45" spans="2:14" x14ac:dyDescent="0.2">
      <c r="B45" s="16"/>
      <c r="C45" s="32" t="s">
        <v>19</v>
      </c>
      <c r="D45" s="39">
        <v>0</v>
      </c>
      <c r="E45" s="39">
        <v>0</v>
      </c>
      <c r="F45" s="39">
        <v>0</v>
      </c>
    </row>
    <row r="46" spans="2:14" x14ac:dyDescent="0.2">
      <c r="B46" s="16"/>
      <c r="C46" s="32" t="s">
        <v>20</v>
      </c>
      <c r="D46" s="39">
        <v>0</v>
      </c>
      <c r="E46" s="39">
        <v>0</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14 SEER/11.7 EER/8.2 HSPF</v>
      </c>
      <c r="E51" s="690"/>
      <c r="F51" s="693" t="str">
        <f>INDEX(Tbl_EquipmentDefinitions[Natural Gas Code Efficiency],MATCH($E$13,Tbl_EquipmentDefinitions[Equipment ID],0))</f>
        <v>-</v>
      </c>
      <c r="G51" s="690"/>
      <c r="H51" s="693" t="str">
        <f>INDEX(Tbl_EquipmentDefinitions[Propane Code Efficiency],MATCH($E$13,Tbl_EquipmentDefinitions[Equipment ID],0))</f>
        <v>82% AFUE (79.3% actual)</v>
      </c>
      <c r="I51" s="690"/>
      <c r="J51" s="693" t="str">
        <f>INDEX(Tbl_EquipmentDefinitions[Oil Code Efficiency],MATCH($E$13,Tbl_EquipmentDefinitions[Equipment ID],0))</f>
        <v>-</v>
      </c>
      <c r="K51" s="690"/>
    </row>
    <row r="52" spans="2:14" ht="12.75" x14ac:dyDescent="0.2">
      <c r="B52" s="16"/>
      <c r="C52" s="30" t="s">
        <v>153</v>
      </c>
      <c r="D52" s="689" t="str">
        <f>INDEX(Tbl_EquipmentDefinitions[Electricity Low Measure Efficiency],MATCH($E$13,Tbl_EquipmentDefinitions[Equipment ID],0))</f>
        <v>16 SEER/8.5 HSPF</v>
      </c>
      <c r="E52" s="690"/>
      <c r="F52" s="689" t="str">
        <f>INDEX(Tbl_EquipmentDefinitions[Natural Gas Low Measure Efficiency],MATCH($E$13,Tbl_EquipmentDefinitions[Equipment ID],0))</f>
        <v>-</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18 SEER/9.6 HSPF</v>
      </c>
      <c r="E53" s="690"/>
      <c r="F53" s="689" t="str">
        <f>INDEX(Tbl_EquipmentDefinitions[Natural Gas High Measure Efficiency],MATCH($E$13,Tbl_EquipmentDefinitions[Equipment ID],0))</f>
        <v>-</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338" t="s">
        <v>131</v>
      </c>
      <c r="D58" s="691" t="s">
        <v>132</v>
      </c>
      <c r="E58" s="692"/>
      <c r="F58" s="692"/>
      <c r="G58" s="692"/>
    </row>
    <row r="59" spans="2:14" x14ac:dyDescent="0.2">
      <c r="B59" s="16"/>
      <c r="C59" s="32" t="s">
        <v>207</v>
      </c>
      <c r="D59" s="696" t="s">
        <v>206</v>
      </c>
      <c r="E59" s="697"/>
      <c r="F59" s="697"/>
      <c r="G59" s="697"/>
    </row>
    <row r="60" spans="2:14" x14ac:dyDescent="0.2">
      <c r="B60" s="16"/>
      <c r="C60" s="32" t="s">
        <v>174</v>
      </c>
      <c r="D60" s="698" t="s">
        <v>206</v>
      </c>
      <c r="E60" s="699"/>
      <c r="F60" s="699"/>
      <c r="G60" s="699"/>
    </row>
    <row r="61" spans="2:14" x14ac:dyDescent="0.2">
      <c r="B61" s="16"/>
      <c r="C61" s="32" t="s">
        <v>309</v>
      </c>
      <c r="D61" s="698" t="s">
        <v>282</v>
      </c>
      <c r="E61" s="699"/>
      <c r="F61" s="699"/>
      <c r="G61" s="699"/>
    </row>
    <row r="62" spans="2:14" x14ac:dyDescent="0.2">
      <c r="B62" s="16"/>
    </row>
    <row r="64" spans="2:14" ht="13.5" thickBot="1" x14ac:dyDescent="0.25">
      <c r="B64" s="9" t="s">
        <v>129</v>
      </c>
      <c r="C64" s="9"/>
      <c r="D64" s="9"/>
      <c r="E64" s="9"/>
      <c r="F64" s="9"/>
      <c r="G64" s="9"/>
      <c r="H64" s="9"/>
      <c r="I64" s="9"/>
      <c r="J64" s="9"/>
      <c r="K64" s="9"/>
      <c r="L64" s="9"/>
      <c r="M64" s="9"/>
      <c r="N64" s="9"/>
    </row>
    <row r="65" spans="2:6" x14ac:dyDescent="0.2">
      <c r="B65" s="15"/>
    </row>
    <row r="66" spans="2:6" ht="12.75" x14ac:dyDescent="0.2">
      <c r="B66" s="16"/>
      <c r="C66" s="10" t="s">
        <v>531</v>
      </c>
      <c r="D66" s="10"/>
    </row>
    <row r="67" spans="2:6" x14ac:dyDescent="0.2">
      <c r="B67" s="16"/>
    </row>
    <row r="68" spans="2:6" ht="12.75" x14ac:dyDescent="0.2">
      <c r="B68" s="16"/>
      <c r="C68" s="30" t="s">
        <v>155</v>
      </c>
      <c r="D68" s="88">
        <f>$D$18</f>
        <v>76.7</v>
      </c>
      <c r="E68" s="6" t="s">
        <v>156</v>
      </c>
    </row>
    <row r="69" spans="2:6" x14ac:dyDescent="0.2">
      <c r="B69" s="16"/>
    </row>
    <row r="70" spans="2:6" ht="12.75" x14ac:dyDescent="0.2">
      <c r="B70" s="16"/>
      <c r="C70" s="30" t="s">
        <v>159</v>
      </c>
      <c r="D70" s="44">
        <v>8.1999999999999993</v>
      </c>
      <c r="E70" s="6" t="s">
        <v>182</v>
      </c>
      <c r="F70" s="45" t="s">
        <v>301</v>
      </c>
    </row>
    <row r="71" spans="2:6" ht="12.75" x14ac:dyDescent="0.2">
      <c r="B71" s="16"/>
      <c r="C71" s="36" t="s">
        <v>180</v>
      </c>
      <c r="D71" s="44">
        <v>8.5</v>
      </c>
      <c r="E71" s="6" t="s">
        <v>182</v>
      </c>
      <c r="F71" s="8"/>
    </row>
    <row r="72" spans="2:6" ht="12.75" x14ac:dyDescent="0.2">
      <c r="B72" s="16"/>
      <c r="C72" s="36" t="s">
        <v>181</v>
      </c>
      <c r="D72" s="44">
        <v>9.6</v>
      </c>
      <c r="E72" s="6" t="s">
        <v>182</v>
      </c>
      <c r="F72" s="8"/>
    </row>
    <row r="73" spans="2:6" x14ac:dyDescent="0.2">
      <c r="B73" s="16"/>
    </row>
    <row r="74" spans="2:6" x14ac:dyDescent="0.2">
      <c r="B74" s="16"/>
      <c r="C74" s="5" t="s">
        <v>250</v>
      </c>
      <c r="D74" s="5"/>
    </row>
    <row r="75" spans="2:6" ht="12.75" x14ac:dyDescent="0.2">
      <c r="B75" s="16"/>
      <c r="C75" s="36" t="s">
        <v>534</v>
      </c>
      <c r="D75" s="54">
        <f>197/1043</f>
        <v>0.18887823585810162</v>
      </c>
      <c r="E75" s="188" t="s">
        <v>176</v>
      </c>
      <c r="F75" s="45" t="s">
        <v>952</v>
      </c>
    </row>
    <row r="76" spans="2:6" ht="12.75" x14ac:dyDescent="0.2">
      <c r="B76" s="16"/>
      <c r="C76" s="36" t="s">
        <v>535</v>
      </c>
      <c r="D76" s="189">
        <v>0.25</v>
      </c>
      <c r="E76" s="45" t="s">
        <v>962</v>
      </c>
    </row>
    <row r="77" spans="2:6" x14ac:dyDescent="0.2">
      <c r="B77" s="16"/>
    </row>
    <row r="78" spans="2:6" ht="12.75" x14ac:dyDescent="0.2">
      <c r="B78" s="16"/>
      <c r="C78" s="36" t="s">
        <v>292</v>
      </c>
      <c r="D78" s="41">
        <f>($D$68/HPFUELCALC_REF_HEATINGLOAD)/($D70/HPFUELCALC_REF_CHP_HSPF)*HPPROPANECALC_CHP_HPCONSUMPTION
+($D$68/HPFUELCALC_REF_HEATINGLOAD)*HPPROPANECALC_CHP_CHPRESISTANCECONSUMPTION
+HPPROPANECALC_CHP_FURNACEFANCONSUMPTION*$D$75/HPFUELCALC_REF_FUELPOWER_KW*($D$76/HPFUELCALC_REF_FUELPOWER_CF)</f>
        <v>7934.1216050000621</v>
      </c>
      <c r="E78" s="6" t="s">
        <v>170</v>
      </c>
      <c r="F78" s="45" t="s">
        <v>305</v>
      </c>
    </row>
    <row r="79" spans="2:6" ht="12.75" x14ac:dyDescent="0.2">
      <c r="B79" s="16"/>
      <c r="C79" s="36" t="s">
        <v>293</v>
      </c>
      <c r="D79" s="41">
        <f>($D$68/HPFUELCALC_REF_HEATINGLOAD)/($D71/HPFUELCALC_REF_CHP_HSPF)*HPPROPANECALC_CHP_HPCONSUMPTION
+($D$68/HPFUELCALC_REF_HEATINGLOAD)*HPPROPANECALC_CHP_CHPRESISTANCECONSUMPTION
+HPPROPANECALC_CHP_FURNACEFANCONSUMPTION*$D$75/HPFUELCALC_REF_FUELPOWER_KW*($D$76/HPFUELCALC_REF_FUELPOWER_CF)</f>
        <v>7655.195554838816</v>
      </c>
      <c r="E79" s="6" t="s">
        <v>170</v>
      </c>
      <c r="F79" s="45" t="s">
        <v>527</v>
      </c>
    </row>
    <row r="80" spans="2:6" ht="12.75" x14ac:dyDescent="0.2">
      <c r="B80" s="16"/>
      <c r="C80" s="36" t="s">
        <v>294</v>
      </c>
      <c r="D80" s="41">
        <f>($D$68/HPFUELCALC_REF_HEATINGLOAD)/($D72/HPFUELCALC_REF_CHP_HSPF)*HPPROPANECALC_CHP_HPCONSUMPTION
+($D$68/HPFUELCALC_REF_HEATINGLOAD)*HPPROPANECALC_CHP_CHPRESISTANCECONSUMPTION
+HPPROPANECALC_CHP_FURNACEFANCONSUMPTION*$D$75/HPFUELCALC_REF_FUELPOWER_KW*($D$76/HPFUELCALC_REF_FUELPOWER_CF)</f>
        <v>6781.6146616254728</v>
      </c>
      <c r="E80" s="6" t="s">
        <v>170</v>
      </c>
      <c r="F80" s="45"/>
    </row>
    <row r="81" spans="2:6" x14ac:dyDescent="0.2">
      <c r="B81" s="16"/>
      <c r="F81" s="45"/>
    </row>
    <row r="82" spans="2:6" ht="12.75" x14ac:dyDescent="0.2">
      <c r="B82" s="16"/>
      <c r="C82" s="10" t="s">
        <v>533</v>
      </c>
      <c r="D82" s="10"/>
      <c r="F82" s="45"/>
    </row>
    <row r="83" spans="2:6" x14ac:dyDescent="0.2">
      <c r="B83" s="16"/>
      <c r="F83" s="45"/>
    </row>
    <row r="84" spans="2:6" ht="12.75" x14ac:dyDescent="0.2">
      <c r="B84" s="16"/>
      <c r="C84" s="30" t="s">
        <v>529</v>
      </c>
      <c r="D84" s="150">
        <v>0.75</v>
      </c>
      <c r="E84" s="6" t="s">
        <v>158</v>
      </c>
    </row>
    <row r="85" spans="2:6" x14ac:dyDescent="0.2">
      <c r="B85" s="16"/>
      <c r="F85" s="45"/>
    </row>
    <row r="86" spans="2:6" ht="12.75" x14ac:dyDescent="0.2">
      <c r="B86" s="16"/>
      <c r="C86" s="36" t="s">
        <v>530</v>
      </c>
      <c r="D86" s="190">
        <f>D68*HPPROPANECALC_CHP_FURNACEPROPANECONSUMPTION/(D84/HPFUELCALC_REF_AFUE)/10</f>
        <v>21.076789582493124</v>
      </c>
      <c r="E86" s="6" t="s">
        <v>481</v>
      </c>
      <c r="F86" s="45"/>
    </row>
    <row r="87" spans="2:6" ht="12.75" x14ac:dyDescent="0.2">
      <c r="B87" s="16"/>
      <c r="C87" s="36" t="s">
        <v>729</v>
      </c>
      <c r="D87" s="282">
        <f>D86*PRICE_PER_MMBTU_2018_PROPANE</f>
        <v>757.6133511362259</v>
      </c>
      <c r="E87" s="6" t="s">
        <v>164</v>
      </c>
      <c r="F87" s="45"/>
    </row>
    <row r="88" spans="2:6" x14ac:dyDescent="0.2">
      <c r="B88" s="16"/>
      <c r="F88" s="45"/>
    </row>
    <row r="89" spans="2:6" x14ac:dyDescent="0.2">
      <c r="B89" s="16"/>
      <c r="F89" s="45"/>
    </row>
    <row r="90" spans="2:6" ht="12.75" x14ac:dyDescent="0.2">
      <c r="B90" s="16"/>
      <c r="C90" s="10" t="s">
        <v>532</v>
      </c>
      <c r="D90" s="10"/>
      <c r="F90" s="45"/>
    </row>
    <row r="91" spans="2:6" x14ac:dyDescent="0.2">
      <c r="B91" s="16"/>
      <c r="F91" s="45"/>
    </row>
    <row r="92" spans="2:6" ht="12.75" x14ac:dyDescent="0.2">
      <c r="B92" s="16"/>
      <c r="C92" s="30" t="s">
        <v>167</v>
      </c>
      <c r="D92" s="87">
        <f>$D$19</f>
        <v>13.072800000000001</v>
      </c>
      <c r="E92" s="6" t="s">
        <v>156</v>
      </c>
    </row>
    <row r="93" spans="2:6" x14ac:dyDescent="0.2">
      <c r="B93" s="16"/>
    </row>
    <row r="94" spans="2:6" ht="12.75" x14ac:dyDescent="0.2">
      <c r="B94" s="16"/>
      <c r="C94" s="36" t="s">
        <v>168</v>
      </c>
      <c r="D94" s="44">
        <v>14</v>
      </c>
      <c r="E94" s="6" t="s">
        <v>169</v>
      </c>
      <c r="F94" s="45" t="s">
        <v>302</v>
      </c>
    </row>
    <row r="95" spans="2:6" ht="12.75" x14ac:dyDescent="0.2">
      <c r="B95" s="16"/>
      <c r="C95" s="36" t="s">
        <v>201</v>
      </c>
      <c r="D95" s="44">
        <v>16</v>
      </c>
      <c r="E95" s="6" t="s">
        <v>169</v>
      </c>
    </row>
    <row r="96" spans="2:6" ht="12.75" x14ac:dyDescent="0.2">
      <c r="B96" s="16"/>
      <c r="C96" s="36" t="s">
        <v>202</v>
      </c>
      <c r="D96" s="44">
        <v>18</v>
      </c>
      <c r="E96" s="6" t="s">
        <v>169</v>
      </c>
    </row>
    <row r="97" spans="2:6" x14ac:dyDescent="0.2">
      <c r="B97" s="16"/>
    </row>
    <row r="98" spans="2:6" ht="12.75" x14ac:dyDescent="0.2">
      <c r="B98" s="16"/>
      <c r="C98" s="36" t="s">
        <v>295</v>
      </c>
      <c r="D98" s="41">
        <f>1000*$D$92/D94</f>
        <v>933.7714285714286</v>
      </c>
      <c r="E98" s="6" t="s">
        <v>170</v>
      </c>
      <c r="F98" s="45" t="s">
        <v>306</v>
      </c>
    </row>
    <row r="99" spans="2:6" ht="12.75" x14ac:dyDescent="0.2">
      <c r="B99" s="16"/>
      <c r="C99" s="36" t="s">
        <v>296</v>
      </c>
      <c r="D99" s="41">
        <f>1000*$D$92/D95</f>
        <v>817.05000000000007</v>
      </c>
      <c r="E99" s="6" t="s">
        <v>170</v>
      </c>
    </row>
    <row r="100" spans="2:6" ht="12.75" x14ac:dyDescent="0.2">
      <c r="B100" s="16"/>
      <c r="C100" s="36" t="s">
        <v>297</v>
      </c>
      <c r="D100" s="41">
        <f>1000*$D$92/D96</f>
        <v>726.26666666666677</v>
      </c>
      <c r="E100" s="6" t="s">
        <v>170</v>
      </c>
    </row>
    <row r="101" spans="2:6" x14ac:dyDescent="0.2">
      <c r="B101" s="16"/>
    </row>
    <row r="102" spans="2:6" ht="12.75" x14ac:dyDescent="0.2">
      <c r="B102" s="16"/>
      <c r="C102" s="36" t="s">
        <v>298</v>
      </c>
      <c r="D102" s="41">
        <f>D78+D98</f>
        <v>8867.8930335714904</v>
      </c>
      <c r="E102" s="6" t="s">
        <v>170</v>
      </c>
      <c r="F102" s="45" t="s">
        <v>307</v>
      </c>
    </row>
    <row r="103" spans="2:6" ht="12.75" x14ac:dyDescent="0.2">
      <c r="B103" s="16"/>
      <c r="C103" s="36" t="s">
        <v>299</v>
      </c>
      <c r="D103" s="41">
        <f>D79+D99</f>
        <v>8472.2455548388152</v>
      </c>
      <c r="E103" s="6" t="s">
        <v>170</v>
      </c>
    </row>
    <row r="104" spans="2:6" ht="12.75" x14ac:dyDescent="0.2">
      <c r="B104" s="16"/>
      <c r="C104" s="36" t="s">
        <v>300</v>
      </c>
      <c r="D104" s="41">
        <f>D80+D100</f>
        <v>7507.8813282921392</v>
      </c>
      <c r="E104" s="6" t="s">
        <v>170</v>
      </c>
    </row>
    <row r="105" spans="2:6" x14ac:dyDescent="0.2">
      <c r="B105" s="16"/>
    </row>
    <row r="106" spans="2:6" ht="12.75" x14ac:dyDescent="0.2">
      <c r="B106" s="16"/>
      <c r="C106" s="30" t="s">
        <v>163</v>
      </c>
      <c r="D106" s="42">
        <f>D102*PRICE_PER_KWH_2018_ELECTRICITY</f>
        <v>1754.0692420404409</v>
      </c>
      <c r="E106" s="6" t="s">
        <v>164</v>
      </c>
      <c r="F106" s="45" t="s">
        <v>308</v>
      </c>
    </row>
    <row r="107" spans="2:6" ht="12.75" x14ac:dyDescent="0.2">
      <c r="B107" s="16"/>
      <c r="C107" s="36" t="s">
        <v>203</v>
      </c>
      <c r="D107" s="42">
        <f>D103*PRICE_PER_KWH_2018_ELECTRICITY</f>
        <v>1675.8101707471176</v>
      </c>
      <c r="E107" s="6" t="s">
        <v>164</v>
      </c>
    </row>
    <row r="108" spans="2:6" ht="12.75" x14ac:dyDescent="0.2">
      <c r="B108" s="16"/>
      <c r="C108" s="36" t="s">
        <v>204</v>
      </c>
      <c r="D108" s="42">
        <f>D104*PRICE_PER_KWH_2018_ELECTRICITY</f>
        <v>1485.0589267361852</v>
      </c>
      <c r="E108" s="6" t="s">
        <v>164</v>
      </c>
    </row>
    <row r="109" spans="2:6" x14ac:dyDescent="0.2">
      <c r="B109" s="16"/>
    </row>
    <row r="110" spans="2:6" x14ac:dyDescent="0.2">
      <c r="B110" s="16"/>
    </row>
    <row r="111" spans="2:6" ht="12.75" x14ac:dyDescent="0.2">
      <c r="B111" s="16"/>
      <c r="C111" s="10" t="s">
        <v>366</v>
      </c>
      <c r="D111" s="10"/>
    </row>
    <row r="112" spans="2:6" x14ac:dyDescent="0.2">
      <c r="B112" s="16"/>
    </row>
    <row r="113" spans="2:6" ht="12.75" x14ac:dyDescent="0.2">
      <c r="B113" s="16"/>
      <c r="C113" s="423" t="s">
        <v>1595</v>
      </c>
      <c r="D113" s="694" t="str">
        <f>INPUT_CHP_COOLCAP_SUPPLEMENTED</f>
        <v>2.5 ton (default HP partial displacement)</v>
      </c>
      <c r="E113" s="695"/>
    </row>
    <row r="114" spans="2:6" ht="12.75" x14ac:dyDescent="0.2">
      <c r="B114" s="16"/>
      <c r="C114" s="423" t="s">
        <v>1594</v>
      </c>
      <c r="D114" s="694" t="str">
        <f>INPUT_CHP_HEATCAP_SUPPLEMENTED</f>
        <v>2.5 ton (default HP partial displacement)</v>
      </c>
      <c r="E114" s="695"/>
    </row>
    <row r="115" spans="2:6" ht="12.75" x14ac:dyDescent="0.2">
      <c r="B115" s="16"/>
      <c r="C115" s="30" t="s">
        <v>1612</v>
      </c>
      <c r="D115" s="41" t="str">
        <f>LEFT(D113,SEARCH("ton",D113,1)-2)</f>
        <v>2.5</v>
      </c>
      <c r="E115" s="6" t="s">
        <v>173</v>
      </c>
    </row>
    <row r="116" spans="2:6" ht="12.75" x14ac:dyDescent="0.2">
      <c r="B116" s="16"/>
      <c r="C116" s="30" t="s">
        <v>1614</v>
      </c>
      <c r="D116" s="41" t="str">
        <f>LEFT(D114,SEARCH("ton",D114,1)-2)</f>
        <v>2.5</v>
      </c>
      <c r="E116" s="6" t="s">
        <v>173</v>
      </c>
    </row>
    <row r="117" spans="2:6" ht="12.75" x14ac:dyDescent="0.2">
      <c r="B117" s="16"/>
      <c r="C117" s="30" t="s">
        <v>1615</v>
      </c>
      <c r="D117" s="190">
        <f>MAX(VALUE(D115),VALUE(D116))</f>
        <v>2.5</v>
      </c>
      <c r="E117" s="6" t="s">
        <v>173</v>
      </c>
    </row>
    <row r="118" spans="2:6" x14ac:dyDescent="0.2">
      <c r="B118" s="16"/>
    </row>
    <row r="119" spans="2:6" ht="12.75" x14ac:dyDescent="0.2">
      <c r="B119" s="16"/>
      <c r="C119" s="36" t="s">
        <v>217</v>
      </c>
      <c r="D119" s="44">
        <v>8.1999999999999993</v>
      </c>
      <c r="E119" s="6" t="s">
        <v>182</v>
      </c>
      <c r="F119" s="45" t="s">
        <v>303</v>
      </c>
    </row>
    <row r="120" spans="2:6" ht="12.75" x14ac:dyDescent="0.2">
      <c r="B120" s="16"/>
      <c r="C120" s="36" t="s">
        <v>218</v>
      </c>
      <c r="D120" s="44">
        <v>8.5</v>
      </c>
      <c r="E120" s="6" t="s">
        <v>182</v>
      </c>
      <c r="F120" s="45"/>
    </row>
    <row r="121" spans="2:6" ht="12.75" x14ac:dyDescent="0.2">
      <c r="B121" s="16"/>
      <c r="C121" s="36" t="s">
        <v>219</v>
      </c>
      <c r="D121" s="44">
        <v>9.6</v>
      </c>
      <c r="E121" s="6" t="s">
        <v>182</v>
      </c>
      <c r="F121" s="45"/>
    </row>
    <row r="122" spans="2:6" x14ac:dyDescent="0.2">
      <c r="B122" s="16"/>
    </row>
    <row r="123" spans="2:6" ht="12.75" x14ac:dyDescent="0.2">
      <c r="B123" s="16"/>
      <c r="C123" s="36" t="s">
        <v>209</v>
      </c>
      <c r="D123" s="44">
        <v>0.31</v>
      </c>
      <c r="E123" s="45" t="s">
        <v>206</v>
      </c>
    </row>
    <row r="124" spans="2:6" ht="12.75" x14ac:dyDescent="0.2">
      <c r="B124" s="16"/>
      <c r="C124" s="36" t="s">
        <v>210</v>
      </c>
      <c r="D124" s="44">
        <v>0.54</v>
      </c>
      <c r="E124" s="45" t="s">
        <v>206</v>
      </c>
    </row>
    <row r="125" spans="2:6" x14ac:dyDescent="0.2">
      <c r="B125" s="16"/>
    </row>
    <row r="126" spans="2:6" ht="12.75" x14ac:dyDescent="0.2">
      <c r="B126" s="16"/>
      <c r="C126" s="36" t="s">
        <v>220</v>
      </c>
      <c r="D126" s="37">
        <f>$D$123*$D$116*12/D119</f>
        <v>1.1341463414634148</v>
      </c>
      <c r="E126" s="6" t="s">
        <v>176</v>
      </c>
      <c r="F126" s="45" t="s">
        <v>216</v>
      </c>
    </row>
    <row r="127" spans="2:6" ht="12.75" x14ac:dyDescent="0.2">
      <c r="B127" s="16"/>
      <c r="C127" s="36" t="s">
        <v>221</v>
      </c>
      <c r="D127" s="37">
        <f>$D$123*$D$116*12/D120</f>
        <v>1.0941176470588236</v>
      </c>
      <c r="E127" s="6" t="s">
        <v>176</v>
      </c>
    </row>
    <row r="128" spans="2:6" ht="12.75" x14ac:dyDescent="0.2">
      <c r="B128" s="16"/>
      <c r="C128" s="36" t="s">
        <v>222</v>
      </c>
      <c r="D128" s="46">
        <f>$D$124*$D$116*12/D121</f>
        <v>1.6875000000000004</v>
      </c>
      <c r="E128" s="6" t="s">
        <v>176</v>
      </c>
    </row>
    <row r="129" spans="2:6" x14ac:dyDescent="0.2">
      <c r="B129" s="16"/>
    </row>
    <row r="130" spans="2:6" x14ac:dyDescent="0.2">
      <c r="B130" s="16"/>
    </row>
    <row r="131" spans="2:6" ht="12.75" x14ac:dyDescent="0.2">
      <c r="B131" s="16"/>
      <c r="C131" s="36" t="s">
        <v>208</v>
      </c>
      <c r="D131" s="44">
        <v>11.7</v>
      </c>
      <c r="E131" s="6" t="s">
        <v>175</v>
      </c>
      <c r="F131" s="45" t="s">
        <v>304</v>
      </c>
    </row>
    <row r="132" spans="2:6" ht="12.75" x14ac:dyDescent="0.2">
      <c r="B132" s="16"/>
      <c r="C132" s="36" t="s">
        <v>213</v>
      </c>
      <c r="D132" s="31">
        <f>$D$131</f>
        <v>11.7</v>
      </c>
      <c r="E132" s="6" t="s">
        <v>175</v>
      </c>
      <c r="F132" s="45" t="s">
        <v>223</v>
      </c>
    </row>
    <row r="133" spans="2:6" ht="12.75" x14ac:dyDescent="0.2">
      <c r="B133" s="16"/>
      <c r="C133" s="36" t="s">
        <v>214</v>
      </c>
      <c r="D133" s="31">
        <f>$D$131</f>
        <v>11.7</v>
      </c>
      <c r="E133" s="6" t="s">
        <v>175</v>
      </c>
      <c r="F133" s="45" t="s">
        <v>223</v>
      </c>
    </row>
    <row r="134" spans="2:6" x14ac:dyDescent="0.2">
      <c r="B134" s="16"/>
    </row>
    <row r="135" spans="2:6" ht="12.75" x14ac:dyDescent="0.2">
      <c r="B135" s="16"/>
      <c r="C135" s="36" t="s">
        <v>174</v>
      </c>
      <c r="D135" s="44">
        <v>0.5</v>
      </c>
      <c r="E135" s="45" t="s">
        <v>953</v>
      </c>
    </row>
    <row r="136" spans="2:6" x14ac:dyDescent="0.2">
      <c r="B136" s="16"/>
    </row>
    <row r="137" spans="2:6" ht="12.75" x14ac:dyDescent="0.2">
      <c r="B137" s="16"/>
      <c r="C137" s="36" t="s">
        <v>211</v>
      </c>
      <c r="D137" s="37">
        <f>$D$135*$D$115*12/D131</f>
        <v>1.2820512820512822</v>
      </c>
      <c r="E137" s="6" t="s">
        <v>176</v>
      </c>
      <c r="F137" s="45"/>
    </row>
    <row r="138" spans="2:6" ht="12.75" x14ac:dyDescent="0.2">
      <c r="B138" s="16"/>
      <c r="C138" s="36" t="s">
        <v>212</v>
      </c>
      <c r="D138" s="37">
        <f>$D$135*$D$115*12/D132</f>
        <v>1.2820512820512822</v>
      </c>
      <c r="E138" s="6" t="s">
        <v>176</v>
      </c>
    </row>
    <row r="139" spans="2:6" ht="12.75" x14ac:dyDescent="0.2">
      <c r="B139" s="16"/>
      <c r="C139" s="36" t="s">
        <v>215</v>
      </c>
      <c r="D139" s="37">
        <f>$D$135*$D$115*12/D133</f>
        <v>1.2820512820512822</v>
      </c>
      <c r="E139" s="6" t="s">
        <v>176</v>
      </c>
    </row>
    <row r="140" spans="2:6" x14ac:dyDescent="0.2">
      <c r="B140" s="16"/>
    </row>
    <row r="141" spans="2:6" ht="12.75" x14ac:dyDescent="0.2">
      <c r="B141" s="16"/>
      <c r="C141" s="10" t="s">
        <v>1143</v>
      </c>
      <c r="D141" s="10"/>
    </row>
    <row r="142" spans="2:6" x14ac:dyDescent="0.2">
      <c r="B142" s="16"/>
    </row>
    <row r="143" spans="2:6" ht="12.75" x14ac:dyDescent="0.2">
      <c r="B143" s="16"/>
      <c r="C143" s="420" t="s">
        <v>1207</v>
      </c>
      <c r="D143" s="422">
        <f>INPUT_SYSTEMINTEGRATIONCOST</f>
        <v>400</v>
      </c>
      <c r="E143" s="6" t="s">
        <v>1180</v>
      </c>
    </row>
    <row r="144" spans="2:6" x14ac:dyDescent="0.2">
      <c r="B144" s="16"/>
    </row>
    <row r="145" spans="2:5" x14ac:dyDescent="0.2">
      <c r="B145" s="16"/>
      <c r="C145" s="6" t="s">
        <v>1144</v>
      </c>
    </row>
    <row r="146" spans="2:5" x14ac:dyDescent="0.2">
      <c r="B146" s="16"/>
      <c r="C146" s="6" t="s">
        <v>1150</v>
      </c>
    </row>
    <row r="147" spans="2:5" x14ac:dyDescent="0.2">
      <c r="B147" s="16"/>
      <c r="C147" s="6" t="s">
        <v>1152</v>
      </c>
    </row>
    <row r="148" spans="2:5" x14ac:dyDescent="0.2">
      <c r="B148" s="16"/>
      <c r="C148" s="6" t="s">
        <v>1146</v>
      </c>
      <c r="D148" s="42">
        <f>D149-(D150-D149)</f>
        <v>4337</v>
      </c>
      <c r="E148" s="6" t="s">
        <v>1145</v>
      </c>
    </row>
    <row r="149" spans="2:5" x14ac:dyDescent="0.2">
      <c r="B149" s="16"/>
      <c r="C149" s="6" t="s">
        <v>1147</v>
      </c>
      <c r="D149" s="42">
        <f>COST_HP_16SEER_REPLACE</f>
        <v>4685</v>
      </c>
      <c r="E149" s="6" t="s">
        <v>1145</v>
      </c>
    </row>
    <row r="150" spans="2:5" x14ac:dyDescent="0.2">
      <c r="B150" s="16"/>
      <c r="C150" s="6" t="s">
        <v>1148</v>
      </c>
      <c r="D150" s="42">
        <f>COST_HP_18SEER_REPLACE</f>
        <v>5033</v>
      </c>
      <c r="E150" s="6" t="s">
        <v>1145</v>
      </c>
    </row>
    <row r="151" spans="2:5" x14ac:dyDescent="0.2">
      <c r="B151" s="16"/>
    </row>
    <row r="152" spans="2:5" x14ac:dyDescent="0.2">
      <c r="B152" s="16"/>
      <c r="C152" s="6" t="s">
        <v>1151</v>
      </c>
    </row>
    <row r="153" spans="2:5" x14ac:dyDescent="0.2">
      <c r="B153" s="16"/>
      <c r="C153" s="6" t="s">
        <v>1146</v>
      </c>
      <c r="D153" s="406">
        <f>D148*$D$117+$D$143</f>
        <v>11242.5</v>
      </c>
      <c r="E153" s="6" t="s">
        <v>1149</v>
      </c>
    </row>
    <row r="154" spans="2:5" x14ac:dyDescent="0.2">
      <c r="B154" s="16"/>
      <c r="C154" s="6" t="s">
        <v>1147</v>
      </c>
      <c r="D154" s="406">
        <f t="shared" ref="D154:D155" si="5">D149*$D$117+$D$143</f>
        <v>12112.5</v>
      </c>
      <c r="E154" s="6" t="s">
        <v>1149</v>
      </c>
    </row>
    <row r="155" spans="2:5" x14ac:dyDescent="0.2">
      <c r="B155" s="16"/>
      <c r="C155" s="6" t="s">
        <v>1148</v>
      </c>
      <c r="D155" s="406">
        <f t="shared" si="5"/>
        <v>12982.5</v>
      </c>
      <c r="E155" s="6" t="s">
        <v>1149</v>
      </c>
    </row>
    <row r="156" spans="2:5" x14ac:dyDescent="0.2">
      <c r="B156" s="16"/>
    </row>
  </sheetData>
  <mergeCells count="22">
    <mergeCell ref="D58:G58"/>
    <mergeCell ref="D113:E113"/>
    <mergeCell ref="D114:E114"/>
    <mergeCell ref="D59:G59"/>
    <mergeCell ref="D60:G60"/>
    <mergeCell ref="D61:G61"/>
    <mergeCell ref="D50:E50"/>
    <mergeCell ref="F50:G50"/>
    <mergeCell ref="H50:I50"/>
    <mergeCell ref="J50:K50"/>
    <mergeCell ref="H53:I53"/>
    <mergeCell ref="J53:K53"/>
    <mergeCell ref="D51:E51"/>
    <mergeCell ref="F51:G51"/>
    <mergeCell ref="H51:I51"/>
    <mergeCell ref="J51:K51"/>
    <mergeCell ref="H52:I52"/>
    <mergeCell ref="J52:K52"/>
    <mergeCell ref="D52:E52"/>
    <mergeCell ref="F52:G52"/>
    <mergeCell ref="D53:E53"/>
    <mergeCell ref="F53:G53"/>
  </mergeCells>
  <dataValidations disablePrompts="1" count="2">
    <dataValidation type="list" allowBlank="1" showInputMessage="1" showErrorMessage="1" sqref="D5">
      <formula1>"1. Not Started,2. Analyzing,3. Ready"</formula1>
    </dataValidation>
    <dataValidation type="list" allowBlank="1" showInputMessage="1" showErrorMessage="1" sqref="D9">
      <formula1>DEFINED_MEASURES</formula1>
    </dataValidation>
  </dataValidation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3"/>
  </sheetPr>
  <dimension ref="A1:AD180"/>
  <sheetViews>
    <sheetView topLeftCell="A103" workbookViewId="0"/>
  </sheetViews>
  <sheetFormatPr defaultColWidth="9.33203125" defaultRowHeight="11.25" x14ac:dyDescent="0.2"/>
  <cols>
    <col min="1" max="2" width="3.33203125" style="6" customWidth="1"/>
    <col min="3" max="3" width="22.6640625" style="6" bestFit="1" customWidth="1"/>
    <col min="4" max="4" width="22" style="6" customWidth="1"/>
    <col min="5" max="5" width="16.33203125" style="6" customWidth="1"/>
    <col min="6" max="6" width="17.33203125" style="6" customWidth="1"/>
    <col min="7" max="7" width="13.5" style="6" customWidth="1"/>
    <col min="8" max="8" width="14.1640625" style="6" customWidth="1"/>
    <col min="9" max="9" width="22.33203125" style="6" bestFit="1" customWidth="1"/>
    <col min="10" max="10" width="24.33203125" style="6" customWidth="1"/>
    <col min="11"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93" t="s">
        <v>1217</v>
      </c>
      <c r="E9" s="7" t="s">
        <v>290</v>
      </c>
    </row>
    <row r="10" spans="1:30" ht="12.75" x14ac:dyDescent="0.2">
      <c r="B10" s="16"/>
      <c r="C10" s="30" t="s">
        <v>289</v>
      </c>
      <c r="D10" s="83" t="str">
        <f>INDEX(Tbl_MeasureList[Baseline ID],MATCH($D$9,Tbl_MeasureList[Measure ID],0))</f>
        <v>BASE20</v>
      </c>
      <c r="E10" s="7"/>
    </row>
    <row r="11" spans="1:30" x14ac:dyDescent="0.2">
      <c r="B11" s="16"/>
      <c r="C11" s="7"/>
      <c r="D11" s="7"/>
      <c r="E11" s="7"/>
    </row>
    <row r="12" spans="1:30" ht="12" thickBot="1" x14ac:dyDescent="0.25">
      <c r="B12" s="16"/>
      <c r="C12" s="7"/>
      <c r="D12" s="424" t="s">
        <v>5</v>
      </c>
      <c r="E12" s="424" t="s">
        <v>284</v>
      </c>
    </row>
    <row r="13" spans="1:30" x14ac:dyDescent="0.2">
      <c r="B13" s="16"/>
      <c r="C13" s="32" t="s">
        <v>2</v>
      </c>
      <c r="D13" s="84" t="str">
        <f>INDEX(Tbl_MeasureList[Baseline Equipment ID],MATCH($D$9,Tbl_MeasureList[Measure ID],0))</f>
        <v>EQUI036</v>
      </c>
      <c r="E13" s="84" t="str">
        <f>INDEX(Tbl_MeasureList[Replacement ID],MATCH($D$9,Tbl_MeasureList[Measure ID],0))</f>
        <v>EQUI039</v>
      </c>
      <c r="F13" s="7"/>
    </row>
    <row r="14" spans="1:30" x14ac:dyDescent="0.2">
      <c r="B14" s="16"/>
      <c r="C14" s="32" t="s">
        <v>4</v>
      </c>
      <c r="D14" s="85" t="str">
        <f>INDEX(Tbl_EquipmentDefinitions[[Equipment Name]:[Equipment Name]],MATCH(D$13,Tbl_EquipmentDefinitions[[Equipment ID]:[Equipment ID]],0))</f>
        <v>Room AC/No AC Blend+Oil Boiler</v>
      </c>
      <c r="E14" s="85" t="str">
        <f>INDEX(Tbl_EquipmentDefinitions[[Equipment Name]:[Equipment Name]],MATCH(E$13,Tbl_EquipmentDefinitions[[Equipment ID]:[Equipment ID]],0))</f>
        <v>DMSHP</v>
      </c>
      <c r="F14" s="7"/>
    </row>
    <row r="15" spans="1:30" x14ac:dyDescent="0.2">
      <c r="B15" s="16"/>
      <c r="C15" s="32" t="s">
        <v>24</v>
      </c>
      <c r="D15" s="84" t="str">
        <f>INDEX(Tbl_EquipmentDefinitions[[Function]:[Function]],MATCH(D$13,Tbl_EquipmentDefinitions[[Equipment ID]:[Equipment ID]],0))</f>
        <v>Cool+Heat</v>
      </c>
      <c r="E15" s="84" t="str">
        <f>INDEX(Tbl_EquipmentDefinitions[[Function]:[Function]],MATCH(E$13,Tbl_EquipmentDefinitions[[Equipment ID]:[Equipment ID]],0))</f>
        <v>Cool+Heat</v>
      </c>
      <c r="F15" s="7"/>
    </row>
    <row r="16" spans="1:30" x14ac:dyDescent="0.2">
      <c r="B16" s="16"/>
      <c r="C16" s="32" t="s">
        <v>7</v>
      </c>
      <c r="D16" s="85" t="str">
        <f>INDEX(Tbl_EquipmentDefinitions[[Fuel Type]:[Fuel Type]],MATCH(D$13,Tbl_EquipmentDefinitions[[Equipment ID]:[Equipment ID]],0))</f>
        <v>Electric+Oil</v>
      </c>
      <c r="E16" s="85" t="str">
        <f>INDEX(Tbl_EquipmentDefinitions[[Fuel Type]:[Fuel Type]],MATCH(E$13,Tbl_EquipmentDefinitions[[Equipment ID]:[Equipment ID]],0))</f>
        <v>Electric</v>
      </c>
      <c r="F16" s="7"/>
    </row>
    <row r="17" spans="2:14" x14ac:dyDescent="0.2">
      <c r="B17" s="16"/>
      <c r="C17" s="32" t="s">
        <v>126</v>
      </c>
      <c r="D17" s="84">
        <f>IF(ISERR(SEARCH("+",D16,1)),1,2)</f>
        <v>2</v>
      </c>
      <c r="E17" s="84">
        <f>IF(ISERR(SEARCH("+",E16,1)),1,2)</f>
        <v>1</v>
      </c>
      <c r="F17" s="7"/>
    </row>
    <row r="18" spans="2:14" x14ac:dyDescent="0.2">
      <c r="B18" s="16"/>
      <c r="C18" s="32" t="s">
        <v>155</v>
      </c>
      <c r="D18" s="86">
        <f>INDEX(Tbl_BaselineSummary[Space Heating Load (MMBtu/yr)],MATCH($D$10,Tbl_BaselineSummary[Baseline ID],0))</f>
        <v>76.7</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13.9</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424" t="s">
        <v>127</v>
      </c>
      <c r="D25" s="424" t="s">
        <v>345</v>
      </c>
      <c r="E25" s="424" t="s">
        <v>956</v>
      </c>
      <c r="F25" s="424" t="s">
        <v>326</v>
      </c>
      <c r="G25" s="424" t="s">
        <v>1532</v>
      </c>
      <c r="H25" s="424" t="s">
        <v>958</v>
      </c>
      <c r="I25" s="569" t="s">
        <v>1447</v>
      </c>
      <c r="J25" s="569" t="s">
        <v>1448</v>
      </c>
      <c r="L25" s="424" t="s">
        <v>1533</v>
      </c>
      <c r="M25" s="424" t="s">
        <v>1531</v>
      </c>
    </row>
    <row r="26" spans="2:14" ht="11.25" customHeight="1" x14ac:dyDescent="0.2">
      <c r="B26" s="16"/>
      <c r="C26" s="32" t="s">
        <v>6</v>
      </c>
      <c r="D26" s="122">
        <f>D93</f>
        <v>11810.791506119378</v>
      </c>
      <c r="E26" s="126">
        <f>D117</f>
        <v>1.9902439024390246</v>
      </c>
      <c r="F26" s="111">
        <f>D97</f>
        <v>2336.1745599104129</v>
      </c>
      <c r="G26" s="111">
        <f>E166</f>
        <v>12004.9</v>
      </c>
      <c r="H26" s="126">
        <f>D128</f>
        <v>1.5200000000000002</v>
      </c>
      <c r="I26" s="202">
        <f>D89</f>
        <v>871.5200000000001</v>
      </c>
      <c r="J26" s="202">
        <f>D77</f>
        <v>10939.271506119378</v>
      </c>
      <c r="L26" s="84">
        <f t="shared" ref="L26:M28" si="0">F26+E32+E38+E44</f>
        <v>2336.1745599104129</v>
      </c>
      <c r="M26" s="86">
        <f t="shared" si="0"/>
        <v>12004.9</v>
      </c>
    </row>
    <row r="27" spans="2:14" x14ac:dyDescent="0.2">
      <c r="B27" s="16"/>
      <c r="C27" s="32" t="s">
        <v>19</v>
      </c>
      <c r="D27" s="122">
        <f>D94</f>
        <v>9839.0160323645905</v>
      </c>
      <c r="E27" s="126">
        <f>D118</f>
        <v>1.6320000000000001</v>
      </c>
      <c r="F27" s="111">
        <f>D98</f>
        <v>1946.1573712017159</v>
      </c>
      <c r="G27" s="111">
        <f>E167</f>
        <v>13014.599999999999</v>
      </c>
      <c r="H27" s="126">
        <f t="shared" ref="H27:H28" si="1">D129</f>
        <v>1.5200000000000002</v>
      </c>
      <c r="I27" s="202">
        <f t="shared" ref="I27:I28" si="2">D90</f>
        <v>726.26666666666677</v>
      </c>
      <c r="J27" s="202">
        <f t="shared" ref="J27:J28" si="3">D78</f>
        <v>9112.7493656979241</v>
      </c>
      <c r="L27" s="84">
        <f t="shared" si="0"/>
        <v>1946.1573712017159</v>
      </c>
      <c r="M27" s="86">
        <f t="shared" si="0"/>
        <v>13014.599999999999</v>
      </c>
    </row>
    <row r="28" spans="2:14" x14ac:dyDescent="0.2">
      <c r="B28" s="16"/>
      <c r="C28" s="32" t="s">
        <v>20</v>
      </c>
      <c r="D28" s="122">
        <f>D95</f>
        <v>8379.5855183408949</v>
      </c>
      <c r="E28" s="126">
        <f>D119</f>
        <v>1.8</v>
      </c>
      <c r="F28" s="111">
        <f>D99</f>
        <v>1657.4820155278289</v>
      </c>
      <c r="G28" s="111">
        <f>E168</f>
        <v>13414.3</v>
      </c>
      <c r="H28" s="126">
        <f t="shared" si="1"/>
        <v>1.5200000000000002</v>
      </c>
      <c r="I28" s="202">
        <f t="shared" si="2"/>
        <v>653.6400000000001</v>
      </c>
      <c r="J28" s="202">
        <f t="shared" si="3"/>
        <v>7725.9455183408954</v>
      </c>
      <c r="L28" s="84">
        <f t="shared" si="0"/>
        <v>1657.4820155278289</v>
      </c>
      <c r="M28" s="86">
        <f t="shared" si="0"/>
        <v>13414.3</v>
      </c>
    </row>
    <row r="29" spans="2:14" x14ac:dyDescent="0.2">
      <c r="B29" s="16"/>
    </row>
    <row r="30" spans="2:14" ht="12.75" thickBot="1" x14ac:dyDescent="0.25">
      <c r="B30" s="16"/>
      <c r="C30" s="34" t="s">
        <v>55</v>
      </c>
      <c r="D30" s="34"/>
      <c r="E30" s="33"/>
      <c r="F30" s="33"/>
    </row>
    <row r="31" spans="2:14" ht="23.25" thickBot="1" x14ac:dyDescent="0.25">
      <c r="B31" s="16"/>
      <c r="C31" s="424" t="s">
        <v>127</v>
      </c>
      <c r="D31" s="424" t="s">
        <v>325</v>
      </c>
      <c r="E31" s="424" t="s">
        <v>326</v>
      </c>
      <c r="F31" s="424" t="s">
        <v>1532</v>
      </c>
    </row>
    <row r="32" spans="2:14" x14ac:dyDescent="0.2">
      <c r="B32" s="16"/>
      <c r="C32" s="32" t="s">
        <v>6</v>
      </c>
      <c r="D32" s="40">
        <v>0</v>
      </c>
      <c r="E32" s="39">
        <v>0</v>
      </c>
      <c r="F32" s="39">
        <v>0</v>
      </c>
      <c r="G32" s="7" t="s">
        <v>128</v>
      </c>
    </row>
    <row r="33" spans="2:14" x14ac:dyDescent="0.2">
      <c r="B33" s="16"/>
      <c r="C33" s="32" t="s">
        <v>19</v>
      </c>
      <c r="D33" s="40">
        <v>0</v>
      </c>
      <c r="E33" s="39">
        <v>0</v>
      </c>
      <c r="F33" s="39">
        <v>0</v>
      </c>
    </row>
    <row r="34" spans="2:14" x14ac:dyDescent="0.2">
      <c r="B34" s="16"/>
      <c r="C34" s="32" t="s">
        <v>20</v>
      </c>
      <c r="D34" s="40">
        <v>0</v>
      </c>
      <c r="E34" s="39">
        <v>0</v>
      </c>
      <c r="F34" s="39">
        <v>0</v>
      </c>
    </row>
    <row r="35" spans="2:14" x14ac:dyDescent="0.2">
      <c r="B35" s="16"/>
    </row>
    <row r="36" spans="2:14" ht="12.75" thickBot="1" x14ac:dyDescent="0.25">
      <c r="B36" s="16"/>
      <c r="C36" s="34" t="s">
        <v>28</v>
      </c>
      <c r="D36" s="34"/>
      <c r="E36" s="33"/>
      <c r="F36" s="33"/>
    </row>
    <row r="37" spans="2:14" ht="23.25" thickBot="1" x14ac:dyDescent="0.25">
      <c r="B37" s="16"/>
      <c r="C37" s="424" t="s">
        <v>127</v>
      </c>
      <c r="D37" s="424" t="s">
        <v>756</v>
      </c>
      <c r="E37" s="424" t="s">
        <v>326</v>
      </c>
      <c r="F37" s="424"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23.25" thickBot="1" x14ac:dyDescent="0.25">
      <c r="B43" s="16"/>
      <c r="C43" s="424" t="s">
        <v>127</v>
      </c>
      <c r="D43" s="424" t="s">
        <v>756</v>
      </c>
      <c r="E43" s="424" t="s">
        <v>326</v>
      </c>
      <c r="F43" s="424" t="s">
        <v>1532</v>
      </c>
    </row>
    <row r="44" spans="2:14" x14ac:dyDescent="0.2">
      <c r="B44" s="16"/>
      <c r="C44" s="32" t="s">
        <v>6</v>
      </c>
      <c r="D44" s="139">
        <v>0</v>
      </c>
      <c r="E44" s="139">
        <v>0</v>
      </c>
      <c r="F44" s="139">
        <v>0</v>
      </c>
      <c r="G44" s="7" t="s">
        <v>128</v>
      </c>
    </row>
    <row r="45" spans="2:14" x14ac:dyDescent="0.2">
      <c r="B45" s="16"/>
      <c r="C45" s="32" t="s">
        <v>19</v>
      </c>
      <c r="D45" s="139">
        <v>0</v>
      </c>
      <c r="E45" s="139">
        <v>0</v>
      </c>
      <c r="F45" s="139">
        <v>0</v>
      </c>
    </row>
    <row r="46" spans="2:14" x14ac:dyDescent="0.2">
      <c r="B46" s="16"/>
      <c r="C46" s="32" t="s">
        <v>20</v>
      </c>
      <c r="D46" s="139">
        <v>0</v>
      </c>
      <c r="E46" s="139">
        <v>0</v>
      </c>
      <c r="F46" s="1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15 SEER/12 EER/8.2 HSPF</v>
      </c>
      <c r="E51" s="690"/>
      <c r="F51" s="693" t="str">
        <f>INDEX(Tbl_EquipmentDefinitions[Natural Gas Code Efficiency],MATCH($E$13,Tbl_EquipmentDefinitions[Equipment ID],0))</f>
        <v>-</v>
      </c>
      <c r="G51" s="690"/>
      <c r="H51" s="693" t="str">
        <f>INDEX(Tbl_EquipmentDefinitions[Propane Code Efficiency],MATCH($E$13,Tbl_EquipmentDefinitions[Equipment ID],0))</f>
        <v>-</v>
      </c>
      <c r="I51" s="690"/>
      <c r="J51" s="693" t="str">
        <f>INDEX(Tbl_EquipmentDefinitions[Oil Code Efficiency],MATCH($E$13,Tbl_EquipmentDefinitions[Equipment ID],0))</f>
        <v>-</v>
      </c>
      <c r="K51" s="690"/>
    </row>
    <row r="52" spans="2:14" ht="12.75" x14ac:dyDescent="0.2">
      <c r="B52" s="16"/>
      <c r="C52" s="30" t="s">
        <v>153</v>
      </c>
      <c r="D52" s="689" t="str">
        <f>INDEX(Tbl_EquipmentDefinitions[Electricity Low Measure Efficiency],MATCH($E$13,Tbl_EquipmentDefinitions[Equipment ID],0))</f>
        <v>18 SEER/10.0 HSPF</v>
      </c>
      <c r="E52" s="690"/>
      <c r="F52" s="689" t="str">
        <f>INDEX(Tbl_EquipmentDefinitions[Natural Gas Low Measure Efficiency],MATCH($E$13,Tbl_EquipmentDefinitions[Equipment ID],0))</f>
        <v>-</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20 SEER/12.0 HSPF</v>
      </c>
      <c r="E53" s="690"/>
      <c r="F53" s="689" t="str">
        <f>INDEX(Tbl_EquipmentDefinitions[Natural Gas High Measure Efficiency],MATCH($E$13,Tbl_EquipmentDefinitions[Equipment ID],0))</f>
        <v>-</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424" t="s">
        <v>131</v>
      </c>
      <c r="D58" s="691" t="s">
        <v>132</v>
      </c>
      <c r="E58" s="692"/>
      <c r="F58" s="692"/>
      <c r="G58" s="692"/>
    </row>
    <row r="59" spans="2:14" x14ac:dyDescent="0.2">
      <c r="B59" s="16"/>
      <c r="C59" s="32" t="s">
        <v>174</v>
      </c>
      <c r="D59" s="696" t="s">
        <v>538</v>
      </c>
      <c r="E59" s="697"/>
      <c r="F59" s="697"/>
      <c r="G59" s="697"/>
    </row>
    <row r="60" spans="2:14" x14ac:dyDescent="0.2">
      <c r="B60" s="16"/>
      <c r="C60" s="32" t="s">
        <v>309</v>
      </c>
      <c r="D60" s="698" t="s">
        <v>832</v>
      </c>
      <c r="E60" s="699"/>
      <c r="F60" s="699"/>
      <c r="G60" s="699"/>
    </row>
    <row r="61" spans="2:14" x14ac:dyDescent="0.2">
      <c r="B61" s="16"/>
    </row>
    <row r="63" spans="2:14" ht="13.5" thickBot="1" x14ac:dyDescent="0.25">
      <c r="B63" s="9" t="s">
        <v>129</v>
      </c>
      <c r="C63" s="9"/>
      <c r="D63" s="9"/>
      <c r="E63" s="9"/>
      <c r="F63" s="9"/>
      <c r="G63" s="9"/>
      <c r="H63" s="9"/>
      <c r="I63" s="9"/>
      <c r="J63" s="9"/>
      <c r="K63" s="9"/>
      <c r="L63" s="9"/>
      <c r="M63" s="9"/>
      <c r="N63" s="9"/>
    </row>
    <row r="64" spans="2:14" x14ac:dyDescent="0.2">
      <c r="B64" s="15"/>
    </row>
    <row r="65" spans="2:6" ht="12.75" x14ac:dyDescent="0.2">
      <c r="B65" s="16"/>
      <c r="C65" s="10" t="s">
        <v>531</v>
      </c>
      <c r="D65" s="10"/>
    </row>
    <row r="66" spans="2:6" x14ac:dyDescent="0.2">
      <c r="B66" s="16"/>
    </row>
    <row r="67" spans="2:6" ht="12.75" x14ac:dyDescent="0.2">
      <c r="B67" s="16"/>
      <c r="C67" s="30" t="s">
        <v>155</v>
      </c>
      <c r="D67" s="88">
        <f>$D$18</f>
        <v>76.7</v>
      </c>
      <c r="E67" s="6" t="s">
        <v>156</v>
      </c>
    </row>
    <row r="68" spans="2:6" x14ac:dyDescent="0.2">
      <c r="B68" s="16"/>
    </row>
    <row r="69" spans="2:6" ht="12.75" x14ac:dyDescent="0.2">
      <c r="B69" s="16"/>
      <c r="C69" s="30" t="s">
        <v>159</v>
      </c>
      <c r="D69" s="44">
        <v>8.1999999999999993</v>
      </c>
      <c r="E69" s="6" t="s">
        <v>182</v>
      </c>
      <c r="F69" s="45" t="s">
        <v>301</v>
      </c>
    </row>
    <row r="70" spans="2:6" ht="12.75" x14ac:dyDescent="0.2">
      <c r="B70" s="16"/>
      <c r="C70" s="423" t="s">
        <v>180</v>
      </c>
      <c r="D70" s="44">
        <v>10</v>
      </c>
      <c r="E70" s="6" t="s">
        <v>182</v>
      </c>
      <c r="F70" s="8"/>
    </row>
    <row r="71" spans="2:6" ht="12.75" x14ac:dyDescent="0.2">
      <c r="B71" s="16"/>
      <c r="C71" s="423" t="s">
        <v>181</v>
      </c>
      <c r="D71" s="44">
        <v>12</v>
      </c>
      <c r="E71" s="6" t="s">
        <v>182</v>
      </c>
      <c r="F71" s="8"/>
    </row>
    <row r="72" spans="2:6" x14ac:dyDescent="0.2">
      <c r="B72" s="16"/>
    </row>
    <row r="73" spans="2:6" x14ac:dyDescent="0.2">
      <c r="B73" s="16"/>
      <c r="C73" s="5" t="s">
        <v>250</v>
      </c>
      <c r="D73" s="5"/>
    </row>
    <row r="74" spans="2:6" ht="12.75" x14ac:dyDescent="0.2">
      <c r="B74" s="16"/>
      <c r="C74" s="423" t="s">
        <v>534</v>
      </c>
      <c r="D74" s="54">
        <f>230/1043</f>
        <v>0.22051773729626079</v>
      </c>
      <c r="E74" s="188" t="s">
        <v>176</v>
      </c>
      <c r="F74" s="45" t="s">
        <v>952</v>
      </c>
    </row>
    <row r="75" spans="2:6" ht="12.75" x14ac:dyDescent="0.2">
      <c r="B75" s="16"/>
      <c r="C75" s="423" t="s">
        <v>535</v>
      </c>
      <c r="D75" s="189">
        <v>0.25</v>
      </c>
      <c r="E75" s="45" t="s">
        <v>962</v>
      </c>
    </row>
    <row r="76" spans="2:6" x14ac:dyDescent="0.2">
      <c r="B76" s="16"/>
    </row>
    <row r="77" spans="2:6" ht="12.75" x14ac:dyDescent="0.2">
      <c r="B77" s="16"/>
      <c r="C77" s="423" t="s">
        <v>292</v>
      </c>
      <c r="D77" s="41">
        <f>($D$67/HPFUELCALC_REF_HEATINGLOAD)/($D69/HPFUELCALC_REF_DMSHP_HSPF)*HPONLYCALC_DMSHP_HPCONSUMPTION
+($D$67/HPFUELCALC_REF_HEATINGLOAD)*HPONLYCALC_DMSHP_DMSHPRESISTANCECONSUMPTION</f>
        <v>10939.271506119378</v>
      </c>
      <c r="E77" s="6" t="s">
        <v>170</v>
      </c>
      <c r="F77" s="45" t="s">
        <v>1314</v>
      </c>
    </row>
    <row r="78" spans="2:6" ht="12.75" x14ac:dyDescent="0.2">
      <c r="B78" s="16"/>
      <c r="C78" s="423" t="s">
        <v>293</v>
      </c>
      <c r="D78" s="41">
        <f>($D$67/HPFUELCALC_REF_HEATINGLOAD)/($D70/HPFUELCALC_REF_DMSHP_HSPF)*HPONLYCALC_DMSHP_HPCONSUMPTION
+($D$67/HPFUELCALC_REF_HEATINGLOAD)*HPONLYCALC_DMSHP_DMSHPRESISTANCECONSUMPTION</f>
        <v>9112.7493656979241</v>
      </c>
      <c r="E78" s="6" t="s">
        <v>170</v>
      </c>
      <c r="F78" s="45" t="s">
        <v>1315</v>
      </c>
    </row>
    <row r="79" spans="2:6" ht="12.75" x14ac:dyDescent="0.2">
      <c r="B79" s="16"/>
      <c r="C79" s="423" t="s">
        <v>294</v>
      </c>
      <c r="D79" s="41">
        <f>($D$67/HPFUELCALC_REF_HEATINGLOAD)/($D71/HPFUELCALC_REF_DMSHP_HSPF)*HPONLYCALC_DMSHP_HPCONSUMPTION
+($D$67/HPFUELCALC_REF_HEATINGLOAD)*HPONLYCALC_DMSHP_DMSHPRESISTANCECONSUMPTION</f>
        <v>7725.9455183408954</v>
      </c>
      <c r="E79" s="6" t="s">
        <v>170</v>
      </c>
      <c r="F79" s="45"/>
    </row>
    <row r="80" spans="2:6" x14ac:dyDescent="0.2">
      <c r="B80" s="16"/>
      <c r="F80" s="45"/>
    </row>
    <row r="81" spans="2:6" ht="12.75" x14ac:dyDescent="0.2">
      <c r="B81" s="16"/>
      <c r="C81" s="10" t="s">
        <v>532</v>
      </c>
      <c r="F81" s="45"/>
    </row>
    <row r="82" spans="2:6" x14ac:dyDescent="0.2">
      <c r="B82" s="16"/>
      <c r="F82" s="45"/>
    </row>
    <row r="83" spans="2:6" ht="12.75" x14ac:dyDescent="0.2">
      <c r="B83" s="16"/>
      <c r="C83" s="30" t="s">
        <v>167</v>
      </c>
      <c r="D83" s="87">
        <f>$D$19</f>
        <v>13.072800000000001</v>
      </c>
      <c r="E83" s="6" t="s">
        <v>156</v>
      </c>
    </row>
    <row r="84" spans="2:6" x14ac:dyDescent="0.2">
      <c r="B84" s="16"/>
    </row>
    <row r="85" spans="2:6" ht="12.75" x14ac:dyDescent="0.2">
      <c r="B85" s="16"/>
      <c r="C85" s="423" t="s">
        <v>168</v>
      </c>
      <c r="D85" s="44">
        <v>15</v>
      </c>
      <c r="E85" s="6" t="s">
        <v>169</v>
      </c>
      <c r="F85" s="45" t="s">
        <v>302</v>
      </c>
    </row>
    <row r="86" spans="2:6" ht="12.75" x14ac:dyDescent="0.2">
      <c r="B86" s="16"/>
      <c r="C86" s="423" t="s">
        <v>201</v>
      </c>
      <c r="D86" s="44">
        <v>18</v>
      </c>
      <c r="E86" s="6" t="s">
        <v>169</v>
      </c>
    </row>
    <row r="87" spans="2:6" ht="12.75" x14ac:dyDescent="0.2">
      <c r="B87" s="16"/>
      <c r="C87" s="423" t="s">
        <v>202</v>
      </c>
      <c r="D87" s="44">
        <v>20</v>
      </c>
      <c r="E87" s="6" t="s">
        <v>169</v>
      </c>
    </row>
    <row r="88" spans="2:6" x14ac:dyDescent="0.2">
      <c r="B88" s="16"/>
    </row>
    <row r="89" spans="2:6" ht="12.75" x14ac:dyDescent="0.2">
      <c r="B89" s="16"/>
      <c r="C89" s="423" t="s">
        <v>295</v>
      </c>
      <c r="D89" s="41">
        <f>1000*$D$83/D85</f>
        <v>871.5200000000001</v>
      </c>
      <c r="E89" s="6" t="s">
        <v>170</v>
      </c>
      <c r="F89" s="45" t="s">
        <v>306</v>
      </c>
    </row>
    <row r="90" spans="2:6" ht="12.75" x14ac:dyDescent="0.2">
      <c r="B90" s="16"/>
      <c r="C90" s="423" t="s">
        <v>296</v>
      </c>
      <c r="D90" s="41">
        <f>1000*$D$83/D86</f>
        <v>726.26666666666677</v>
      </c>
      <c r="E90" s="6" t="s">
        <v>170</v>
      </c>
    </row>
    <row r="91" spans="2:6" ht="12.75" x14ac:dyDescent="0.2">
      <c r="B91" s="16"/>
      <c r="C91" s="423" t="s">
        <v>297</v>
      </c>
      <c r="D91" s="41">
        <f>1000*$D$83/D87</f>
        <v>653.6400000000001</v>
      </c>
      <c r="E91" s="6" t="s">
        <v>170</v>
      </c>
    </row>
    <row r="92" spans="2:6" x14ac:dyDescent="0.2">
      <c r="B92" s="16"/>
    </row>
    <row r="93" spans="2:6" ht="12.75" x14ac:dyDescent="0.2">
      <c r="B93" s="16"/>
      <c r="C93" s="423" t="s">
        <v>298</v>
      </c>
      <c r="D93" s="41">
        <f>D77+D89</f>
        <v>11810.791506119378</v>
      </c>
      <c r="E93" s="6" t="s">
        <v>170</v>
      </c>
      <c r="F93" s="45" t="s">
        <v>307</v>
      </c>
    </row>
    <row r="94" spans="2:6" ht="12.75" x14ac:dyDescent="0.2">
      <c r="B94" s="16"/>
      <c r="C94" s="423" t="s">
        <v>299</v>
      </c>
      <c r="D94" s="41">
        <f>D78+D90</f>
        <v>9839.0160323645905</v>
      </c>
      <c r="E94" s="6" t="s">
        <v>170</v>
      </c>
    </row>
    <row r="95" spans="2:6" ht="12.75" x14ac:dyDescent="0.2">
      <c r="B95" s="16"/>
      <c r="C95" s="423" t="s">
        <v>300</v>
      </c>
      <c r="D95" s="41">
        <f>D79+D91</f>
        <v>8379.5855183408949</v>
      </c>
      <c r="E95" s="6" t="s">
        <v>170</v>
      </c>
    </row>
    <row r="96" spans="2:6" x14ac:dyDescent="0.2">
      <c r="B96" s="16"/>
    </row>
    <row r="97" spans="2:6" ht="12.75" x14ac:dyDescent="0.2">
      <c r="B97" s="16"/>
      <c r="C97" s="30" t="s">
        <v>163</v>
      </c>
      <c r="D97" s="42">
        <f>D93*PRICE_PER_KWH_2018_ELECTRICITY</f>
        <v>2336.1745599104129</v>
      </c>
      <c r="E97" s="6" t="s">
        <v>164</v>
      </c>
      <c r="F97" s="45" t="s">
        <v>308</v>
      </c>
    </row>
    <row r="98" spans="2:6" ht="12.75" x14ac:dyDescent="0.2">
      <c r="B98" s="16"/>
      <c r="C98" s="423" t="s">
        <v>203</v>
      </c>
      <c r="D98" s="42">
        <f>D94*PRICE_PER_KWH_2018_ELECTRICITY</f>
        <v>1946.1573712017159</v>
      </c>
      <c r="E98" s="6" t="s">
        <v>164</v>
      </c>
    </row>
    <row r="99" spans="2:6" ht="12.75" x14ac:dyDescent="0.2">
      <c r="B99" s="16"/>
      <c r="C99" s="423" t="s">
        <v>204</v>
      </c>
      <c r="D99" s="42">
        <f>D95*PRICE_PER_KWH_2018_ELECTRICITY</f>
        <v>1657.4820155278289</v>
      </c>
      <c r="E99" s="6" t="s">
        <v>164</v>
      </c>
    </row>
    <row r="100" spans="2:6" x14ac:dyDescent="0.2">
      <c r="B100" s="16"/>
    </row>
    <row r="101" spans="2:6" x14ac:dyDescent="0.2">
      <c r="B101" s="16"/>
    </row>
    <row r="102" spans="2:6" ht="12.75" x14ac:dyDescent="0.2">
      <c r="B102" s="16"/>
      <c r="C102" s="10" t="s">
        <v>366</v>
      </c>
      <c r="D102" s="10"/>
    </row>
    <row r="103" spans="2:6" x14ac:dyDescent="0.2">
      <c r="B103" s="16"/>
    </row>
    <row r="104" spans="2:6" ht="12.75" x14ac:dyDescent="0.2">
      <c r="B104" s="16"/>
      <c r="C104" s="423" t="s">
        <v>1595</v>
      </c>
      <c r="D104" s="694" t="str">
        <f>INPUT_DMSHP_COOLCAP_NOOTHERHEAT</f>
        <v>4 ton (1x24kBtu + 2x12kBtu)</v>
      </c>
      <c r="E104" s="695"/>
    </row>
    <row r="105" spans="2:6" ht="12.75" x14ac:dyDescent="0.2">
      <c r="B105" s="16"/>
      <c r="C105" s="423" t="s">
        <v>1594</v>
      </c>
      <c r="D105" s="694" t="str">
        <f>INPUT_DMSHP_HEATCAP_NOOTHERHEAT</f>
        <v>4 ton (1x24kBtu + 2x12kBtu)</v>
      </c>
      <c r="E105" s="695"/>
    </row>
    <row r="106" spans="2:6" ht="12.75" x14ac:dyDescent="0.2">
      <c r="B106" s="16"/>
      <c r="C106" s="30" t="s">
        <v>1612</v>
      </c>
      <c r="D106" s="41" t="str">
        <f>LEFT(D104,SEARCH("ton",D104,1)-2)</f>
        <v>4</v>
      </c>
      <c r="E106" s="6" t="s">
        <v>173</v>
      </c>
    </row>
    <row r="107" spans="2:6" ht="12.75" x14ac:dyDescent="0.2">
      <c r="B107" s="16"/>
      <c r="C107" s="30" t="s">
        <v>1614</v>
      </c>
      <c r="D107" s="41" t="str">
        <f>LEFT(D105,SEARCH("ton",D105,1)-2)</f>
        <v>4</v>
      </c>
      <c r="E107" s="6" t="s">
        <v>173</v>
      </c>
    </row>
    <row r="108" spans="2:6" ht="12.75" x14ac:dyDescent="0.2">
      <c r="B108" s="16"/>
      <c r="C108" s="30" t="s">
        <v>1615</v>
      </c>
      <c r="D108" s="190">
        <f>MAX(VALUE(D106),VALUE(D107))</f>
        <v>4</v>
      </c>
      <c r="E108" s="6" t="s">
        <v>173</v>
      </c>
    </row>
    <row r="109" spans="2:6" x14ac:dyDescent="0.2">
      <c r="B109" s="16"/>
    </row>
    <row r="110" spans="2:6" ht="12.75" x14ac:dyDescent="0.2">
      <c r="B110" s="16"/>
      <c r="C110" s="423" t="s">
        <v>217</v>
      </c>
      <c r="D110" s="31">
        <f>D69</f>
        <v>8.1999999999999993</v>
      </c>
      <c r="E110" s="6" t="s">
        <v>182</v>
      </c>
      <c r="F110" s="45" t="s">
        <v>303</v>
      </c>
    </row>
    <row r="111" spans="2:6" ht="12.75" x14ac:dyDescent="0.2">
      <c r="B111" s="16"/>
      <c r="C111" s="423" t="s">
        <v>218</v>
      </c>
      <c r="D111" s="31">
        <f>D70</f>
        <v>10</v>
      </c>
      <c r="E111" s="6" t="s">
        <v>182</v>
      </c>
      <c r="F111" s="45"/>
    </row>
    <row r="112" spans="2:6" ht="12.75" x14ac:dyDescent="0.2">
      <c r="B112" s="16"/>
      <c r="C112" s="423" t="s">
        <v>219</v>
      </c>
      <c r="D112" s="31">
        <f>D71</f>
        <v>12</v>
      </c>
      <c r="E112" s="6" t="s">
        <v>182</v>
      </c>
      <c r="F112" s="45"/>
    </row>
    <row r="113" spans="2:6" x14ac:dyDescent="0.2">
      <c r="B113" s="16"/>
    </row>
    <row r="114" spans="2:6" ht="12.75" x14ac:dyDescent="0.2">
      <c r="B114" s="16"/>
      <c r="C114" s="423" t="s">
        <v>210</v>
      </c>
      <c r="D114" s="44">
        <v>0.34</v>
      </c>
      <c r="E114" s="45" t="s">
        <v>538</v>
      </c>
    </row>
    <row r="115" spans="2:6" ht="12.75" x14ac:dyDescent="0.2">
      <c r="B115" s="16"/>
      <c r="C115" s="423" t="s">
        <v>537</v>
      </c>
      <c r="D115" s="44">
        <v>0.45</v>
      </c>
      <c r="E115" s="45" t="s">
        <v>538</v>
      </c>
    </row>
    <row r="116" spans="2:6" x14ac:dyDescent="0.2">
      <c r="B116" s="16"/>
    </row>
    <row r="117" spans="2:6" ht="12.75" x14ac:dyDescent="0.2">
      <c r="B117" s="16"/>
      <c r="C117" s="423" t="s">
        <v>220</v>
      </c>
      <c r="D117" s="46">
        <f>$D$114*$D$107*12/D110</f>
        <v>1.9902439024390246</v>
      </c>
      <c r="E117" s="6" t="s">
        <v>176</v>
      </c>
      <c r="F117" s="45" t="s">
        <v>536</v>
      </c>
    </row>
    <row r="118" spans="2:6" ht="12.75" x14ac:dyDescent="0.2">
      <c r="B118" s="16"/>
      <c r="C118" s="423" t="s">
        <v>221</v>
      </c>
      <c r="D118" s="37">
        <f>$D$114*$D$107*12/D111</f>
        <v>1.6320000000000001</v>
      </c>
      <c r="E118" s="6" t="s">
        <v>176</v>
      </c>
    </row>
    <row r="119" spans="2:6" ht="12.75" x14ac:dyDescent="0.2">
      <c r="B119" s="16"/>
      <c r="C119" s="423" t="s">
        <v>222</v>
      </c>
      <c r="D119" s="46">
        <f>$D$115*$D$107*12/D112</f>
        <v>1.8</v>
      </c>
      <c r="E119" s="6" t="s">
        <v>176</v>
      </c>
    </row>
    <row r="120" spans="2:6" x14ac:dyDescent="0.2">
      <c r="B120" s="16"/>
    </row>
    <row r="121" spans="2:6" x14ac:dyDescent="0.2">
      <c r="B121" s="16"/>
    </row>
    <row r="122" spans="2:6" ht="12.75" x14ac:dyDescent="0.2">
      <c r="B122" s="16"/>
      <c r="C122" s="423" t="s">
        <v>208</v>
      </c>
      <c r="D122" s="44">
        <v>12</v>
      </c>
      <c r="E122" s="6" t="s">
        <v>175</v>
      </c>
      <c r="F122" s="45" t="s">
        <v>304</v>
      </c>
    </row>
    <row r="123" spans="2:6" ht="12.75" x14ac:dyDescent="0.2">
      <c r="B123" s="16"/>
      <c r="C123" s="423" t="s">
        <v>213</v>
      </c>
      <c r="D123" s="31">
        <f>D122</f>
        <v>12</v>
      </c>
      <c r="E123" s="6" t="s">
        <v>175</v>
      </c>
      <c r="F123" s="45" t="s">
        <v>223</v>
      </c>
    </row>
    <row r="124" spans="2:6" ht="12.75" x14ac:dyDescent="0.2">
      <c r="B124" s="16"/>
      <c r="C124" s="423" t="s">
        <v>214</v>
      </c>
      <c r="D124" s="31">
        <f>D123</f>
        <v>12</v>
      </c>
      <c r="E124" s="6" t="s">
        <v>175</v>
      </c>
      <c r="F124" s="45" t="s">
        <v>223</v>
      </c>
    </row>
    <row r="125" spans="2:6" x14ac:dyDescent="0.2">
      <c r="B125" s="16"/>
    </row>
    <row r="126" spans="2:6" ht="12.75" x14ac:dyDescent="0.2">
      <c r="B126" s="16"/>
      <c r="C126" s="423" t="s">
        <v>174</v>
      </c>
      <c r="D126" s="44">
        <v>0.38</v>
      </c>
      <c r="E126" s="45" t="s">
        <v>953</v>
      </c>
    </row>
    <row r="127" spans="2:6" x14ac:dyDescent="0.2">
      <c r="B127" s="16"/>
    </row>
    <row r="128" spans="2:6" ht="12.75" x14ac:dyDescent="0.2">
      <c r="B128" s="16"/>
      <c r="C128" s="423" t="s">
        <v>211</v>
      </c>
      <c r="D128" s="37">
        <f>$D$126*$D$106*12/D122</f>
        <v>1.5200000000000002</v>
      </c>
      <c r="E128" s="6" t="s">
        <v>176</v>
      </c>
      <c r="F128" s="45"/>
    </row>
    <row r="129" spans="2:10" ht="12.75" x14ac:dyDescent="0.2">
      <c r="B129" s="16"/>
      <c r="C129" s="423" t="s">
        <v>212</v>
      </c>
      <c r="D129" s="37">
        <f>$D$126*$D$106*12/D123</f>
        <v>1.5200000000000002</v>
      </c>
      <c r="E129" s="6" t="s">
        <v>176</v>
      </c>
    </row>
    <row r="130" spans="2:10" ht="12.75" x14ac:dyDescent="0.2">
      <c r="B130" s="16"/>
      <c r="C130" s="423" t="s">
        <v>215</v>
      </c>
      <c r="D130" s="37">
        <f>$D$126*$D$106*12/D124</f>
        <v>1.5200000000000002</v>
      </c>
      <c r="E130" s="6" t="s">
        <v>176</v>
      </c>
    </row>
    <row r="131" spans="2:10" x14ac:dyDescent="0.2">
      <c r="B131" s="16"/>
    </row>
    <row r="132" spans="2:10" ht="12.75" x14ac:dyDescent="0.2">
      <c r="B132" s="16"/>
      <c r="C132" s="10" t="s">
        <v>812</v>
      </c>
      <c r="D132" s="10"/>
    </row>
    <row r="133" spans="2:10" x14ac:dyDescent="0.2">
      <c r="B133" s="16"/>
    </row>
    <row r="134" spans="2:10" ht="12.75" x14ac:dyDescent="0.2">
      <c r="B134" s="16"/>
      <c r="C134" s="423" t="s">
        <v>1207</v>
      </c>
      <c r="D134" s="422">
        <v>0</v>
      </c>
      <c r="E134" s="6" t="s">
        <v>1180</v>
      </c>
      <c r="F134" s="45" t="s">
        <v>1313</v>
      </c>
    </row>
    <row r="135" spans="2:10" ht="12.75" x14ac:dyDescent="0.2">
      <c r="B135" s="16"/>
      <c r="C135" s="423" t="s">
        <v>1208</v>
      </c>
      <c r="D135" s="422">
        <f>INPUT_ELECTRICALSYSTEMUPGRADECOST</f>
        <v>500</v>
      </c>
      <c r="E135" s="6" t="s">
        <v>1180</v>
      </c>
    </row>
    <row r="136" spans="2:10" ht="12.75" x14ac:dyDescent="0.2">
      <c r="B136" s="16"/>
      <c r="C136" s="423" t="s">
        <v>1196</v>
      </c>
      <c r="D136" s="422">
        <f>INPUT_EQUIPMENTDISPOSALCOST</f>
        <v>600</v>
      </c>
      <c r="E136" s="188" t="s">
        <v>1180</v>
      </c>
      <c r="F136" s="8" t="s">
        <v>1342</v>
      </c>
    </row>
    <row r="137" spans="2:10" x14ac:dyDescent="0.2">
      <c r="B137" s="16"/>
    </row>
    <row r="138" spans="2:10" x14ac:dyDescent="0.2">
      <c r="B138" s="16"/>
      <c r="C138" s="6" t="s">
        <v>830</v>
      </c>
    </row>
    <row r="139" spans="2:10" x14ac:dyDescent="0.2">
      <c r="B139" s="16"/>
    </row>
    <row r="140" spans="2:10" x14ac:dyDescent="0.2">
      <c r="B140" s="16"/>
      <c r="C140" s="6" t="s">
        <v>828</v>
      </c>
    </row>
    <row r="141" spans="2:10" ht="23.25" thickBot="1" x14ac:dyDescent="0.25">
      <c r="B141" s="16"/>
      <c r="C141" s="280" t="s">
        <v>822</v>
      </c>
      <c r="D141" s="280" t="s">
        <v>824</v>
      </c>
      <c r="E141" s="280" t="s">
        <v>825</v>
      </c>
      <c r="F141" s="280" t="s">
        <v>826</v>
      </c>
      <c r="G141" s="280" t="s">
        <v>827</v>
      </c>
      <c r="H141" s="280" t="s">
        <v>814</v>
      </c>
      <c r="I141" s="280" t="s">
        <v>815</v>
      </c>
      <c r="J141" s="280" t="s">
        <v>816</v>
      </c>
    </row>
    <row r="142" spans="2:10" x14ac:dyDescent="0.2">
      <c r="B142" s="16"/>
      <c r="C142" s="14" t="s">
        <v>817</v>
      </c>
      <c r="D142" s="14">
        <v>1</v>
      </c>
      <c r="E142" s="333">
        <v>3643</v>
      </c>
      <c r="F142" s="333">
        <v>3662</v>
      </c>
      <c r="G142" s="333">
        <v>3682</v>
      </c>
      <c r="H142" s="333">
        <v>3860</v>
      </c>
      <c r="I142" s="333">
        <v>4212</v>
      </c>
      <c r="J142" s="14" t="s">
        <v>119</v>
      </c>
    </row>
    <row r="143" spans="2:10" x14ac:dyDescent="0.2">
      <c r="B143" s="16"/>
      <c r="C143" s="14" t="s">
        <v>818</v>
      </c>
      <c r="D143" s="14">
        <v>1</v>
      </c>
      <c r="E143" s="335">
        <v>3717</v>
      </c>
      <c r="F143" s="333">
        <v>3717</v>
      </c>
      <c r="G143" s="333">
        <v>3717</v>
      </c>
      <c r="H143" s="335">
        <v>3957</v>
      </c>
      <c r="I143" s="335">
        <v>4407</v>
      </c>
      <c r="J143" s="333">
        <v>4407</v>
      </c>
    </row>
    <row r="144" spans="2:10" x14ac:dyDescent="0.2">
      <c r="B144" s="16"/>
      <c r="C144" s="14">
        <v>18</v>
      </c>
      <c r="D144" s="14">
        <v>1</v>
      </c>
      <c r="E144" s="335">
        <v>4276</v>
      </c>
      <c r="F144" s="333">
        <v>4316</v>
      </c>
      <c r="G144" s="333">
        <v>4355</v>
      </c>
      <c r="H144" s="335">
        <v>4475</v>
      </c>
      <c r="I144" s="335">
        <v>4956</v>
      </c>
      <c r="J144" s="14" t="s">
        <v>119</v>
      </c>
    </row>
    <row r="145" spans="2:15" x14ac:dyDescent="0.2">
      <c r="B145" s="16"/>
      <c r="C145" s="14" t="s">
        <v>819</v>
      </c>
      <c r="D145" s="14">
        <v>1</v>
      </c>
      <c r="E145" s="333">
        <v>4586</v>
      </c>
      <c r="F145" s="333">
        <v>4665</v>
      </c>
      <c r="G145" s="333">
        <v>4743</v>
      </c>
      <c r="H145" s="333">
        <v>4811</v>
      </c>
      <c r="I145" s="333">
        <v>5256</v>
      </c>
      <c r="J145" s="14" t="s">
        <v>119</v>
      </c>
    </row>
    <row r="146" spans="2:15" x14ac:dyDescent="0.2">
      <c r="B146" s="16"/>
      <c r="C146" s="14" t="s">
        <v>819</v>
      </c>
      <c r="D146" s="14">
        <v>2</v>
      </c>
      <c r="E146" s="333">
        <v>6263</v>
      </c>
      <c r="F146" s="333">
        <v>6263</v>
      </c>
      <c r="G146" s="333">
        <v>6679</v>
      </c>
      <c r="H146" s="333">
        <v>6679</v>
      </c>
      <c r="I146" s="14" t="s">
        <v>119</v>
      </c>
      <c r="J146" s="14" t="s">
        <v>119</v>
      </c>
    </row>
    <row r="147" spans="2:15" x14ac:dyDescent="0.2">
      <c r="B147" s="16"/>
      <c r="C147" s="14" t="s">
        <v>819</v>
      </c>
      <c r="D147" s="14">
        <v>3</v>
      </c>
      <c r="E147" s="333">
        <v>7434</v>
      </c>
      <c r="F147" s="333">
        <v>7446</v>
      </c>
      <c r="G147" s="333">
        <v>7852</v>
      </c>
      <c r="H147" s="333">
        <v>7852</v>
      </c>
      <c r="I147" s="14" t="s">
        <v>119</v>
      </c>
      <c r="J147" s="14" t="s">
        <v>119</v>
      </c>
    </row>
    <row r="148" spans="2:15" x14ac:dyDescent="0.2">
      <c r="B148" s="16"/>
      <c r="C148" s="14" t="s">
        <v>820</v>
      </c>
      <c r="D148" s="14">
        <v>3</v>
      </c>
      <c r="E148" s="333">
        <v>7962</v>
      </c>
      <c r="F148" s="333">
        <v>7993</v>
      </c>
      <c r="G148" s="333">
        <v>8024</v>
      </c>
      <c r="H148" s="333">
        <v>8024</v>
      </c>
      <c r="I148" s="14" t="s">
        <v>119</v>
      </c>
      <c r="J148" s="14" t="s">
        <v>119</v>
      </c>
    </row>
    <row r="149" spans="2:15" x14ac:dyDescent="0.2">
      <c r="B149" s="16"/>
      <c r="C149" s="14" t="s">
        <v>821</v>
      </c>
      <c r="D149" s="14">
        <v>4</v>
      </c>
      <c r="E149" s="333">
        <v>8857</v>
      </c>
      <c r="F149" s="333">
        <v>8857</v>
      </c>
      <c r="G149" s="333">
        <v>8857</v>
      </c>
      <c r="H149" s="333">
        <v>8857</v>
      </c>
      <c r="I149" s="14" t="s">
        <v>119</v>
      </c>
      <c r="J149" s="14" t="s">
        <v>119</v>
      </c>
    </row>
    <row r="150" spans="2:15" x14ac:dyDescent="0.2">
      <c r="B150" s="16"/>
    </row>
    <row r="151" spans="2:15" x14ac:dyDescent="0.2">
      <c r="B151" s="16"/>
      <c r="C151" s="6" t="s">
        <v>823</v>
      </c>
    </row>
    <row r="152" spans="2:15" ht="23.25" thickBot="1" x14ac:dyDescent="0.25">
      <c r="B152" s="16"/>
      <c r="C152" s="280" t="s">
        <v>822</v>
      </c>
      <c r="D152" s="280" t="s">
        <v>813</v>
      </c>
      <c r="E152" s="280" t="s">
        <v>814</v>
      </c>
      <c r="F152" s="280" t="s">
        <v>815</v>
      </c>
      <c r="G152" s="280" t="s">
        <v>816</v>
      </c>
      <c r="J152" s="280" t="s">
        <v>835</v>
      </c>
      <c r="K152" s="280" t="s">
        <v>825</v>
      </c>
      <c r="L152" s="280" t="s">
        <v>814</v>
      </c>
      <c r="M152" s="280" t="s">
        <v>815</v>
      </c>
      <c r="N152" s="280" t="s">
        <v>1605</v>
      </c>
      <c r="O152" s="6" t="s">
        <v>1604</v>
      </c>
    </row>
    <row r="153" spans="2:15" x14ac:dyDescent="0.2">
      <c r="B153" s="16"/>
      <c r="C153" s="14" t="s">
        <v>817</v>
      </c>
      <c r="D153" s="14">
        <v>1</v>
      </c>
      <c r="E153" s="333">
        <v>3993</v>
      </c>
      <c r="F153" s="333">
        <v>4035</v>
      </c>
      <c r="G153" s="333">
        <v>4419</v>
      </c>
      <c r="J153" s="14">
        <v>5</v>
      </c>
      <c r="K153" s="333">
        <f>E145+3*0.85*E143</f>
        <v>14064.349999999999</v>
      </c>
      <c r="L153" s="333">
        <f>E156+3*0.85*E154</f>
        <v>15363.9</v>
      </c>
      <c r="M153" s="333">
        <f>F156+3*0.85*F154</f>
        <v>15883.449999999999</v>
      </c>
      <c r="N153" s="6" t="s">
        <v>1599</v>
      </c>
      <c r="O153" s="8" t="s">
        <v>1606</v>
      </c>
    </row>
    <row r="154" spans="2:15" x14ac:dyDescent="0.2">
      <c r="B154" s="16"/>
      <c r="C154" s="14" t="s">
        <v>818</v>
      </c>
      <c r="D154" s="14">
        <v>1</v>
      </c>
      <c r="E154" s="335">
        <v>4058</v>
      </c>
      <c r="F154" s="335">
        <v>4199</v>
      </c>
      <c r="G154" s="333">
        <v>4515</v>
      </c>
      <c r="J154" s="14">
        <v>4</v>
      </c>
      <c r="K154" s="333">
        <f>E145+2*0.85*E143</f>
        <v>10904.9</v>
      </c>
      <c r="L154" s="333">
        <f>E156+2*0.85*E154</f>
        <v>11914.599999999999</v>
      </c>
      <c r="M154" s="333">
        <f>F156+2*0.85*F154</f>
        <v>12314.3</v>
      </c>
      <c r="N154" s="6" t="s">
        <v>1598</v>
      </c>
      <c r="O154" s="8" t="s">
        <v>1606</v>
      </c>
    </row>
    <row r="155" spans="2:15" x14ac:dyDescent="0.2">
      <c r="B155" s="16"/>
      <c r="C155" s="14">
        <v>18</v>
      </c>
      <c r="D155" s="14">
        <v>1</v>
      </c>
      <c r="E155" s="335">
        <v>4646</v>
      </c>
      <c r="F155" s="335">
        <v>4812</v>
      </c>
      <c r="G155" s="18" t="s">
        <v>119</v>
      </c>
      <c r="J155" s="14">
        <v>3</v>
      </c>
      <c r="K155" s="333">
        <f>E143+2*0.85*E143</f>
        <v>10035.9</v>
      </c>
      <c r="L155" s="333">
        <f>E154+2*0.85*E154</f>
        <v>10956.599999999999</v>
      </c>
      <c r="M155" s="333">
        <f>F154+2*0.85*F154</f>
        <v>11337.3</v>
      </c>
      <c r="N155" s="6" t="s">
        <v>1597</v>
      </c>
      <c r="O155" s="8" t="s">
        <v>1606</v>
      </c>
    </row>
    <row r="156" spans="2:15" x14ac:dyDescent="0.2">
      <c r="B156" s="16"/>
      <c r="C156" s="14" t="s">
        <v>819</v>
      </c>
      <c r="D156" s="14">
        <v>1</v>
      </c>
      <c r="E156" s="333">
        <v>5016</v>
      </c>
      <c r="F156" s="333">
        <v>5176</v>
      </c>
      <c r="G156" s="18" t="s">
        <v>119</v>
      </c>
      <c r="J156" s="14">
        <v>2.5</v>
      </c>
      <c r="K156" s="333">
        <f>E143+2*0.85*E142</f>
        <v>9910.0999999999985</v>
      </c>
      <c r="L156" s="333">
        <f>E154+2*0.85*E153</f>
        <v>10846.099999999999</v>
      </c>
      <c r="M156" s="333">
        <f>F154+2*0.85*F153</f>
        <v>11058.5</v>
      </c>
      <c r="N156" s="6" t="s">
        <v>1596</v>
      </c>
      <c r="O156" s="8" t="s">
        <v>1606</v>
      </c>
    </row>
    <row r="157" spans="2:15" x14ac:dyDescent="0.2">
      <c r="B157" s="16"/>
      <c r="C157" s="14" t="s">
        <v>819</v>
      </c>
      <c r="D157" s="14">
        <v>2</v>
      </c>
      <c r="E157" s="333">
        <v>7060</v>
      </c>
      <c r="F157" s="18" t="s">
        <v>119</v>
      </c>
      <c r="G157" s="18" t="s">
        <v>119</v>
      </c>
      <c r="J157" s="14">
        <v>2</v>
      </c>
      <c r="K157" s="333">
        <f>E145</f>
        <v>4586</v>
      </c>
      <c r="L157" s="333">
        <f>E156</f>
        <v>5016</v>
      </c>
      <c r="M157" s="333">
        <f>F156</f>
        <v>5176</v>
      </c>
      <c r="N157" s="6" t="s">
        <v>1600</v>
      </c>
    </row>
    <row r="158" spans="2:15" x14ac:dyDescent="0.2">
      <c r="B158" s="16"/>
      <c r="C158" s="14" t="s">
        <v>819</v>
      </c>
      <c r="D158" s="14">
        <v>3</v>
      </c>
      <c r="E158" s="334">
        <v>8202</v>
      </c>
      <c r="F158" s="18" t="s">
        <v>119</v>
      </c>
      <c r="G158" s="18" t="s">
        <v>119</v>
      </c>
      <c r="J158" s="14">
        <v>1.5</v>
      </c>
      <c r="K158" s="333">
        <f>E144</f>
        <v>4276</v>
      </c>
      <c r="L158" s="333">
        <f>E155</f>
        <v>4646</v>
      </c>
      <c r="M158" s="333">
        <f>F155</f>
        <v>4812</v>
      </c>
      <c r="N158" s="6" t="s">
        <v>1601</v>
      </c>
    </row>
    <row r="159" spans="2:15" x14ac:dyDescent="0.2">
      <c r="B159" s="16"/>
      <c r="C159" s="14" t="s">
        <v>820</v>
      </c>
      <c r="D159" s="14">
        <v>3</v>
      </c>
      <c r="E159" s="333">
        <v>9049</v>
      </c>
      <c r="F159" s="18" t="s">
        <v>119</v>
      </c>
      <c r="G159" s="18" t="s">
        <v>119</v>
      </c>
      <c r="J159" s="14">
        <v>1</v>
      </c>
      <c r="K159" s="333">
        <f>E143</f>
        <v>3717</v>
      </c>
      <c r="L159" s="333">
        <f>E154</f>
        <v>4058</v>
      </c>
      <c r="M159" s="333">
        <f>F154</f>
        <v>4199</v>
      </c>
      <c r="N159" s="6" t="s">
        <v>1602</v>
      </c>
    </row>
    <row r="160" spans="2:15" x14ac:dyDescent="0.2">
      <c r="B160" s="16"/>
      <c r="C160" s="14" t="s">
        <v>821</v>
      </c>
      <c r="D160" s="14">
        <v>4</v>
      </c>
      <c r="E160" s="333">
        <v>10438</v>
      </c>
      <c r="F160" s="18" t="s">
        <v>119</v>
      </c>
      <c r="G160" s="18" t="s">
        <v>119</v>
      </c>
      <c r="J160" s="14">
        <v>0.75</v>
      </c>
      <c r="K160" s="333">
        <f>E142</f>
        <v>3643</v>
      </c>
      <c r="L160" s="333">
        <f>E153</f>
        <v>3993</v>
      </c>
      <c r="M160" s="333">
        <f>F153</f>
        <v>4035</v>
      </c>
      <c r="N160" s="6" t="s">
        <v>1603</v>
      </c>
    </row>
    <row r="161" spans="2:10" x14ac:dyDescent="0.2">
      <c r="B161" s="16"/>
      <c r="J161" s="8" t="s">
        <v>836</v>
      </c>
    </row>
    <row r="162" spans="2:10" x14ac:dyDescent="0.2">
      <c r="B162" s="16"/>
    </row>
    <row r="163" spans="2:10" ht="12.75" x14ac:dyDescent="0.2">
      <c r="B163" s="16"/>
      <c r="C163" s="30" t="s">
        <v>1615</v>
      </c>
      <c r="D163" s="190">
        <f>D108</f>
        <v>4</v>
      </c>
      <c r="E163" s="6" t="s">
        <v>173</v>
      </c>
    </row>
    <row r="164" spans="2:10" x14ac:dyDescent="0.2">
      <c r="B164" s="16"/>
    </row>
    <row r="165" spans="2:10" ht="12" thickBot="1" x14ac:dyDescent="0.25">
      <c r="B165" s="16"/>
      <c r="D165" s="280" t="s">
        <v>829</v>
      </c>
      <c r="E165" s="280" t="s">
        <v>831</v>
      </c>
    </row>
    <row r="166" spans="2:10" ht="12.75" x14ac:dyDescent="0.2">
      <c r="B166" s="16"/>
      <c r="C166" s="30" t="s">
        <v>6</v>
      </c>
      <c r="D166" s="31" t="str">
        <f>D51</f>
        <v>15 SEER/12 EER/8.2 HSPF</v>
      </c>
      <c r="E166" s="339">
        <f>INDEX(K153:K160,MATCH(D163,J153:J160,-1))+$D$134+$D$135+D136</f>
        <v>12004.9</v>
      </c>
    </row>
    <row r="167" spans="2:10" ht="12.75" x14ac:dyDescent="0.2">
      <c r="B167" s="16"/>
      <c r="C167" s="30" t="s">
        <v>153</v>
      </c>
      <c r="D167" s="31" t="str">
        <f>D52</f>
        <v>18 SEER/10.0 HSPF</v>
      </c>
      <c r="E167" s="340">
        <f>INDEX(L153:L160,MATCH(D163,J153:J160,-1))+$D$134+$D$135+D136</f>
        <v>13014.599999999999</v>
      </c>
    </row>
    <row r="168" spans="2:10" ht="12.75" x14ac:dyDescent="0.2">
      <c r="B168" s="16"/>
      <c r="C168" s="30" t="s">
        <v>154</v>
      </c>
      <c r="D168" s="31" t="str">
        <f>D53</f>
        <v>20 SEER/12.0 HSPF</v>
      </c>
      <c r="E168" s="339">
        <f>INDEX(M153:M160,MATCH(D163,J153:J160,-1))+$D$134+$D$135+D136</f>
        <v>13414.3</v>
      </c>
    </row>
    <row r="169" spans="2:10" x14ac:dyDescent="0.2">
      <c r="B169" s="16"/>
    </row>
    <row r="170" spans="2:10" x14ac:dyDescent="0.2">
      <c r="B170" s="16"/>
    </row>
    <row r="171" spans="2:10" x14ac:dyDescent="0.2">
      <c r="B171" s="16"/>
    </row>
    <row r="172" spans="2:10" x14ac:dyDescent="0.2">
      <c r="B172" s="16"/>
    </row>
    <row r="173" spans="2:10" x14ac:dyDescent="0.2">
      <c r="B173" s="16"/>
    </row>
    <row r="174" spans="2:10" x14ac:dyDescent="0.2">
      <c r="B174" s="16"/>
    </row>
    <row r="175" spans="2:10" x14ac:dyDescent="0.2">
      <c r="B175" s="16"/>
    </row>
    <row r="176" spans="2:10" x14ac:dyDescent="0.2">
      <c r="B176" s="16"/>
    </row>
    <row r="177" spans="2:2" x14ac:dyDescent="0.2">
      <c r="B177" s="16"/>
    </row>
    <row r="178" spans="2:2" x14ac:dyDescent="0.2">
      <c r="B178" s="16"/>
    </row>
    <row r="179" spans="2:2" x14ac:dyDescent="0.2">
      <c r="B179" s="16"/>
    </row>
    <row r="180" spans="2:2" x14ac:dyDescent="0.2">
      <c r="B180" s="16"/>
    </row>
  </sheetData>
  <mergeCells count="21">
    <mergeCell ref="D104:E104"/>
    <mergeCell ref="D105:E105"/>
    <mergeCell ref="D51:E51"/>
    <mergeCell ref="F51:G51"/>
    <mergeCell ref="H51:I51"/>
    <mergeCell ref="H52:I52"/>
    <mergeCell ref="D58:G58"/>
    <mergeCell ref="D59:G59"/>
    <mergeCell ref="D60:G60"/>
    <mergeCell ref="J51:K51"/>
    <mergeCell ref="D50:E50"/>
    <mergeCell ref="F50:G50"/>
    <mergeCell ref="H50:I50"/>
    <mergeCell ref="J50:K50"/>
    <mergeCell ref="J52:K52"/>
    <mergeCell ref="D53:E53"/>
    <mergeCell ref="F53:G53"/>
    <mergeCell ref="H53:I53"/>
    <mergeCell ref="J53:K53"/>
    <mergeCell ref="D52:E52"/>
    <mergeCell ref="F52:G52"/>
  </mergeCells>
  <dataValidations disablePrompts="1" count="2">
    <dataValidation type="list" allowBlank="1" showInputMessage="1" showErrorMessage="1" sqref="D5">
      <formula1>"1. Not Started,2. Analyzing,3. Ready"</formula1>
    </dataValidation>
    <dataValidation type="list" allowBlank="1" showInputMessage="1" showErrorMessage="1" sqref="D9">
      <formula1>DEFINED_MEASURES</formula1>
    </dataValidation>
  </dataValidation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3"/>
  </sheetPr>
  <dimension ref="A1:AD181"/>
  <sheetViews>
    <sheetView workbookViewId="0"/>
  </sheetViews>
  <sheetFormatPr defaultColWidth="9.33203125" defaultRowHeight="11.25" x14ac:dyDescent="0.2"/>
  <cols>
    <col min="1" max="2" width="3.33203125" style="6" customWidth="1"/>
    <col min="3" max="3" width="22.6640625" style="6" bestFit="1" customWidth="1"/>
    <col min="4" max="4" width="22" style="6" customWidth="1"/>
    <col min="5" max="5" width="16.33203125" style="6" customWidth="1"/>
    <col min="6" max="6" width="17.33203125" style="6" customWidth="1"/>
    <col min="7" max="7" width="13.5" style="6" customWidth="1"/>
    <col min="8" max="8" width="14.1640625" style="6" customWidth="1"/>
    <col min="9" max="9" width="22.33203125" style="6" bestFit="1" customWidth="1"/>
    <col min="10" max="10" width="23.6640625" style="6" customWidth="1"/>
    <col min="11" max="13" width="9.33203125" style="6"/>
    <col min="14" max="14" width="11.1640625" style="6" customWidth="1"/>
    <col min="15"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93" t="s">
        <v>1316</v>
      </c>
      <c r="E9" s="7" t="s">
        <v>290</v>
      </c>
    </row>
    <row r="10" spans="1:30" ht="12.75" x14ac:dyDescent="0.2">
      <c r="B10" s="16"/>
      <c r="C10" s="30" t="s">
        <v>289</v>
      </c>
      <c r="D10" s="83" t="str">
        <f>INDEX(Tbl_MeasureList[Baseline ID],MATCH($D$9,Tbl_MeasureList[Measure ID],0))</f>
        <v>BASE21</v>
      </c>
      <c r="E10" s="7"/>
    </row>
    <row r="11" spans="1:30" x14ac:dyDescent="0.2">
      <c r="B11" s="16"/>
      <c r="C11" s="7"/>
      <c r="D11" s="7"/>
      <c r="E11" s="7"/>
    </row>
    <row r="12" spans="1:30" ht="12" thickBot="1" x14ac:dyDescent="0.25">
      <c r="B12" s="16"/>
      <c r="C12" s="7"/>
      <c r="D12" s="424" t="s">
        <v>5</v>
      </c>
      <c r="E12" s="424" t="s">
        <v>284</v>
      </c>
    </row>
    <row r="13" spans="1:30" x14ac:dyDescent="0.2">
      <c r="B13" s="16"/>
      <c r="C13" s="32" t="s">
        <v>2</v>
      </c>
      <c r="D13" s="84" t="str">
        <f>INDEX(Tbl_MeasureList[Baseline Equipment ID],MATCH($D$9,Tbl_MeasureList[Measure ID],0))</f>
        <v>EQUI037</v>
      </c>
      <c r="E13" s="84" t="str">
        <f>INDEX(Tbl_MeasureList[Replacement ID],MATCH($D$9,Tbl_MeasureList[Measure ID],0))</f>
        <v>EQUI039</v>
      </c>
      <c r="F13" s="7"/>
    </row>
    <row r="14" spans="1:30" x14ac:dyDescent="0.2">
      <c r="B14" s="16"/>
      <c r="C14" s="32" t="s">
        <v>4</v>
      </c>
      <c r="D14" s="85" t="str">
        <f>INDEX(Tbl_EquipmentDefinitions[[Equipment Name]:[Equipment Name]],MATCH(D$13,Tbl_EquipmentDefinitions[[Equipment ID]:[Equipment ID]],0))</f>
        <v>Room AC/No AC Blend+Propane Boiler</v>
      </c>
      <c r="E14" s="85" t="str">
        <f>INDEX(Tbl_EquipmentDefinitions[[Equipment Name]:[Equipment Name]],MATCH(E$13,Tbl_EquipmentDefinitions[[Equipment ID]:[Equipment ID]],0))</f>
        <v>DMSHP</v>
      </c>
      <c r="F14" s="7"/>
    </row>
    <row r="15" spans="1:30" x14ac:dyDescent="0.2">
      <c r="B15" s="16"/>
      <c r="C15" s="32" t="s">
        <v>24</v>
      </c>
      <c r="D15" s="84" t="str">
        <f>INDEX(Tbl_EquipmentDefinitions[[Function]:[Function]],MATCH(D$13,Tbl_EquipmentDefinitions[[Equipment ID]:[Equipment ID]],0))</f>
        <v>Cool+Heat</v>
      </c>
      <c r="E15" s="84" t="str">
        <f>INDEX(Tbl_EquipmentDefinitions[[Function]:[Function]],MATCH(E$13,Tbl_EquipmentDefinitions[[Equipment ID]:[Equipment ID]],0))</f>
        <v>Cool+Heat</v>
      </c>
      <c r="F15" s="7"/>
    </row>
    <row r="16" spans="1:30" x14ac:dyDescent="0.2">
      <c r="B16" s="16"/>
      <c r="C16" s="32" t="s">
        <v>7</v>
      </c>
      <c r="D16" s="85" t="str">
        <f>INDEX(Tbl_EquipmentDefinitions[[Fuel Type]:[Fuel Type]],MATCH(D$13,Tbl_EquipmentDefinitions[[Equipment ID]:[Equipment ID]],0))</f>
        <v>Electric+Propane</v>
      </c>
      <c r="E16" s="85" t="str">
        <f>INDEX(Tbl_EquipmentDefinitions[[Fuel Type]:[Fuel Type]],MATCH(E$13,Tbl_EquipmentDefinitions[[Equipment ID]:[Equipment ID]],0))</f>
        <v>Electric</v>
      </c>
      <c r="F16" s="7"/>
    </row>
    <row r="17" spans="2:14" x14ac:dyDescent="0.2">
      <c r="B17" s="16"/>
      <c r="C17" s="32" t="s">
        <v>126</v>
      </c>
      <c r="D17" s="84">
        <f>IF(ISERR(SEARCH("+",D16,1)),1,2)</f>
        <v>2</v>
      </c>
      <c r="E17" s="84">
        <f>IF(ISERR(SEARCH("+",E16,1)),1,2)</f>
        <v>1</v>
      </c>
      <c r="F17" s="7"/>
    </row>
    <row r="18" spans="2:14" x14ac:dyDescent="0.2">
      <c r="B18" s="16"/>
      <c r="C18" s="32" t="s">
        <v>155</v>
      </c>
      <c r="D18" s="86">
        <f>INDEX(Tbl_BaselineSummary[Space Heating Load (MMBtu/yr)],MATCH($D$10,Tbl_BaselineSummary[Baseline ID],0))</f>
        <v>76.7</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11.3</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424" t="s">
        <v>127</v>
      </c>
      <c r="D25" s="424" t="s">
        <v>345</v>
      </c>
      <c r="E25" s="424" t="s">
        <v>956</v>
      </c>
      <c r="F25" s="424" t="s">
        <v>326</v>
      </c>
      <c r="G25" s="424" t="s">
        <v>1532</v>
      </c>
      <c r="H25" s="424" t="s">
        <v>958</v>
      </c>
      <c r="I25" s="569" t="s">
        <v>1447</v>
      </c>
      <c r="J25" s="569" t="s">
        <v>1448</v>
      </c>
      <c r="L25" s="424" t="s">
        <v>1533</v>
      </c>
      <c r="M25" s="424" t="s">
        <v>1531</v>
      </c>
    </row>
    <row r="26" spans="2:14" ht="11.25" customHeight="1" x14ac:dyDescent="0.2">
      <c r="B26" s="16"/>
      <c r="C26" s="32" t="s">
        <v>6</v>
      </c>
      <c r="D26" s="122">
        <f>D93</f>
        <v>11810.791506119378</v>
      </c>
      <c r="E26" s="126">
        <f>D117</f>
        <v>1.9902439024390246</v>
      </c>
      <c r="F26" s="111">
        <f>D97</f>
        <v>2336.1745599104129</v>
      </c>
      <c r="G26" s="111">
        <f>E167</f>
        <v>12004.9</v>
      </c>
      <c r="H26" s="126">
        <f>D128</f>
        <v>1.5200000000000002</v>
      </c>
      <c r="I26" s="202">
        <f>D89</f>
        <v>871.5200000000001</v>
      </c>
      <c r="J26" s="202">
        <f>D77</f>
        <v>10939.271506119378</v>
      </c>
      <c r="L26" s="84">
        <f t="shared" ref="L26:M28" si="0">F26+E32+E38+E44</f>
        <v>2336.1745599104129</v>
      </c>
      <c r="M26" s="86">
        <f t="shared" si="0"/>
        <v>12004.9</v>
      </c>
    </row>
    <row r="27" spans="2:14" x14ac:dyDescent="0.2">
      <c r="B27" s="16"/>
      <c r="C27" s="32" t="s">
        <v>19</v>
      </c>
      <c r="D27" s="122">
        <f>D94</f>
        <v>9839.0160323645905</v>
      </c>
      <c r="E27" s="126">
        <f>D118</f>
        <v>1.6320000000000001</v>
      </c>
      <c r="F27" s="111">
        <f>D98</f>
        <v>1946.1573712017159</v>
      </c>
      <c r="G27" s="111">
        <f>E168</f>
        <v>13014.599999999999</v>
      </c>
      <c r="H27" s="126">
        <f t="shared" ref="H27:H28" si="1">D129</f>
        <v>1.5200000000000002</v>
      </c>
      <c r="I27" s="202">
        <f t="shared" ref="I27:I28" si="2">D90</f>
        <v>726.26666666666677</v>
      </c>
      <c r="J27" s="202">
        <f t="shared" ref="J27:J28" si="3">D78</f>
        <v>9112.7493656979241</v>
      </c>
      <c r="L27" s="84">
        <f t="shared" si="0"/>
        <v>1946.1573712017159</v>
      </c>
      <c r="M27" s="86">
        <f t="shared" si="0"/>
        <v>13014.599999999999</v>
      </c>
    </row>
    <row r="28" spans="2:14" x14ac:dyDescent="0.2">
      <c r="B28" s="16"/>
      <c r="C28" s="32" t="s">
        <v>20</v>
      </c>
      <c r="D28" s="122">
        <f>D95</f>
        <v>8379.5855183408949</v>
      </c>
      <c r="E28" s="126">
        <f>D119</f>
        <v>1.8</v>
      </c>
      <c r="F28" s="111">
        <f>D99</f>
        <v>1657.4820155278289</v>
      </c>
      <c r="G28" s="111">
        <f>E169</f>
        <v>13414.3</v>
      </c>
      <c r="H28" s="126">
        <f t="shared" si="1"/>
        <v>1.5200000000000002</v>
      </c>
      <c r="I28" s="202">
        <f t="shared" si="2"/>
        <v>653.6400000000001</v>
      </c>
      <c r="J28" s="202">
        <f t="shared" si="3"/>
        <v>7725.9455183408954</v>
      </c>
      <c r="L28" s="84">
        <f t="shared" si="0"/>
        <v>1657.4820155278289</v>
      </c>
      <c r="M28" s="86">
        <f t="shared" si="0"/>
        <v>13414.3</v>
      </c>
    </row>
    <row r="29" spans="2:14" x14ac:dyDescent="0.2">
      <c r="B29" s="16"/>
    </row>
    <row r="30" spans="2:14" ht="12.75" thickBot="1" x14ac:dyDescent="0.25">
      <c r="B30" s="16"/>
      <c r="C30" s="34" t="s">
        <v>55</v>
      </c>
      <c r="D30" s="34"/>
      <c r="E30" s="33"/>
      <c r="F30" s="33"/>
    </row>
    <row r="31" spans="2:14" ht="23.25" thickBot="1" x14ac:dyDescent="0.25">
      <c r="B31" s="16"/>
      <c r="C31" s="424" t="s">
        <v>127</v>
      </c>
      <c r="D31" s="424" t="s">
        <v>325</v>
      </c>
      <c r="E31" s="424" t="s">
        <v>326</v>
      </c>
      <c r="F31" s="424" t="s">
        <v>1532</v>
      </c>
    </row>
    <row r="32" spans="2:14" x14ac:dyDescent="0.2">
      <c r="B32" s="16"/>
      <c r="C32" s="32" t="s">
        <v>6</v>
      </c>
      <c r="D32" s="40">
        <v>0</v>
      </c>
      <c r="E32" s="39">
        <v>0</v>
      </c>
      <c r="F32" s="39">
        <v>0</v>
      </c>
      <c r="G32" s="7" t="s">
        <v>128</v>
      </c>
    </row>
    <row r="33" spans="2:14" x14ac:dyDescent="0.2">
      <c r="B33" s="16"/>
      <c r="C33" s="32" t="s">
        <v>19</v>
      </c>
      <c r="D33" s="40">
        <v>0</v>
      </c>
      <c r="E33" s="39">
        <v>0</v>
      </c>
      <c r="F33" s="39">
        <v>0</v>
      </c>
    </row>
    <row r="34" spans="2:14" x14ac:dyDescent="0.2">
      <c r="B34" s="16"/>
      <c r="C34" s="32" t="s">
        <v>20</v>
      </c>
      <c r="D34" s="40">
        <v>0</v>
      </c>
      <c r="E34" s="39">
        <v>0</v>
      </c>
      <c r="F34" s="39">
        <v>0</v>
      </c>
    </row>
    <row r="35" spans="2:14" x14ac:dyDescent="0.2">
      <c r="B35" s="16"/>
    </row>
    <row r="36" spans="2:14" ht="12.75" thickBot="1" x14ac:dyDescent="0.25">
      <c r="B36" s="16"/>
      <c r="C36" s="34" t="s">
        <v>28</v>
      </c>
      <c r="D36" s="34"/>
      <c r="E36" s="33"/>
      <c r="F36" s="33"/>
    </row>
    <row r="37" spans="2:14" ht="23.25" thickBot="1" x14ac:dyDescent="0.25">
      <c r="B37" s="16"/>
      <c r="C37" s="424" t="s">
        <v>127</v>
      </c>
      <c r="D37" s="424" t="s">
        <v>756</v>
      </c>
      <c r="E37" s="424" t="s">
        <v>326</v>
      </c>
      <c r="F37" s="424"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23.25" thickBot="1" x14ac:dyDescent="0.25">
      <c r="B43" s="16"/>
      <c r="C43" s="424" t="s">
        <v>127</v>
      </c>
      <c r="D43" s="424" t="s">
        <v>756</v>
      </c>
      <c r="E43" s="424" t="s">
        <v>326</v>
      </c>
      <c r="F43" s="424" t="s">
        <v>1532</v>
      </c>
    </row>
    <row r="44" spans="2:14" x14ac:dyDescent="0.2">
      <c r="B44" s="16"/>
      <c r="C44" s="32" t="s">
        <v>6</v>
      </c>
      <c r="D44" s="139">
        <v>0</v>
      </c>
      <c r="E44" s="139">
        <v>0</v>
      </c>
      <c r="F44" s="139">
        <v>0</v>
      </c>
      <c r="G44" s="7" t="s">
        <v>128</v>
      </c>
    </row>
    <row r="45" spans="2:14" x14ac:dyDescent="0.2">
      <c r="B45" s="16"/>
      <c r="C45" s="32" t="s">
        <v>19</v>
      </c>
      <c r="D45" s="139">
        <v>0</v>
      </c>
      <c r="E45" s="139">
        <v>0</v>
      </c>
      <c r="F45" s="139">
        <v>0</v>
      </c>
    </row>
    <row r="46" spans="2:14" x14ac:dyDescent="0.2">
      <c r="B46" s="16"/>
      <c r="C46" s="32" t="s">
        <v>20</v>
      </c>
      <c r="D46" s="139">
        <v>0</v>
      </c>
      <c r="E46" s="139">
        <v>0</v>
      </c>
      <c r="F46" s="1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15 SEER/12 EER/8.2 HSPF</v>
      </c>
      <c r="E51" s="690"/>
      <c r="F51" s="693" t="str">
        <f>INDEX(Tbl_EquipmentDefinitions[Natural Gas Code Efficiency],MATCH($E$13,Tbl_EquipmentDefinitions[Equipment ID],0))</f>
        <v>-</v>
      </c>
      <c r="G51" s="690"/>
      <c r="H51" s="693" t="str">
        <f>INDEX(Tbl_EquipmentDefinitions[Propane Code Efficiency],MATCH($E$13,Tbl_EquipmentDefinitions[Equipment ID],0))</f>
        <v>-</v>
      </c>
      <c r="I51" s="690"/>
      <c r="J51" s="693" t="str">
        <f>INDEX(Tbl_EquipmentDefinitions[Oil Code Efficiency],MATCH($E$13,Tbl_EquipmentDefinitions[Equipment ID],0))</f>
        <v>-</v>
      </c>
      <c r="K51" s="690"/>
    </row>
    <row r="52" spans="2:14" ht="12.75" x14ac:dyDescent="0.2">
      <c r="B52" s="16"/>
      <c r="C52" s="30" t="s">
        <v>153</v>
      </c>
      <c r="D52" s="689" t="str">
        <f>INDEX(Tbl_EquipmentDefinitions[Electricity Low Measure Efficiency],MATCH($E$13,Tbl_EquipmentDefinitions[Equipment ID],0))</f>
        <v>18 SEER/10.0 HSPF</v>
      </c>
      <c r="E52" s="690"/>
      <c r="F52" s="689" t="str">
        <f>INDEX(Tbl_EquipmentDefinitions[Natural Gas Low Measure Efficiency],MATCH($E$13,Tbl_EquipmentDefinitions[Equipment ID],0))</f>
        <v>-</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20 SEER/12.0 HSPF</v>
      </c>
      <c r="E53" s="690"/>
      <c r="F53" s="689" t="str">
        <f>INDEX(Tbl_EquipmentDefinitions[Natural Gas High Measure Efficiency],MATCH($E$13,Tbl_EquipmentDefinitions[Equipment ID],0))</f>
        <v>-</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424" t="s">
        <v>131</v>
      </c>
      <c r="D58" s="691" t="s">
        <v>132</v>
      </c>
      <c r="E58" s="692"/>
      <c r="F58" s="692"/>
      <c r="G58" s="692"/>
    </row>
    <row r="59" spans="2:14" x14ac:dyDescent="0.2">
      <c r="B59" s="16"/>
      <c r="C59" s="32" t="s">
        <v>174</v>
      </c>
      <c r="D59" s="696" t="s">
        <v>538</v>
      </c>
      <c r="E59" s="697"/>
      <c r="F59" s="697"/>
      <c r="G59" s="697"/>
    </row>
    <row r="60" spans="2:14" x14ac:dyDescent="0.2">
      <c r="B60" s="16"/>
      <c r="C60" s="32" t="s">
        <v>309</v>
      </c>
      <c r="D60" s="698" t="s">
        <v>832</v>
      </c>
      <c r="E60" s="699"/>
      <c r="F60" s="699"/>
      <c r="G60" s="699"/>
    </row>
    <row r="61" spans="2:14" x14ac:dyDescent="0.2">
      <c r="B61" s="16"/>
    </row>
    <row r="63" spans="2:14" ht="13.5" thickBot="1" x14ac:dyDescent="0.25">
      <c r="B63" s="9" t="s">
        <v>129</v>
      </c>
      <c r="C63" s="9"/>
      <c r="D63" s="9"/>
      <c r="E63" s="9"/>
      <c r="F63" s="9"/>
      <c r="G63" s="9"/>
      <c r="H63" s="9"/>
      <c r="I63" s="9"/>
      <c r="J63" s="9"/>
      <c r="K63" s="9"/>
      <c r="L63" s="9"/>
      <c r="M63" s="9"/>
      <c r="N63" s="9"/>
    </row>
    <row r="64" spans="2:14" x14ac:dyDescent="0.2">
      <c r="B64" s="15"/>
    </row>
    <row r="65" spans="2:6" ht="12.75" x14ac:dyDescent="0.2">
      <c r="B65" s="16"/>
      <c r="C65" s="10" t="s">
        <v>531</v>
      </c>
      <c r="D65" s="10"/>
    </row>
    <row r="66" spans="2:6" x14ac:dyDescent="0.2">
      <c r="B66" s="16"/>
    </row>
    <row r="67" spans="2:6" ht="12.75" x14ac:dyDescent="0.2">
      <c r="B67" s="16"/>
      <c r="C67" s="30" t="s">
        <v>155</v>
      </c>
      <c r="D67" s="88">
        <f>$D$18</f>
        <v>76.7</v>
      </c>
      <c r="E67" s="6" t="s">
        <v>156</v>
      </c>
    </row>
    <row r="68" spans="2:6" x14ac:dyDescent="0.2">
      <c r="B68" s="16"/>
    </row>
    <row r="69" spans="2:6" ht="12.75" x14ac:dyDescent="0.2">
      <c r="B69" s="16"/>
      <c r="C69" s="30" t="s">
        <v>159</v>
      </c>
      <c r="D69" s="44">
        <v>8.1999999999999993</v>
      </c>
      <c r="E69" s="6" t="s">
        <v>182</v>
      </c>
      <c r="F69" s="45" t="s">
        <v>301</v>
      </c>
    </row>
    <row r="70" spans="2:6" ht="12.75" x14ac:dyDescent="0.2">
      <c r="B70" s="16"/>
      <c r="C70" s="423" t="s">
        <v>180</v>
      </c>
      <c r="D70" s="44">
        <v>10</v>
      </c>
      <c r="E70" s="6" t="s">
        <v>182</v>
      </c>
      <c r="F70" s="8"/>
    </row>
    <row r="71" spans="2:6" ht="12.75" x14ac:dyDescent="0.2">
      <c r="B71" s="16"/>
      <c r="C71" s="423" t="s">
        <v>181</v>
      </c>
      <c r="D71" s="44">
        <v>12</v>
      </c>
      <c r="E71" s="6" t="s">
        <v>182</v>
      </c>
      <c r="F71" s="8"/>
    </row>
    <row r="72" spans="2:6" x14ac:dyDescent="0.2">
      <c r="B72" s="16"/>
    </row>
    <row r="73" spans="2:6" x14ac:dyDescent="0.2">
      <c r="B73" s="16"/>
      <c r="C73" s="5" t="s">
        <v>250</v>
      </c>
      <c r="D73" s="5"/>
    </row>
    <row r="74" spans="2:6" ht="12.75" x14ac:dyDescent="0.2">
      <c r="B74" s="16"/>
      <c r="C74" s="423" t="s">
        <v>534</v>
      </c>
      <c r="D74" s="54">
        <f>230/1043</f>
        <v>0.22051773729626079</v>
      </c>
      <c r="E74" s="188" t="s">
        <v>176</v>
      </c>
      <c r="F74" s="45" t="s">
        <v>952</v>
      </c>
    </row>
    <row r="75" spans="2:6" ht="12.75" x14ac:dyDescent="0.2">
      <c r="B75" s="16"/>
      <c r="C75" s="423" t="s">
        <v>535</v>
      </c>
      <c r="D75" s="189">
        <v>0.25</v>
      </c>
      <c r="E75" s="45" t="s">
        <v>962</v>
      </c>
    </row>
    <row r="76" spans="2:6" x14ac:dyDescent="0.2">
      <c r="B76" s="16"/>
    </row>
    <row r="77" spans="2:6" ht="12.75" x14ac:dyDescent="0.2">
      <c r="B77" s="16"/>
      <c r="C77" s="423" t="s">
        <v>292</v>
      </c>
      <c r="D77" s="41">
        <f>($D$67/HPFUELCALC_REF_HEATINGLOAD)/($D69/HPFUELCALC_REF_DMSHP_HSPF)*HPONLYCALC_DMSHP_HPCONSUMPTION
+($D$67/HPFUELCALC_REF_HEATINGLOAD)*HPONLYCALC_DMSHP_DMSHPRESISTANCECONSUMPTION</f>
        <v>10939.271506119378</v>
      </c>
      <c r="E77" s="6" t="s">
        <v>170</v>
      </c>
      <c r="F77" s="45" t="s">
        <v>1314</v>
      </c>
    </row>
    <row r="78" spans="2:6" ht="12.75" x14ac:dyDescent="0.2">
      <c r="B78" s="16"/>
      <c r="C78" s="423" t="s">
        <v>293</v>
      </c>
      <c r="D78" s="41">
        <f>($D$67/HPFUELCALC_REF_HEATINGLOAD)/($D70/HPFUELCALC_REF_DMSHP_HSPF)*HPONLYCALC_DMSHP_HPCONSUMPTION
+($D$67/HPFUELCALC_REF_HEATINGLOAD)*HPONLYCALC_DMSHP_DMSHPRESISTANCECONSUMPTION</f>
        <v>9112.7493656979241</v>
      </c>
      <c r="E78" s="6" t="s">
        <v>170</v>
      </c>
      <c r="F78" s="45" t="s">
        <v>1315</v>
      </c>
    </row>
    <row r="79" spans="2:6" ht="12.75" x14ac:dyDescent="0.2">
      <c r="B79" s="16"/>
      <c r="C79" s="423" t="s">
        <v>294</v>
      </c>
      <c r="D79" s="41">
        <f>($D$67/HPFUELCALC_REF_HEATINGLOAD)/($D71/HPFUELCALC_REF_DMSHP_HSPF)*HPONLYCALC_DMSHP_HPCONSUMPTION
+($D$67/HPFUELCALC_REF_HEATINGLOAD)*HPONLYCALC_DMSHP_DMSHPRESISTANCECONSUMPTION</f>
        <v>7725.9455183408954</v>
      </c>
      <c r="E79" s="6" t="s">
        <v>170</v>
      </c>
      <c r="F79" s="45"/>
    </row>
    <row r="80" spans="2:6" x14ac:dyDescent="0.2">
      <c r="B80" s="16"/>
      <c r="F80" s="45"/>
    </row>
    <row r="81" spans="2:6" ht="12.75" x14ac:dyDescent="0.2">
      <c r="B81" s="16"/>
      <c r="C81" s="10" t="s">
        <v>532</v>
      </c>
      <c r="F81" s="45"/>
    </row>
    <row r="82" spans="2:6" x14ac:dyDescent="0.2">
      <c r="B82" s="16"/>
      <c r="F82" s="45"/>
    </row>
    <row r="83" spans="2:6" ht="12.75" x14ac:dyDescent="0.2">
      <c r="B83" s="16"/>
      <c r="C83" s="30" t="s">
        <v>167</v>
      </c>
      <c r="D83" s="87">
        <f>$D$19</f>
        <v>13.072800000000001</v>
      </c>
      <c r="E83" s="6" t="s">
        <v>156</v>
      </c>
    </row>
    <row r="84" spans="2:6" x14ac:dyDescent="0.2">
      <c r="B84" s="16"/>
    </row>
    <row r="85" spans="2:6" ht="12.75" x14ac:dyDescent="0.2">
      <c r="B85" s="16"/>
      <c r="C85" s="423" t="s">
        <v>168</v>
      </c>
      <c r="D85" s="44">
        <v>15</v>
      </c>
      <c r="E85" s="6" t="s">
        <v>169</v>
      </c>
      <c r="F85" s="45" t="s">
        <v>302</v>
      </c>
    </row>
    <row r="86" spans="2:6" ht="12.75" x14ac:dyDescent="0.2">
      <c r="B86" s="16"/>
      <c r="C86" s="423" t="s">
        <v>201</v>
      </c>
      <c r="D86" s="44">
        <v>18</v>
      </c>
      <c r="E86" s="6" t="s">
        <v>169</v>
      </c>
    </row>
    <row r="87" spans="2:6" ht="12.75" x14ac:dyDescent="0.2">
      <c r="B87" s="16"/>
      <c r="C87" s="423" t="s">
        <v>202</v>
      </c>
      <c r="D87" s="44">
        <v>20</v>
      </c>
      <c r="E87" s="6" t="s">
        <v>169</v>
      </c>
    </row>
    <row r="88" spans="2:6" x14ac:dyDescent="0.2">
      <c r="B88" s="16"/>
    </row>
    <row r="89" spans="2:6" ht="12.75" x14ac:dyDescent="0.2">
      <c r="B89" s="16"/>
      <c r="C89" s="423" t="s">
        <v>295</v>
      </c>
      <c r="D89" s="41">
        <f>1000*$D$83/D85</f>
        <v>871.5200000000001</v>
      </c>
      <c r="E89" s="6" t="s">
        <v>170</v>
      </c>
      <c r="F89" s="45" t="s">
        <v>306</v>
      </c>
    </row>
    <row r="90" spans="2:6" ht="12.75" x14ac:dyDescent="0.2">
      <c r="B90" s="16"/>
      <c r="C90" s="423" t="s">
        <v>296</v>
      </c>
      <c r="D90" s="41">
        <f>1000*$D$83/D86</f>
        <v>726.26666666666677</v>
      </c>
      <c r="E90" s="6" t="s">
        <v>170</v>
      </c>
    </row>
    <row r="91" spans="2:6" ht="12.75" x14ac:dyDescent="0.2">
      <c r="B91" s="16"/>
      <c r="C91" s="423" t="s">
        <v>297</v>
      </c>
      <c r="D91" s="41">
        <f>1000*$D$83/D87</f>
        <v>653.6400000000001</v>
      </c>
      <c r="E91" s="6" t="s">
        <v>170</v>
      </c>
    </row>
    <row r="92" spans="2:6" x14ac:dyDescent="0.2">
      <c r="B92" s="16"/>
    </row>
    <row r="93" spans="2:6" ht="12.75" x14ac:dyDescent="0.2">
      <c r="B93" s="16"/>
      <c r="C93" s="423" t="s">
        <v>298</v>
      </c>
      <c r="D93" s="41">
        <f>D77+D89</f>
        <v>11810.791506119378</v>
      </c>
      <c r="E93" s="6" t="s">
        <v>170</v>
      </c>
      <c r="F93" s="45" t="s">
        <v>307</v>
      </c>
    </row>
    <row r="94" spans="2:6" ht="12.75" x14ac:dyDescent="0.2">
      <c r="B94" s="16"/>
      <c r="C94" s="423" t="s">
        <v>299</v>
      </c>
      <c r="D94" s="41">
        <f>D78+D90</f>
        <v>9839.0160323645905</v>
      </c>
      <c r="E94" s="6" t="s">
        <v>170</v>
      </c>
    </row>
    <row r="95" spans="2:6" ht="12.75" x14ac:dyDescent="0.2">
      <c r="B95" s="16"/>
      <c r="C95" s="423" t="s">
        <v>300</v>
      </c>
      <c r="D95" s="41">
        <f>D79+D91</f>
        <v>8379.5855183408949</v>
      </c>
      <c r="E95" s="6" t="s">
        <v>170</v>
      </c>
    </row>
    <row r="96" spans="2:6" x14ac:dyDescent="0.2">
      <c r="B96" s="16"/>
    </row>
    <row r="97" spans="2:6" ht="12.75" x14ac:dyDescent="0.2">
      <c r="B97" s="16"/>
      <c r="C97" s="30" t="s">
        <v>163</v>
      </c>
      <c r="D97" s="42">
        <f>D93*PRICE_PER_KWH_2018_ELECTRICITY</f>
        <v>2336.1745599104129</v>
      </c>
      <c r="E97" s="6" t="s">
        <v>164</v>
      </c>
      <c r="F97" s="45" t="s">
        <v>308</v>
      </c>
    </row>
    <row r="98" spans="2:6" ht="12.75" x14ac:dyDescent="0.2">
      <c r="B98" s="16"/>
      <c r="C98" s="423" t="s">
        <v>203</v>
      </c>
      <c r="D98" s="42">
        <f>D94*PRICE_PER_KWH_2018_ELECTRICITY</f>
        <v>1946.1573712017159</v>
      </c>
      <c r="E98" s="6" t="s">
        <v>164</v>
      </c>
    </row>
    <row r="99" spans="2:6" ht="12.75" x14ac:dyDescent="0.2">
      <c r="B99" s="16"/>
      <c r="C99" s="423" t="s">
        <v>204</v>
      </c>
      <c r="D99" s="42">
        <f>D95*PRICE_PER_KWH_2018_ELECTRICITY</f>
        <v>1657.4820155278289</v>
      </c>
      <c r="E99" s="6" t="s">
        <v>164</v>
      </c>
    </row>
    <row r="100" spans="2:6" x14ac:dyDescent="0.2">
      <c r="B100" s="16"/>
    </row>
    <row r="101" spans="2:6" x14ac:dyDescent="0.2">
      <c r="B101" s="16"/>
    </row>
    <row r="102" spans="2:6" ht="12.75" x14ac:dyDescent="0.2">
      <c r="B102" s="16"/>
      <c r="C102" s="10" t="s">
        <v>366</v>
      </c>
      <c r="D102" s="10"/>
    </row>
    <row r="103" spans="2:6" x14ac:dyDescent="0.2">
      <c r="B103" s="16"/>
    </row>
    <row r="104" spans="2:6" ht="12.75" x14ac:dyDescent="0.2">
      <c r="B104" s="16"/>
      <c r="C104" s="423" t="s">
        <v>1595</v>
      </c>
      <c r="D104" s="694" t="str">
        <f>INPUT_DMSHP_COOLCAP_NOOTHERHEAT</f>
        <v>4 ton (1x24kBtu + 2x12kBtu)</v>
      </c>
      <c r="E104" s="695"/>
    </row>
    <row r="105" spans="2:6" ht="12.75" x14ac:dyDescent="0.2">
      <c r="B105" s="16"/>
      <c r="C105" s="423" t="s">
        <v>1594</v>
      </c>
      <c r="D105" s="694" t="str">
        <f>INPUT_DMSHP_HEATCAP_NOOTHERHEAT</f>
        <v>4 ton (1x24kBtu + 2x12kBtu)</v>
      </c>
      <c r="E105" s="695"/>
    </row>
    <row r="106" spans="2:6" ht="12.75" x14ac:dyDescent="0.2">
      <c r="B106" s="16"/>
      <c r="C106" s="30" t="s">
        <v>1612</v>
      </c>
      <c r="D106" s="41" t="str">
        <f>LEFT(D104,SEARCH("ton",D104,1)-2)</f>
        <v>4</v>
      </c>
      <c r="E106" s="6" t="s">
        <v>173</v>
      </c>
    </row>
    <row r="107" spans="2:6" ht="12.75" x14ac:dyDescent="0.2">
      <c r="B107" s="16"/>
      <c r="C107" s="30" t="s">
        <v>1614</v>
      </c>
      <c r="D107" s="41" t="str">
        <f>LEFT(D105,SEARCH("ton",D105,1)-2)</f>
        <v>4</v>
      </c>
      <c r="E107" s="6" t="s">
        <v>173</v>
      </c>
    </row>
    <row r="108" spans="2:6" ht="12.75" x14ac:dyDescent="0.2">
      <c r="B108" s="16"/>
      <c r="C108" s="30" t="s">
        <v>1615</v>
      </c>
      <c r="D108" s="190">
        <f>MAX(VALUE(D106),VALUE(D107))</f>
        <v>4</v>
      </c>
      <c r="E108" s="6" t="s">
        <v>173</v>
      </c>
    </row>
    <row r="109" spans="2:6" x14ac:dyDescent="0.2">
      <c r="B109" s="16"/>
    </row>
    <row r="110" spans="2:6" ht="12.75" x14ac:dyDescent="0.2">
      <c r="B110" s="16"/>
      <c r="C110" s="423" t="s">
        <v>217</v>
      </c>
      <c r="D110" s="31">
        <f>D69</f>
        <v>8.1999999999999993</v>
      </c>
      <c r="E110" s="6" t="s">
        <v>182</v>
      </c>
      <c r="F110" s="45" t="s">
        <v>303</v>
      </c>
    </row>
    <row r="111" spans="2:6" ht="12.75" x14ac:dyDescent="0.2">
      <c r="B111" s="16"/>
      <c r="C111" s="423" t="s">
        <v>218</v>
      </c>
      <c r="D111" s="31">
        <f>D70</f>
        <v>10</v>
      </c>
      <c r="E111" s="6" t="s">
        <v>182</v>
      </c>
      <c r="F111" s="45"/>
    </row>
    <row r="112" spans="2:6" ht="12.75" x14ac:dyDescent="0.2">
      <c r="B112" s="16"/>
      <c r="C112" s="423" t="s">
        <v>219</v>
      </c>
      <c r="D112" s="31">
        <f>D71</f>
        <v>12</v>
      </c>
      <c r="E112" s="6" t="s">
        <v>182</v>
      </c>
      <c r="F112" s="45"/>
    </row>
    <row r="113" spans="2:6" x14ac:dyDescent="0.2">
      <c r="B113" s="16"/>
    </row>
    <row r="114" spans="2:6" ht="12.75" x14ac:dyDescent="0.2">
      <c r="B114" s="16"/>
      <c r="C114" s="423" t="s">
        <v>210</v>
      </c>
      <c r="D114" s="44">
        <v>0.34</v>
      </c>
      <c r="E114" s="45" t="s">
        <v>538</v>
      </c>
    </row>
    <row r="115" spans="2:6" ht="12.75" x14ac:dyDescent="0.2">
      <c r="B115" s="16"/>
      <c r="C115" s="423" t="s">
        <v>537</v>
      </c>
      <c r="D115" s="44">
        <v>0.45</v>
      </c>
      <c r="E115" s="45" t="s">
        <v>538</v>
      </c>
    </row>
    <row r="116" spans="2:6" x14ac:dyDescent="0.2">
      <c r="B116" s="16"/>
    </row>
    <row r="117" spans="2:6" ht="12.75" x14ac:dyDescent="0.2">
      <c r="B117" s="16"/>
      <c r="C117" s="423" t="s">
        <v>220</v>
      </c>
      <c r="D117" s="46">
        <f>$D$114*$D$107*12/D110</f>
        <v>1.9902439024390246</v>
      </c>
      <c r="E117" s="6" t="s">
        <v>176</v>
      </c>
      <c r="F117" s="45" t="s">
        <v>536</v>
      </c>
    </row>
    <row r="118" spans="2:6" ht="12.75" x14ac:dyDescent="0.2">
      <c r="B118" s="16"/>
      <c r="C118" s="423" t="s">
        <v>221</v>
      </c>
      <c r="D118" s="37">
        <f>$D$114*$D$107*12/D111</f>
        <v>1.6320000000000001</v>
      </c>
      <c r="E118" s="6" t="s">
        <v>176</v>
      </c>
    </row>
    <row r="119" spans="2:6" ht="12.75" x14ac:dyDescent="0.2">
      <c r="B119" s="16"/>
      <c r="C119" s="423" t="s">
        <v>222</v>
      </c>
      <c r="D119" s="46">
        <f>$D$115*$D$107*12/D112</f>
        <v>1.8</v>
      </c>
      <c r="E119" s="6" t="s">
        <v>176</v>
      </c>
    </row>
    <row r="120" spans="2:6" x14ac:dyDescent="0.2">
      <c r="B120" s="16"/>
    </row>
    <row r="121" spans="2:6" x14ac:dyDescent="0.2">
      <c r="B121" s="16"/>
    </row>
    <row r="122" spans="2:6" ht="12.75" x14ac:dyDescent="0.2">
      <c r="B122" s="16"/>
      <c r="C122" s="423" t="s">
        <v>208</v>
      </c>
      <c r="D122" s="44">
        <v>12</v>
      </c>
      <c r="E122" s="6" t="s">
        <v>175</v>
      </c>
      <c r="F122" s="45" t="s">
        <v>304</v>
      </c>
    </row>
    <row r="123" spans="2:6" ht="12.75" x14ac:dyDescent="0.2">
      <c r="B123" s="16"/>
      <c r="C123" s="423" t="s">
        <v>213</v>
      </c>
      <c r="D123" s="31">
        <f>D122</f>
        <v>12</v>
      </c>
      <c r="E123" s="6" t="s">
        <v>175</v>
      </c>
      <c r="F123" s="45" t="s">
        <v>223</v>
      </c>
    </row>
    <row r="124" spans="2:6" ht="12.75" x14ac:dyDescent="0.2">
      <c r="B124" s="16"/>
      <c r="C124" s="423" t="s">
        <v>214</v>
      </c>
      <c r="D124" s="31">
        <f>D123</f>
        <v>12</v>
      </c>
      <c r="E124" s="6" t="s">
        <v>175</v>
      </c>
      <c r="F124" s="45" t="s">
        <v>223</v>
      </c>
    </row>
    <row r="125" spans="2:6" x14ac:dyDescent="0.2">
      <c r="B125" s="16"/>
    </row>
    <row r="126" spans="2:6" ht="12.75" x14ac:dyDescent="0.2">
      <c r="B126" s="16"/>
      <c r="C126" s="423" t="s">
        <v>174</v>
      </c>
      <c r="D126" s="44">
        <v>0.38</v>
      </c>
      <c r="E126" s="45" t="s">
        <v>953</v>
      </c>
    </row>
    <row r="127" spans="2:6" x14ac:dyDescent="0.2">
      <c r="B127" s="16"/>
    </row>
    <row r="128" spans="2:6" ht="12.75" x14ac:dyDescent="0.2">
      <c r="B128" s="16"/>
      <c r="C128" s="423" t="s">
        <v>211</v>
      </c>
      <c r="D128" s="37">
        <f>$D$126*$D$106*12/D122</f>
        <v>1.5200000000000002</v>
      </c>
      <c r="E128" s="6" t="s">
        <v>176</v>
      </c>
      <c r="F128" s="45"/>
    </row>
    <row r="129" spans="2:10" ht="12.75" x14ac:dyDescent="0.2">
      <c r="B129" s="16"/>
      <c r="C129" s="423" t="s">
        <v>212</v>
      </c>
      <c r="D129" s="37">
        <f>$D$126*$D$106*12/D123</f>
        <v>1.5200000000000002</v>
      </c>
      <c r="E129" s="6" t="s">
        <v>176</v>
      </c>
    </row>
    <row r="130" spans="2:10" ht="12.75" x14ac:dyDescent="0.2">
      <c r="B130" s="16"/>
      <c r="C130" s="423" t="s">
        <v>215</v>
      </c>
      <c r="D130" s="37">
        <f>$D$126*$D$106*12/D124</f>
        <v>1.5200000000000002</v>
      </c>
      <c r="E130" s="6" t="s">
        <v>176</v>
      </c>
    </row>
    <row r="131" spans="2:10" x14ac:dyDescent="0.2">
      <c r="B131" s="16"/>
    </row>
    <row r="132" spans="2:10" ht="12.75" x14ac:dyDescent="0.2">
      <c r="B132" s="16"/>
      <c r="C132" s="10" t="s">
        <v>812</v>
      </c>
      <c r="D132" s="10"/>
    </row>
    <row r="133" spans="2:10" x14ac:dyDescent="0.2">
      <c r="B133" s="16"/>
    </row>
    <row r="134" spans="2:10" ht="12.75" x14ac:dyDescent="0.2">
      <c r="B134" s="16"/>
      <c r="C134" s="423" t="s">
        <v>1207</v>
      </c>
      <c r="D134" s="422">
        <v>0</v>
      </c>
      <c r="E134" s="6" t="s">
        <v>1180</v>
      </c>
      <c r="F134" s="45" t="s">
        <v>1313</v>
      </c>
    </row>
    <row r="135" spans="2:10" ht="12.75" x14ac:dyDescent="0.2">
      <c r="B135" s="16"/>
      <c r="C135" s="423" t="s">
        <v>1208</v>
      </c>
      <c r="D135" s="422">
        <f>INPUT_ELECTRICALSYSTEMUPGRADECOST</f>
        <v>500</v>
      </c>
      <c r="E135" s="6" t="s">
        <v>1180</v>
      </c>
    </row>
    <row r="136" spans="2:10" ht="12.75" x14ac:dyDescent="0.2">
      <c r="B136" s="16"/>
      <c r="C136" s="423" t="s">
        <v>1196</v>
      </c>
      <c r="D136" s="422">
        <f>INPUT_EQUIPMENTDISPOSALCOST</f>
        <v>600</v>
      </c>
      <c r="E136" s="188" t="s">
        <v>1180</v>
      </c>
      <c r="F136" s="8" t="s">
        <v>1342</v>
      </c>
    </row>
    <row r="137" spans="2:10" x14ac:dyDescent="0.2">
      <c r="B137" s="16"/>
    </row>
    <row r="138" spans="2:10" x14ac:dyDescent="0.2">
      <c r="B138" s="16"/>
    </row>
    <row r="139" spans="2:10" x14ac:dyDescent="0.2">
      <c r="B139" s="16"/>
      <c r="C139" s="6" t="s">
        <v>830</v>
      </c>
    </row>
    <row r="140" spans="2:10" x14ac:dyDescent="0.2">
      <c r="B140" s="16"/>
    </row>
    <row r="141" spans="2:10" x14ac:dyDescent="0.2">
      <c r="B141" s="16"/>
      <c r="C141" s="6" t="s">
        <v>828</v>
      </c>
    </row>
    <row r="142" spans="2:10" ht="23.25" thickBot="1" x14ac:dyDescent="0.25">
      <c r="B142" s="16"/>
      <c r="C142" s="280" t="s">
        <v>822</v>
      </c>
      <c r="D142" s="280" t="s">
        <v>824</v>
      </c>
      <c r="E142" s="280" t="s">
        <v>825</v>
      </c>
      <c r="F142" s="280" t="s">
        <v>826</v>
      </c>
      <c r="G142" s="280" t="s">
        <v>827</v>
      </c>
      <c r="H142" s="280" t="s">
        <v>814</v>
      </c>
      <c r="I142" s="280" t="s">
        <v>815</v>
      </c>
      <c r="J142" s="280" t="s">
        <v>816</v>
      </c>
    </row>
    <row r="143" spans="2:10" x14ac:dyDescent="0.2">
      <c r="B143" s="16"/>
      <c r="C143" s="14" t="s">
        <v>817</v>
      </c>
      <c r="D143" s="14">
        <v>1</v>
      </c>
      <c r="E143" s="333">
        <v>3643</v>
      </c>
      <c r="F143" s="333">
        <v>3662</v>
      </c>
      <c r="G143" s="333">
        <v>3682</v>
      </c>
      <c r="H143" s="333">
        <v>3860</v>
      </c>
      <c r="I143" s="333">
        <v>4212</v>
      </c>
      <c r="J143" s="14" t="s">
        <v>119</v>
      </c>
    </row>
    <row r="144" spans="2:10" x14ac:dyDescent="0.2">
      <c r="B144" s="16"/>
      <c r="C144" s="14" t="s">
        <v>818</v>
      </c>
      <c r="D144" s="14">
        <v>1</v>
      </c>
      <c r="E144" s="335">
        <v>3717</v>
      </c>
      <c r="F144" s="333">
        <v>3717</v>
      </c>
      <c r="G144" s="333">
        <v>3717</v>
      </c>
      <c r="H144" s="335">
        <v>3957</v>
      </c>
      <c r="I144" s="335">
        <v>4407</v>
      </c>
      <c r="J144" s="333">
        <v>4407</v>
      </c>
    </row>
    <row r="145" spans="2:15" x14ac:dyDescent="0.2">
      <c r="B145" s="16"/>
      <c r="C145" s="14">
        <v>18</v>
      </c>
      <c r="D145" s="14">
        <v>1</v>
      </c>
      <c r="E145" s="335">
        <v>4276</v>
      </c>
      <c r="F145" s="333">
        <v>4316</v>
      </c>
      <c r="G145" s="333">
        <v>4355</v>
      </c>
      <c r="H145" s="335">
        <v>4475</v>
      </c>
      <c r="I145" s="335">
        <v>4956</v>
      </c>
      <c r="J145" s="14" t="s">
        <v>119</v>
      </c>
    </row>
    <row r="146" spans="2:15" x14ac:dyDescent="0.2">
      <c r="B146" s="16"/>
      <c r="C146" s="14" t="s">
        <v>819</v>
      </c>
      <c r="D146" s="14">
        <v>1</v>
      </c>
      <c r="E146" s="333">
        <v>4586</v>
      </c>
      <c r="F146" s="333">
        <v>4665</v>
      </c>
      <c r="G146" s="333">
        <v>4743</v>
      </c>
      <c r="H146" s="333">
        <v>4811</v>
      </c>
      <c r="I146" s="333">
        <v>5256</v>
      </c>
      <c r="J146" s="14" t="s">
        <v>119</v>
      </c>
    </row>
    <row r="147" spans="2:15" x14ac:dyDescent="0.2">
      <c r="B147" s="16"/>
      <c r="C147" s="14" t="s">
        <v>819</v>
      </c>
      <c r="D147" s="14">
        <v>2</v>
      </c>
      <c r="E147" s="333">
        <v>6263</v>
      </c>
      <c r="F147" s="333">
        <v>6263</v>
      </c>
      <c r="G147" s="333">
        <v>6679</v>
      </c>
      <c r="H147" s="333">
        <v>6679</v>
      </c>
      <c r="I147" s="14" t="s">
        <v>119</v>
      </c>
      <c r="J147" s="14" t="s">
        <v>119</v>
      </c>
    </row>
    <row r="148" spans="2:15" x14ac:dyDescent="0.2">
      <c r="B148" s="16"/>
      <c r="C148" s="14" t="s">
        <v>819</v>
      </c>
      <c r="D148" s="14">
        <v>3</v>
      </c>
      <c r="E148" s="333">
        <v>7434</v>
      </c>
      <c r="F148" s="333">
        <v>7446</v>
      </c>
      <c r="G148" s="333">
        <v>7852</v>
      </c>
      <c r="H148" s="333">
        <v>7852</v>
      </c>
      <c r="I148" s="14" t="s">
        <v>119</v>
      </c>
      <c r="J148" s="14" t="s">
        <v>119</v>
      </c>
    </row>
    <row r="149" spans="2:15" x14ac:dyDescent="0.2">
      <c r="B149" s="16"/>
      <c r="C149" s="14" t="s">
        <v>820</v>
      </c>
      <c r="D149" s="14">
        <v>3</v>
      </c>
      <c r="E149" s="333">
        <v>7962</v>
      </c>
      <c r="F149" s="333">
        <v>7993</v>
      </c>
      <c r="G149" s="333">
        <v>8024</v>
      </c>
      <c r="H149" s="333">
        <v>8024</v>
      </c>
      <c r="I149" s="14" t="s">
        <v>119</v>
      </c>
      <c r="J149" s="14" t="s">
        <v>119</v>
      </c>
    </row>
    <row r="150" spans="2:15" x14ac:dyDescent="0.2">
      <c r="B150" s="16"/>
      <c r="C150" s="14" t="s">
        <v>821</v>
      </c>
      <c r="D150" s="14">
        <v>4</v>
      </c>
      <c r="E150" s="333">
        <v>8857</v>
      </c>
      <c r="F150" s="333">
        <v>8857</v>
      </c>
      <c r="G150" s="333">
        <v>8857</v>
      </c>
      <c r="H150" s="333">
        <v>8857</v>
      </c>
      <c r="I150" s="14" t="s">
        <v>119</v>
      </c>
      <c r="J150" s="14" t="s">
        <v>119</v>
      </c>
    </row>
    <row r="151" spans="2:15" x14ac:dyDescent="0.2">
      <c r="B151" s="16"/>
    </row>
    <row r="152" spans="2:15" x14ac:dyDescent="0.2">
      <c r="B152" s="16"/>
      <c r="C152" s="6" t="s">
        <v>823</v>
      </c>
    </row>
    <row r="153" spans="2:15" ht="23.25" thickBot="1" x14ac:dyDescent="0.25">
      <c r="B153" s="16"/>
      <c r="C153" s="280" t="s">
        <v>822</v>
      </c>
      <c r="D153" s="280" t="s">
        <v>813</v>
      </c>
      <c r="E153" s="280" t="s">
        <v>814</v>
      </c>
      <c r="F153" s="280" t="s">
        <v>815</v>
      </c>
      <c r="G153" s="280" t="s">
        <v>816</v>
      </c>
      <c r="J153" s="280" t="s">
        <v>835</v>
      </c>
      <c r="K153" s="280" t="s">
        <v>825</v>
      </c>
      <c r="L153" s="280" t="s">
        <v>814</v>
      </c>
      <c r="M153" s="280" t="s">
        <v>815</v>
      </c>
      <c r="N153" s="280" t="s">
        <v>1605</v>
      </c>
      <c r="O153" s="6" t="s">
        <v>1604</v>
      </c>
    </row>
    <row r="154" spans="2:15" x14ac:dyDescent="0.2">
      <c r="B154" s="16"/>
      <c r="C154" s="14" t="s">
        <v>817</v>
      </c>
      <c r="D154" s="14">
        <v>1</v>
      </c>
      <c r="E154" s="333">
        <v>3993</v>
      </c>
      <c r="F154" s="333">
        <v>4035</v>
      </c>
      <c r="G154" s="333">
        <v>4419</v>
      </c>
      <c r="J154" s="14">
        <v>5</v>
      </c>
      <c r="K154" s="333">
        <f>E146+3*0.85*E144</f>
        <v>14064.349999999999</v>
      </c>
      <c r="L154" s="333">
        <f>E157+3*0.85*E155</f>
        <v>15363.9</v>
      </c>
      <c r="M154" s="333">
        <f>F157+3*0.85*F155</f>
        <v>15883.449999999999</v>
      </c>
      <c r="N154" s="6" t="s">
        <v>1599</v>
      </c>
      <c r="O154" s="8" t="s">
        <v>1606</v>
      </c>
    </row>
    <row r="155" spans="2:15" x14ac:dyDescent="0.2">
      <c r="B155" s="16"/>
      <c r="C155" s="14" t="s">
        <v>818</v>
      </c>
      <c r="D155" s="14">
        <v>1</v>
      </c>
      <c r="E155" s="335">
        <v>4058</v>
      </c>
      <c r="F155" s="335">
        <v>4199</v>
      </c>
      <c r="G155" s="333">
        <v>4515</v>
      </c>
      <c r="J155" s="14">
        <v>4</v>
      </c>
      <c r="K155" s="333">
        <f>E146+2*0.85*E144</f>
        <v>10904.9</v>
      </c>
      <c r="L155" s="333">
        <f>E157+2*0.85*E155</f>
        <v>11914.599999999999</v>
      </c>
      <c r="M155" s="333">
        <f>F157+2*0.85*F155</f>
        <v>12314.3</v>
      </c>
      <c r="N155" s="6" t="s">
        <v>1598</v>
      </c>
      <c r="O155" s="8" t="s">
        <v>1606</v>
      </c>
    </row>
    <row r="156" spans="2:15" x14ac:dyDescent="0.2">
      <c r="B156" s="16"/>
      <c r="C156" s="14">
        <v>18</v>
      </c>
      <c r="D156" s="14">
        <v>1</v>
      </c>
      <c r="E156" s="335">
        <v>4646</v>
      </c>
      <c r="F156" s="335">
        <v>4812</v>
      </c>
      <c r="G156" s="18" t="s">
        <v>119</v>
      </c>
      <c r="J156" s="14">
        <v>3</v>
      </c>
      <c r="K156" s="333">
        <f>E144+2*0.85*E144</f>
        <v>10035.9</v>
      </c>
      <c r="L156" s="333">
        <f>E155+2*0.85*E155</f>
        <v>10956.599999999999</v>
      </c>
      <c r="M156" s="333">
        <f>F155+2*0.85*F155</f>
        <v>11337.3</v>
      </c>
      <c r="N156" s="6" t="s">
        <v>1597</v>
      </c>
      <c r="O156" s="8" t="s">
        <v>1606</v>
      </c>
    </row>
    <row r="157" spans="2:15" x14ac:dyDescent="0.2">
      <c r="B157" s="16"/>
      <c r="C157" s="14" t="s">
        <v>819</v>
      </c>
      <c r="D157" s="14">
        <v>1</v>
      </c>
      <c r="E157" s="333">
        <v>5016</v>
      </c>
      <c r="F157" s="333">
        <v>5176</v>
      </c>
      <c r="G157" s="18" t="s">
        <v>119</v>
      </c>
      <c r="J157" s="14">
        <v>2.5</v>
      </c>
      <c r="K157" s="333">
        <f>E144+2*0.85*E143</f>
        <v>9910.0999999999985</v>
      </c>
      <c r="L157" s="333">
        <f>E155+2*0.85*E154</f>
        <v>10846.099999999999</v>
      </c>
      <c r="M157" s="333">
        <f>F155+2*0.85*F154</f>
        <v>11058.5</v>
      </c>
      <c r="N157" s="6" t="s">
        <v>1596</v>
      </c>
      <c r="O157" s="8" t="s">
        <v>1606</v>
      </c>
    </row>
    <row r="158" spans="2:15" x14ac:dyDescent="0.2">
      <c r="B158" s="16"/>
      <c r="C158" s="14" t="s">
        <v>819</v>
      </c>
      <c r="D158" s="14">
        <v>2</v>
      </c>
      <c r="E158" s="333">
        <v>7060</v>
      </c>
      <c r="F158" s="18" t="s">
        <v>119</v>
      </c>
      <c r="G158" s="18" t="s">
        <v>119</v>
      </c>
      <c r="J158" s="14">
        <v>2</v>
      </c>
      <c r="K158" s="333">
        <f>E146</f>
        <v>4586</v>
      </c>
      <c r="L158" s="333">
        <f>E157</f>
        <v>5016</v>
      </c>
      <c r="M158" s="333">
        <f>F157</f>
        <v>5176</v>
      </c>
      <c r="N158" s="6" t="s">
        <v>1600</v>
      </c>
    </row>
    <row r="159" spans="2:15" x14ac:dyDescent="0.2">
      <c r="B159" s="16"/>
      <c r="C159" s="14" t="s">
        <v>819</v>
      </c>
      <c r="D159" s="14">
        <v>3</v>
      </c>
      <c r="E159" s="334">
        <v>8202</v>
      </c>
      <c r="F159" s="18" t="s">
        <v>119</v>
      </c>
      <c r="G159" s="18" t="s">
        <v>119</v>
      </c>
      <c r="J159" s="14">
        <v>1.5</v>
      </c>
      <c r="K159" s="333">
        <f>E145</f>
        <v>4276</v>
      </c>
      <c r="L159" s="333">
        <f>E156</f>
        <v>4646</v>
      </c>
      <c r="M159" s="333">
        <f>F156</f>
        <v>4812</v>
      </c>
      <c r="N159" s="6" t="s">
        <v>1601</v>
      </c>
    </row>
    <row r="160" spans="2:15" x14ac:dyDescent="0.2">
      <c r="B160" s="16"/>
      <c r="C160" s="14" t="s">
        <v>820</v>
      </c>
      <c r="D160" s="14">
        <v>3</v>
      </c>
      <c r="E160" s="333">
        <v>9049</v>
      </c>
      <c r="F160" s="18" t="s">
        <v>119</v>
      </c>
      <c r="G160" s="18" t="s">
        <v>119</v>
      </c>
      <c r="J160" s="14">
        <v>1</v>
      </c>
      <c r="K160" s="333">
        <f>E144</f>
        <v>3717</v>
      </c>
      <c r="L160" s="333">
        <f>E155</f>
        <v>4058</v>
      </c>
      <c r="M160" s="333">
        <f>F155</f>
        <v>4199</v>
      </c>
      <c r="N160" s="6" t="s">
        <v>1602</v>
      </c>
    </row>
    <row r="161" spans="2:14" x14ac:dyDescent="0.2">
      <c r="B161" s="16"/>
      <c r="C161" s="14" t="s">
        <v>821</v>
      </c>
      <c r="D161" s="14">
        <v>4</v>
      </c>
      <c r="E161" s="333">
        <v>10438</v>
      </c>
      <c r="F161" s="18" t="s">
        <v>119</v>
      </c>
      <c r="G161" s="18" t="s">
        <v>119</v>
      </c>
      <c r="J161" s="14">
        <v>0.75</v>
      </c>
      <c r="K161" s="333">
        <f>E143</f>
        <v>3643</v>
      </c>
      <c r="L161" s="333">
        <f>E154</f>
        <v>3993</v>
      </c>
      <c r="M161" s="333">
        <f>F154</f>
        <v>4035</v>
      </c>
      <c r="N161" s="6" t="s">
        <v>1603</v>
      </c>
    </row>
    <row r="162" spans="2:14" x14ac:dyDescent="0.2">
      <c r="B162" s="16"/>
      <c r="J162" s="8" t="s">
        <v>836</v>
      </c>
    </row>
    <row r="163" spans="2:14" x14ac:dyDescent="0.2">
      <c r="B163" s="16"/>
    </row>
    <row r="164" spans="2:14" ht="12.75" x14ac:dyDescent="0.2">
      <c r="B164" s="16"/>
      <c r="C164" s="30" t="s">
        <v>1615</v>
      </c>
      <c r="D164" s="190">
        <f>D108</f>
        <v>4</v>
      </c>
      <c r="E164" s="6" t="s">
        <v>173</v>
      </c>
    </row>
    <row r="165" spans="2:14" x14ac:dyDescent="0.2">
      <c r="B165" s="16"/>
    </row>
    <row r="166" spans="2:14" ht="12" thickBot="1" x14ac:dyDescent="0.25">
      <c r="B166" s="16"/>
      <c r="D166" s="280" t="s">
        <v>829</v>
      </c>
      <c r="E166" s="280" t="s">
        <v>831</v>
      </c>
    </row>
    <row r="167" spans="2:14" ht="12.75" x14ac:dyDescent="0.2">
      <c r="B167" s="16"/>
      <c r="C167" s="30" t="s">
        <v>6</v>
      </c>
      <c r="D167" s="31" t="str">
        <f>D51</f>
        <v>15 SEER/12 EER/8.2 HSPF</v>
      </c>
      <c r="E167" s="339">
        <f>INDEX(K154:K161,MATCH(D164,J154:J161,-1))+$D$134+$D$135+D136</f>
        <v>12004.9</v>
      </c>
    </row>
    <row r="168" spans="2:14" ht="12.75" x14ac:dyDescent="0.2">
      <c r="B168" s="16"/>
      <c r="C168" s="30" t="s">
        <v>153</v>
      </c>
      <c r="D168" s="31" t="str">
        <f>D52</f>
        <v>18 SEER/10.0 HSPF</v>
      </c>
      <c r="E168" s="340">
        <f>INDEX(L154:L161,MATCH(D164,J154:J161,-1))+$D$134+$D$135+D136</f>
        <v>13014.599999999999</v>
      </c>
    </row>
    <row r="169" spans="2:14" ht="12.75" x14ac:dyDescent="0.2">
      <c r="B169" s="16"/>
      <c r="C169" s="30" t="s">
        <v>154</v>
      </c>
      <c r="D169" s="31" t="str">
        <f>D53</f>
        <v>20 SEER/12.0 HSPF</v>
      </c>
      <c r="E169" s="339">
        <f>INDEX(M154:M161,MATCH(D164,J154:J161,-1))+$D$134+$D$135+D136</f>
        <v>13414.3</v>
      </c>
    </row>
    <row r="170" spans="2:14" x14ac:dyDescent="0.2">
      <c r="B170" s="16"/>
    </row>
    <row r="171" spans="2:14" x14ac:dyDescent="0.2">
      <c r="B171" s="16"/>
    </row>
    <row r="172" spans="2:14" x14ac:dyDescent="0.2">
      <c r="B172" s="16"/>
    </row>
    <row r="173" spans="2:14" x14ac:dyDescent="0.2">
      <c r="B173" s="16"/>
    </row>
    <row r="174" spans="2:14" x14ac:dyDescent="0.2">
      <c r="B174" s="16"/>
    </row>
    <row r="175" spans="2:14" x14ac:dyDescent="0.2">
      <c r="B175" s="16"/>
    </row>
    <row r="176" spans="2:14" x14ac:dyDescent="0.2">
      <c r="B176" s="16"/>
    </row>
    <row r="177" spans="2:2" x14ac:dyDescent="0.2">
      <c r="B177" s="16"/>
    </row>
    <row r="178" spans="2:2" x14ac:dyDescent="0.2">
      <c r="B178" s="16"/>
    </row>
    <row r="179" spans="2:2" x14ac:dyDescent="0.2">
      <c r="B179" s="16"/>
    </row>
    <row r="180" spans="2:2" x14ac:dyDescent="0.2">
      <c r="B180" s="16"/>
    </row>
    <row r="181" spans="2:2" x14ac:dyDescent="0.2">
      <c r="B181" s="16"/>
    </row>
  </sheetData>
  <mergeCells count="21">
    <mergeCell ref="D104:E104"/>
    <mergeCell ref="D105:E105"/>
    <mergeCell ref="D51:E51"/>
    <mergeCell ref="F51:G51"/>
    <mergeCell ref="H51:I51"/>
    <mergeCell ref="H52:I52"/>
    <mergeCell ref="D58:G58"/>
    <mergeCell ref="D59:G59"/>
    <mergeCell ref="D60:G60"/>
    <mergeCell ref="J51:K51"/>
    <mergeCell ref="D50:E50"/>
    <mergeCell ref="F50:G50"/>
    <mergeCell ref="H50:I50"/>
    <mergeCell ref="J50:K50"/>
    <mergeCell ref="J52:K52"/>
    <mergeCell ref="D53:E53"/>
    <mergeCell ref="F53:G53"/>
    <mergeCell ref="H53:I53"/>
    <mergeCell ref="J53:K53"/>
    <mergeCell ref="D52:E52"/>
    <mergeCell ref="F52:G52"/>
  </mergeCells>
  <dataValidations disablePrompts="1" count="2">
    <dataValidation type="list" allowBlank="1" showInputMessage="1" showErrorMessage="1" sqref="D9">
      <formula1>DEFINED_MEASURES</formula1>
    </dataValidation>
    <dataValidation type="list" allowBlank="1" showInputMessage="1" showErrorMessage="1" sqref="D5">
      <formula1>"1. Not Started,2. Analyzing,3. Ready"</formula1>
    </dataValidation>
  </dataValidation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3"/>
  </sheetPr>
  <dimension ref="A1:AD165"/>
  <sheetViews>
    <sheetView workbookViewId="0"/>
  </sheetViews>
  <sheetFormatPr defaultColWidth="9.33203125" defaultRowHeight="11.25" x14ac:dyDescent="0.2"/>
  <cols>
    <col min="1" max="2" width="3.33203125" style="6" customWidth="1"/>
    <col min="3" max="3" width="22.6640625" style="6" bestFit="1" customWidth="1"/>
    <col min="4" max="4" width="14.33203125" style="6" customWidth="1"/>
    <col min="5" max="5" width="18.5" style="6" customWidth="1"/>
    <col min="6" max="6" width="15" style="6" customWidth="1"/>
    <col min="7" max="7" width="13.5" style="6" customWidth="1"/>
    <col min="8" max="8" width="15.83203125" style="6" customWidth="1"/>
    <col min="9" max="9" width="22.33203125" style="6" bestFit="1" customWidth="1"/>
    <col min="10" max="10" width="20.5" style="6" bestFit="1" customWidth="1"/>
    <col min="11" max="16384" width="9.33203125" style="6"/>
  </cols>
  <sheetData>
    <row r="1" spans="1:30" ht="17.25" thickBot="1" x14ac:dyDescent="0.3">
      <c r="A1" s="4"/>
      <c r="B1" s="4" t="s">
        <v>283</v>
      </c>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2" thickTop="1" x14ac:dyDescent="0.2"/>
    <row r="3" spans="1:30" ht="13.5" thickBot="1" x14ac:dyDescent="0.25">
      <c r="B3" s="9" t="s">
        <v>165</v>
      </c>
      <c r="C3" s="9"/>
      <c r="D3" s="9"/>
      <c r="E3" s="9"/>
      <c r="F3" s="9"/>
      <c r="G3" s="9"/>
      <c r="H3" s="9"/>
      <c r="I3" s="9"/>
      <c r="J3" s="9"/>
      <c r="K3" s="9"/>
      <c r="L3" s="9"/>
      <c r="M3" s="9"/>
      <c r="N3" s="9"/>
    </row>
    <row r="4" spans="1:30" x14ac:dyDescent="0.2">
      <c r="B4" s="15"/>
    </row>
    <row r="5" spans="1:30" x14ac:dyDescent="0.2">
      <c r="B5" s="16"/>
      <c r="C5" s="6" t="s">
        <v>166</v>
      </c>
      <c r="D5" s="29" t="s">
        <v>355</v>
      </c>
    </row>
    <row r="7" spans="1:30" ht="13.5" thickBot="1" x14ac:dyDescent="0.25">
      <c r="B7" s="9" t="s">
        <v>286</v>
      </c>
      <c r="C7" s="9"/>
      <c r="D7" s="9"/>
      <c r="E7" s="9"/>
      <c r="F7" s="9"/>
      <c r="G7" s="9"/>
      <c r="H7" s="9"/>
      <c r="I7" s="9"/>
      <c r="J7" s="9"/>
      <c r="K7" s="9"/>
      <c r="L7" s="9"/>
      <c r="M7" s="9"/>
      <c r="N7" s="9"/>
    </row>
    <row r="8" spans="1:30" x14ac:dyDescent="0.2">
      <c r="B8" s="15"/>
    </row>
    <row r="9" spans="1:30" ht="12.75" x14ac:dyDescent="0.2">
      <c r="B9" s="16"/>
      <c r="C9" s="30" t="s">
        <v>288</v>
      </c>
      <c r="D9" s="93" t="s">
        <v>1317</v>
      </c>
      <c r="E9" s="7" t="s">
        <v>290</v>
      </c>
    </row>
    <row r="10" spans="1:30" ht="12.75" x14ac:dyDescent="0.2">
      <c r="B10" s="16"/>
      <c r="C10" s="30" t="s">
        <v>289</v>
      </c>
      <c r="D10" s="83" t="str">
        <f>INDEX(Tbl_MeasureList[Baseline ID],MATCH($D$9,Tbl_MeasureList[Measure ID],0))</f>
        <v>BASE09</v>
      </c>
      <c r="E10" s="7"/>
    </row>
    <row r="11" spans="1:30" x14ac:dyDescent="0.2">
      <c r="B11" s="16"/>
      <c r="C11" s="7"/>
      <c r="D11" s="7"/>
      <c r="E11" s="7"/>
    </row>
    <row r="12" spans="1:30" ht="12" thickBot="1" x14ac:dyDescent="0.25">
      <c r="B12" s="16"/>
      <c r="C12" s="7"/>
      <c r="D12" s="424" t="s">
        <v>5</v>
      </c>
      <c r="E12" s="424" t="s">
        <v>284</v>
      </c>
    </row>
    <row r="13" spans="1:30" x14ac:dyDescent="0.2">
      <c r="B13" s="16"/>
      <c r="C13" s="32" t="s">
        <v>2</v>
      </c>
      <c r="D13" s="84" t="str">
        <f>INDEX(Tbl_MeasureList[Baseline Equipment ID],MATCH($D$9,Tbl_MeasureList[Measure ID],0))</f>
        <v>EQUI017</v>
      </c>
      <c r="E13" s="84" t="str">
        <f>INDEX(Tbl_MeasureList[Replacement ID],MATCH($D$9,Tbl_MeasureList[Measure ID],0))</f>
        <v>EQUI022</v>
      </c>
      <c r="F13" s="7"/>
    </row>
    <row r="14" spans="1:30" x14ac:dyDescent="0.2">
      <c r="B14" s="16"/>
      <c r="C14" s="32" t="s">
        <v>4</v>
      </c>
      <c r="D14" s="85" t="str">
        <f>INDEX(Tbl_EquipmentDefinitions[[Equipment Name]:[Equipment Name]],MATCH(D$13,Tbl_EquipmentDefinitions[[Equipment ID]:[Equipment ID]],0))</f>
        <v>Oil Boiler+Indirect WH</v>
      </c>
      <c r="E14" s="85" t="str">
        <f>INDEX(Tbl_EquipmentDefinitions[[Equipment Name]:[Equipment Name]],MATCH(E$13,Tbl_EquipmentDefinitions[[Equipment ID]:[Equipment ID]],0))</f>
        <v>Gas Combination Boiler</v>
      </c>
      <c r="F14" s="7"/>
    </row>
    <row r="15" spans="1:30" x14ac:dyDescent="0.2">
      <c r="B15" s="16"/>
      <c r="C15" s="32" t="s">
        <v>24</v>
      </c>
      <c r="D15" s="84" t="str">
        <f>INDEX(Tbl_EquipmentDefinitions[[Function]:[Function]],MATCH(D$13,Tbl_EquipmentDefinitions[[Equipment ID]:[Equipment ID]],0))</f>
        <v>Heat+HW</v>
      </c>
      <c r="E15" s="84" t="str">
        <f>INDEX(Tbl_EquipmentDefinitions[[Function]:[Function]],MATCH(E$13,Tbl_EquipmentDefinitions[[Equipment ID]:[Equipment ID]],0))</f>
        <v>Heat+HW</v>
      </c>
      <c r="F15" s="7"/>
    </row>
    <row r="16" spans="1:30" x14ac:dyDescent="0.2">
      <c r="B16" s="16"/>
      <c r="C16" s="32" t="s">
        <v>7</v>
      </c>
      <c r="D16" s="85" t="str">
        <f>INDEX(Tbl_EquipmentDefinitions[[Fuel Type]:[Fuel Type]],MATCH(D$13,Tbl_EquipmentDefinitions[[Equipment ID]:[Equipment ID]],0))</f>
        <v>Oil</v>
      </c>
      <c r="E16" s="85" t="str">
        <f>INDEX(Tbl_EquipmentDefinitions[[Fuel Type]:[Fuel Type]],MATCH(E$13,Tbl_EquipmentDefinitions[[Equipment ID]:[Equipment ID]],0))</f>
        <v>Natural Gas</v>
      </c>
      <c r="F16" s="7"/>
    </row>
    <row r="17" spans="2:14" x14ac:dyDescent="0.2">
      <c r="B17" s="16"/>
      <c r="C17" s="32" t="s">
        <v>126</v>
      </c>
      <c r="D17" s="84">
        <f>IF(ISERR(SEARCH("+",D16,1)),1,2)</f>
        <v>1</v>
      </c>
      <c r="E17" s="84">
        <f>IF(ISERR(SEARCH("+",E16,1)),1,2)</f>
        <v>1</v>
      </c>
      <c r="F17" s="7"/>
    </row>
    <row r="18" spans="2:14" x14ac:dyDescent="0.2">
      <c r="B18" s="16"/>
      <c r="C18" s="32" t="s">
        <v>155</v>
      </c>
      <c r="D18" s="86">
        <f>INDEX(Tbl_BaselineSummary[Space Heating Load (MMBtu/yr)],MATCH($D$10,Tbl_BaselineSummary[Baseline ID],0))</f>
        <v>76.7</v>
      </c>
      <c r="F18" s="7"/>
    </row>
    <row r="19" spans="2:14" x14ac:dyDescent="0.2">
      <c r="B19" s="16"/>
      <c r="C19" s="32" t="s">
        <v>167</v>
      </c>
      <c r="D19" s="84">
        <f>INDEX(Tbl_BaselineSummary[Space Cooling Load (MMBtu/yr)],MATCH($D$10,Tbl_BaselineSummary[Baseline ID],0))</f>
        <v>13.072800000000001</v>
      </c>
      <c r="F19" s="7"/>
    </row>
    <row r="20" spans="2:14" x14ac:dyDescent="0.2">
      <c r="B20" s="16"/>
      <c r="C20" s="32" t="s">
        <v>244</v>
      </c>
      <c r="D20" s="86">
        <f>INDEX(Tbl_BaselineSummary[Water Heating Load (MMBtu/yr)],MATCH($D$10,Tbl_BaselineSummary[Baseline ID],0))</f>
        <v>13.9</v>
      </c>
      <c r="F20" s="7"/>
    </row>
    <row r="22" spans="2:14" ht="13.5" thickBot="1" x14ac:dyDescent="0.25">
      <c r="B22" s="9" t="s">
        <v>310</v>
      </c>
      <c r="C22" s="9"/>
      <c r="D22" s="9"/>
      <c r="E22" s="9"/>
      <c r="F22" s="9"/>
      <c r="G22" s="9"/>
      <c r="H22" s="9"/>
      <c r="I22" s="9"/>
      <c r="J22" s="9"/>
      <c r="K22" s="9"/>
      <c r="L22" s="9"/>
      <c r="M22" s="9"/>
      <c r="N22" s="9"/>
    </row>
    <row r="23" spans="2:14" x14ac:dyDescent="0.2">
      <c r="B23" s="15"/>
    </row>
    <row r="24" spans="2:14" ht="12.75" thickBot="1" x14ac:dyDescent="0.25">
      <c r="B24" s="16"/>
      <c r="C24" s="34" t="s">
        <v>178</v>
      </c>
      <c r="D24" s="34"/>
      <c r="E24" s="33"/>
      <c r="F24" s="33"/>
      <c r="G24" s="33"/>
      <c r="H24" s="33"/>
      <c r="I24" s="33"/>
      <c r="J24" s="33"/>
    </row>
    <row r="25" spans="2:14" ht="30" customHeight="1" thickBot="1" x14ac:dyDescent="0.25">
      <c r="B25" s="16"/>
      <c r="C25" s="424" t="s">
        <v>127</v>
      </c>
      <c r="D25" s="424" t="s">
        <v>345</v>
      </c>
      <c r="E25" s="424" t="s">
        <v>956</v>
      </c>
      <c r="F25" s="424" t="s">
        <v>326</v>
      </c>
      <c r="G25" s="424" t="s">
        <v>1532</v>
      </c>
      <c r="H25" s="424" t="s">
        <v>958</v>
      </c>
      <c r="I25" s="569" t="s">
        <v>1447</v>
      </c>
      <c r="J25" s="569" t="s">
        <v>1448</v>
      </c>
      <c r="L25" s="424" t="s">
        <v>1533</v>
      </c>
      <c r="M25" s="424" t="s">
        <v>1531</v>
      </c>
    </row>
    <row r="26" spans="2:14" ht="11.25" customHeight="1" x14ac:dyDescent="0.2">
      <c r="B26" s="16"/>
      <c r="C26" s="32" t="s">
        <v>6</v>
      </c>
      <c r="D26" s="122">
        <f>E80</f>
        <v>329</v>
      </c>
      <c r="E26" s="126">
        <f>E89</f>
        <v>5.0469798657718119E-2</v>
      </c>
      <c r="F26" s="111">
        <f>D26*PRICE_PER_KWH_2018_ELECTRICITY</f>
        <v>65.0762</v>
      </c>
      <c r="G26" s="139">
        <v>0</v>
      </c>
      <c r="H26" s="404">
        <f>E95</f>
        <v>0</v>
      </c>
      <c r="I26" s="39" t="s">
        <v>1449</v>
      </c>
      <c r="J26" s="39" t="s">
        <v>1449</v>
      </c>
      <c r="L26" s="84">
        <f t="shared" ref="L26:M28" si="0">F26+E32+E38+E44</f>
        <v>1688.8295333333335</v>
      </c>
      <c r="M26" s="86">
        <f t="shared" si="0"/>
        <v>16130</v>
      </c>
    </row>
    <row r="27" spans="2:14" x14ac:dyDescent="0.2">
      <c r="B27" s="16"/>
      <c r="C27" s="32" t="s">
        <v>19</v>
      </c>
      <c r="D27" s="122">
        <f>E81</f>
        <v>329</v>
      </c>
      <c r="E27" s="126">
        <f>E90</f>
        <v>5.0469798657718119E-2</v>
      </c>
      <c r="F27" s="111">
        <f>D27*PRICE_PER_KWH_2018_ELECTRICITY</f>
        <v>65.0762</v>
      </c>
      <c r="G27" s="139">
        <v>0</v>
      </c>
      <c r="H27" s="404">
        <f t="shared" ref="H27:H28" si="1">E96</f>
        <v>0</v>
      </c>
      <c r="I27" s="39" t="s">
        <v>1449</v>
      </c>
      <c r="J27" s="39" t="s">
        <v>1449</v>
      </c>
      <c r="L27" s="84">
        <f t="shared" si="0"/>
        <v>1688.8295333333335</v>
      </c>
      <c r="M27" s="86">
        <f t="shared" si="0"/>
        <v>16130</v>
      </c>
    </row>
    <row r="28" spans="2:14" x14ac:dyDescent="0.2">
      <c r="B28" s="16"/>
      <c r="C28" s="32" t="s">
        <v>20</v>
      </c>
      <c r="D28" s="122">
        <f>E82</f>
        <v>312</v>
      </c>
      <c r="E28" s="126">
        <f>E91</f>
        <v>4.7861936720997124E-2</v>
      </c>
      <c r="F28" s="111">
        <f>D28*PRICE_PER_KWH_2018_ELECTRICITY</f>
        <v>61.7136</v>
      </c>
      <c r="G28" s="139">
        <v>0</v>
      </c>
      <c r="H28" s="404">
        <f t="shared" si="1"/>
        <v>0</v>
      </c>
      <c r="I28" s="39" t="s">
        <v>1449</v>
      </c>
      <c r="J28" s="39" t="s">
        <v>1449</v>
      </c>
      <c r="L28" s="84">
        <f t="shared" si="0"/>
        <v>1600.0062315789478</v>
      </c>
      <c r="M28" s="86">
        <f t="shared" si="0"/>
        <v>16130</v>
      </c>
    </row>
    <row r="29" spans="2:14" x14ac:dyDescent="0.2">
      <c r="B29" s="16"/>
    </row>
    <row r="30" spans="2:14" ht="12.75" thickBot="1" x14ac:dyDescent="0.25">
      <c r="B30" s="16"/>
      <c r="C30" s="34" t="s">
        <v>55</v>
      </c>
      <c r="D30" s="34"/>
      <c r="E30" s="33"/>
      <c r="F30" s="33"/>
    </row>
    <row r="31" spans="2:14" ht="34.5" thickBot="1" x14ac:dyDescent="0.25">
      <c r="B31" s="16"/>
      <c r="C31" s="424" t="s">
        <v>127</v>
      </c>
      <c r="D31" s="424" t="s">
        <v>325</v>
      </c>
      <c r="E31" s="424" t="s">
        <v>326</v>
      </c>
      <c r="F31" s="424" t="s">
        <v>1532</v>
      </c>
    </row>
    <row r="32" spans="2:14" x14ac:dyDescent="0.2">
      <c r="B32" s="16"/>
      <c r="C32" s="32" t="s">
        <v>6</v>
      </c>
      <c r="D32" s="122">
        <f>E76</f>
        <v>1006.6666666666667</v>
      </c>
      <c r="E32" s="111">
        <f>D32*PRICE_PER_THERM_2018_NATURALGAS</f>
        <v>1623.7533333333336</v>
      </c>
      <c r="F32" s="111">
        <f>E115</f>
        <v>16130</v>
      </c>
      <c r="G32" s="7" t="s">
        <v>128</v>
      </c>
    </row>
    <row r="33" spans="2:14" x14ac:dyDescent="0.2">
      <c r="B33" s="16"/>
      <c r="C33" s="32" t="s">
        <v>19</v>
      </c>
      <c r="D33" s="122">
        <f>E77</f>
        <v>1006.6666666666667</v>
      </c>
      <c r="E33" s="111">
        <f>D33*PRICE_PER_THERM_2018_NATURALGAS</f>
        <v>1623.7533333333336</v>
      </c>
      <c r="F33" s="111">
        <f t="shared" ref="F33:F34" si="2">E116</f>
        <v>16130</v>
      </c>
    </row>
    <row r="34" spans="2:14" x14ac:dyDescent="0.2">
      <c r="B34" s="16"/>
      <c r="C34" s="32" t="s">
        <v>20</v>
      </c>
      <c r="D34" s="122">
        <f>E78</f>
        <v>953.68421052631595</v>
      </c>
      <c r="E34" s="111">
        <f>D34*PRICE_PER_THERM_2018_NATURALGAS</f>
        <v>1538.2926315789477</v>
      </c>
      <c r="F34" s="111">
        <f t="shared" si="2"/>
        <v>16130</v>
      </c>
    </row>
    <row r="35" spans="2:14" x14ac:dyDescent="0.2">
      <c r="B35" s="16"/>
    </row>
    <row r="36" spans="2:14" ht="12.75" thickBot="1" x14ac:dyDescent="0.25">
      <c r="B36" s="16"/>
      <c r="C36" s="34" t="s">
        <v>28</v>
      </c>
      <c r="D36" s="34"/>
      <c r="E36" s="33"/>
      <c r="F36" s="33"/>
    </row>
    <row r="37" spans="2:14" ht="34.5" thickBot="1" x14ac:dyDescent="0.25">
      <c r="B37" s="16"/>
      <c r="C37" s="424" t="s">
        <v>127</v>
      </c>
      <c r="D37" s="424" t="s">
        <v>756</v>
      </c>
      <c r="E37" s="424" t="s">
        <v>326</v>
      </c>
      <c r="F37" s="424" t="s">
        <v>1532</v>
      </c>
    </row>
    <row r="38" spans="2:14" x14ac:dyDescent="0.2">
      <c r="B38" s="16"/>
      <c r="C38" s="32" t="s">
        <v>6</v>
      </c>
      <c r="D38" s="40">
        <v>0</v>
      </c>
      <c r="E38" s="39">
        <v>0</v>
      </c>
      <c r="F38" s="39">
        <v>0</v>
      </c>
      <c r="G38" s="7" t="s">
        <v>128</v>
      </c>
    </row>
    <row r="39" spans="2:14" x14ac:dyDescent="0.2">
      <c r="B39" s="16"/>
      <c r="C39" s="32" t="s">
        <v>19</v>
      </c>
      <c r="D39" s="40">
        <v>0</v>
      </c>
      <c r="E39" s="39">
        <v>0</v>
      </c>
      <c r="F39" s="39">
        <v>0</v>
      </c>
    </row>
    <row r="40" spans="2:14" x14ac:dyDescent="0.2">
      <c r="B40" s="16"/>
      <c r="C40" s="32" t="s">
        <v>20</v>
      </c>
      <c r="D40" s="40">
        <v>0</v>
      </c>
      <c r="E40" s="39">
        <v>0</v>
      </c>
      <c r="F40" s="39">
        <v>0</v>
      </c>
    </row>
    <row r="41" spans="2:14" x14ac:dyDescent="0.2">
      <c r="B41" s="16"/>
    </row>
    <row r="42" spans="2:14" ht="12.75" thickBot="1" x14ac:dyDescent="0.25">
      <c r="B42" s="16"/>
      <c r="C42" s="34" t="s">
        <v>27</v>
      </c>
      <c r="D42" s="34"/>
      <c r="E42" s="33"/>
      <c r="F42" s="33"/>
    </row>
    <row r="43" spans="2:14" ht="34.5" thickBot="1" x14ac:dyDescent="0.25">
      <c r="B43" s="16"/>
      <c r="C43" s="424" t="s">
        <v>127</v>
      </c>
      <c r="D43" s="424" t="s">
        <v>756</v>
      </c>
      <c r="E43" s="424" t="s">
        <v>326</v>
      </c>
      <c r="F43" s="424" t="s">
        <v>1532</v>
      </c>
    </row>
    <row r="44" spans="2:14" x14ac:dyDescent="0.2">
      <c r="B44" s="16"/>
      <c r="C44" s="32" t="s">
        <v>6</v>
      </c>
      <c r="D44" s="40">
        <v>0</v>
      </c>
      <c r="E44" s="39">
        <v>0</v>
      </c>
      <c r="F44" s="39">
        <v>0</v>
      </c>
      <c r="G44" s="7" t="s">
        <v>128</v>
      </c>
    </row>
    <row r="45" spans="2:14" x14ac:dyDescent="0.2">
      <c r="B45" s="16"/>
      <c r="C45" s="32" t="s">
        <v>19</v>
      </c>
      <c r="D45" s="40">
        <v>0</v>
      </c>
      <c r="E45" s="39">
        <v>0</v>
      </c>
      <c r="F45" s="39">
        <v>0</v>
      </c>
    </row>
    <row r="46" spans="2:14" x14ac:dyDescent="0.2">
      <c r="B46" s="16"/>
      <c r="C46" s="32" t="s">
        <v>20</v>
      </c>
      <c r="D46" s="40">
        <v>0</v>
      </c>
      <c r="E46" s="39">
        <v>0</v>
      </c>
      <c r="F46" s="39">
        <v>0</v>
      </c>
    </row>
    <row r="48" spans="2:14" ht="13.5" thickBot="1" x14ac:dyDescent="0.25">
      <c r="B48" s="9" t="s">
        <v>285</v>
      </c>
      <c r="C48" s="9"/>
      <c r="D48" s="9"/>
      <c r="E48" s="9"/>
      <c r="F48" s="9"/>
      <c r="G48" s="9"/>
      <c r="H48" s="9"/>
      <c r="I48" s="9"/>
      <c r="J48" s="9"/>
      <c r="K48" s="9"/>
      <c r="L48" s="9"/>
      <c r="M48" s="9"/>
      <c r="N48" s="9"/>
    </row>
    <row r="49" spans="2:14" x14ac:dyDescent="0.2">
      <c r="B49" s="15"/>
    </row>
    <row r="50" spans="2:14" ht="13.5" thickBot="1" x14ac:dyDescent="0.25">
      <c r="B50" s="16"/>
      <c r="C50" s="30"/>
      <c r="D50" s="691" t="s">
        <v>178</v>
      </c>
      <c r="E50" s="692"/>
      <c r="F50" s="691" t="s">
        <v>55</v>
      </c>
      <c r="G50" s="692"/>
      <c r="H50" s="691" t="s">
        <v>28</v>
      </c>
      <c r="I50" s="692"/>
      <c r="J50" s="691" t="s">
        <v>27</v>
      </c>
      <c r="K50" s="692"/>
    </row>
    <row r="51" spans="2:14" ht="12.75" x14ac:dyDescent="0.2">
      <c r="B51" s="16"/>
      <c r="C51" s="30" t="s">
        <v>6</v>
      </c>
      <c r="D51" s="689" t="str">
        <f>INDEX(Tbl_EquipmentDefinitions[Electricity Code Efficiency],MATCH($E$13,Tbl_EquipmentDefinitions[Equipment ID],0))</f>
        <v>-</v>
      </c>
      <c r="E51" s="690"/>
      <c r="F51" s="693" t="str">
        <f>INDEX(Tbl_EquipmentDefinitions[Natural Gas Code Efficiency],MATCH($E$13,Tbl_EquipmentDefinitions[Equipment ID],0))</f>
        <v>90% AFUE</v>
      </c>
      <c r="G51" s="690"/>
      <c r="H51" s="693" t="str">
        <f>INDEX(Tbl_EquipmentDefinitions[Propane Code Efficiency],MATCH($E$13,Tbl_EquipmentDefinitions[Equipment ID],0))</f>
        <v>-</v>
      </c>
      <c r="I51" s="690"/>
      <c r="J51" s="693" t="str">
        <f>INDEX(Tbl_EquipmentDefinitions[Oil Code Efficiency],MATCH($E$13,Tbl_EquipmentDefinitions[Equipment ID],0))</f>
        <v>-</v>
      </c>
      <c r="K51" s="690"/>
    </row>
    <row r="52" spans="2:14" ht="12.75" x14ac:dyDescent="0.2">
      <c r="B52" s="16"/>
      <c r="C52" s="30" t="s">
        <v>153</v>
      </c>
      <c r="D52" s="689" t="str">
        <f>INDEX(Tbl_EquipmentDefinitions[Electricity Low Measure Efficiency],MATCH($E$13,Tbl_EquipmentDefinitions[Equipment ID],0))</f>
        <v>-</v>
      </c>
      <c r="E52" s="690"/>
      <c r="F52" s="689" t="str">
        <f>INDEX(Tbl_EquipmentDefinitions[Natural Gas Low Measure Efficiency],MATCH($E$13,Tbl_EquipmentDefinitions[Equipment ID],0))</f>
        <v>90% AFUE</v>
      </c>
      <c r="G52" s="690"/>
      <c r="H52" s="689" t="str">
        <f>INDEX(Tbl_EquipmentDefinitions[Propane Low Measure Efficiency],MATCH($E$13,Tbl_EquipmentDefinitions[Equipment ID],0))</f>
        <v>-</v>
      </c>
      <c r="I52" s="690"/>
      <c r="J52" s="689" t="str">
        <f>INDEX(Tbl_EquipmentDefinitions[Oil Low Measure Efficiency],MATCH($E$13,Tbl_EquipmentDefinitions[Equipment ID],0))</f>
        <v>-</v>
      </c>
      <c r="K52" s="690"/>
    </row>
    <row r="53" spans="2:14" ht="12.75" x14ac:dyDescent="0.2">
      <c r="B53" s="16"/>
      <c r="C53" s="30" t="s">
        <v>154</v>
      </c>
      <c r="D53" s="689" t="str">
        <f>INDEX(Tbl_EquipmentDefinitions[Electricity High Measure Efficiency],MATCH($E$13,Tbl_EquipmentDefinitions[Equipment ID],0))</f>
        <v>-</v>
      </c>
      <c r="E53" s="690"/>
      <c r="F53" s="689" t="str">
        <f>INDEX(Tbl_EquipmentDefinitions[Natural Gas High Measure Efficiency],MATCH($E$13,Tbl_EquipmentDefinitions[Equipment ID],0))</f>
        <v>95% AFUE</v>
      </c>
      <c r="G53" s="690"/>
      <c r="H53" s="689" t="str">
        <f>INDEX(Tbl_EquipmentDefinitions[Propane High Measure Efficiency],MATCH($E$13,Tbl_EquipmentDefinitions[Equipment ID],0))</f>
        <v>-</v>
      </c>
      <c r="I53" s="690"/>
      <c r="J53" s="689" t="str">
        <f>INDEX(Tbl_EquipmentDefinitions[Oil High Measure Efficiency],MATCH($E$13,Tbl_EquipmentDefinitions[Equipment ID],0))</f>
        <v>-</v>
      </c>
      <c r="K53" s="690"/>
    </row>
    <row r="56" spans="2:14" ht="13.5" thickBot="1" x14ac:dyDescent="0.25">
      <c r="B56" s="9" t="s">
        <v>130</v>
      </c>
      <c r="C56" s="9"/>
      <c r="D56" s="9"/>
      <c r="E56" s="9"/>
      <c r="F56" s="9"/>
      <c r="G56" s="9"/>
      <c r="H56" s="9"/>
      <c r="I56" s="9"/>
      <c r="J56" s="9"/>
      <c r="K56" s="9"/>
      <c r="L56" s="9"/>
      <c r="M56" s="9"/>
      <c r="N56" s="9"/>
    </row>
    <row r="57" spans="2:14" x14ac:dyDescent="0.2">
      <c r="B57" s="15"/>
    </row>
    <row r="58" spans="2:14" ht="12" thickBot="1" x14ac:dyDescent="0.25">
      <c r="B58" s="16"/>
      <c r="C58" s="424" t="s">
        <v>131</v>
      </c>
      <c r="D58" s="691" t="s">
        <v>132</v>
      </c>
      <c r="E58" s="692"/>
      <c r="F58" s="692"/>
      <c r="G58" s="692"/>
    </row>
    <row r="59" spans="2:14" x14ac:dyDescent="0.2">
      <c r="B59" s="16"/>
      <c r="C59" s="32" t="s">
        <v>386</v>
      </c>
      <c r="D59" s="698" t="s">
        <v>316</v>
      </c>
      <c r="E59" s="699"/>
      <c r="F59" s="699"/>
      <c r="G59" s="699"/>
      <c r="H59" s="94" t="s">
        <v>317</v>
      </c>
    </row>
    <row r="60" spans="2:14" x14ac:dyDescent="0.2">
      <c r="B60" s="16"/>
      <c r="C60" s="32" t="s">
        <v>436</v>
      </c>
      <c r="D60" s="698" t="s">
        <v>437</v>
      </c>
      <c r="E60" s="699"/>
      <c r="F60" s="699"/>
      <c r="G60" s="699"/>
    </row>
    <row r="61" spans="2:14" x14ac:dyDescent="0.2">
      <c r="B61" s="16"/>
      <c r="C61" s="32" t="s">
        <v>438</v>
      </c>
      <c r="D61" s="698" t="s">
        <v>439</v>
      </c>
      <c r="E61" s="699"/>
      <c r="F61" s="699"/>
      <c r="G61" s="699"/>
    </row>
    <row r="62" spans="2:14" x14ac:dyDescent="0.2">
      <c r="B62" s="16"/>
    </row>
    <row r="64" spans="2:14" ht="13.5" thickBot="1" x14ac:dyDescent="0.25">
      <c r="B64" s="9" t="s">
        <v>129</v>
      </c>
      <c r="C64" s="9"/>
      <c r="D64" s="9"/>
      <c r="E64" s="9"/>
      <c r="F64" s="9"/>
      <c r="G64" s="9"/>
      <c r="H64" s="9"/>
      <c r="I64" s="9"/>
      <c r="J64" s="9"/>
      <c r="K64" s="9"/>
      <c r="L64" s="9"/>
      <c r="M64" s="9"/>
      <c r="N64" s="9"/>
    </row>
    <row r="65" spans="2:7" x14ac:dyDescent="0.2">
      <c r="B65" s="15"/>
    </row>
    <row r="66" spans="2:7" x14ac:dyDescent="0.2">
      <c r="B66" s="16"/>
      <c r="C66" s="6" t="s">
        <v>453</v>
      </c>
    </row>
    <row r="67" spans="2:7" x14ac:dyDescent="0.2">
      <c r="B67" s="16"/>
      <c r="C67" s="6" t="s">
        <v>466</v>
      </c>
    </row>
    <row r="68" spans="2:7" x14ac:dyDescent="0.2">
      <c r="B68" s="16"/>
    </row>
    <row r="69" spans="2:7" ht="12.75" x14ac:dyDescent="0.2">
      <c r="B69" s="16"/>
      <c r="D69" s="95" t="s">
        <v>155</v>
      </c>
      <c r="E69" s="140">
        <f>D18</f>
        <v>76.7</v>
      </c>
      <c r="F69" s="6" t="s">
        <v>381</v>
      </c>
      <c r="G69" s="6" t="s">
        <v>382</v>
      </c>
    </row>
    <row r="70" spans="2:7" ht="12.75" x14ac:dyDescent="0.2">
      <c r="B70" s="16"/>
      <c r="D70" s="95" t="s">
        <v>244</v>
      </c>
      <c r="E70" s="140">
        <f>D20</f>
        <v>13.9</v>
      </c>
      <c r="F70" s="6" t="s">
        <v>381</v>
      </c>
      <c r="G70" s="6" t="s">
        <v>382</v>
      </c>
    </row>
    <row r="71" spans="2:7" ht="12.75" x14ac:dyDescent="0.2">
      <c r="B71" s="16"/>
      <c r="D71" s="95"/>
    </row>
    <row r="72" spans="2:7" ht="12.75" x14ac:dyDescent="0.2">
      <c r="B72" s="16"/>
      <c r="D72" s="95" t="s">
        <v>159</v>
      </c>
      <c r="E72" s="150">
        <v>0.9</v>
      </c>
      <c r="F72" s="6" t="s">
        <v>158</v>
      </c>
      <c r="G72" s="45" t="s">
        <v>371</v>
      </c>
    </row>
    <row r="73" spans="2:7" ht="12.75" x14ac:dyDescent="0.2">
      <c r="B73" s="16"/>
      <c r="D73" s="95" t="s">
        <v>180</v>
      </c>
      <c r="E73" s="150">
        <v>0.9</v>
      </c>
      <c r="F73" s="6" t="s">
        <v>158</v>
      </c>
      <c r="G73" s="8"/>
    </row>
    <row r="74" spans="2:7" ht="12.75" x14ac:dyDescent="0.2">
      <c r="B74" s="16"/>
      <c r="D74" s="95" t="s">
        <v>181</v>
      </c>
      <c r="E74" s="150">
        <v>0.95</v>
      </c>
      <c r="F74" s="6" t="s">
        <v>158</v>
      </c>
      <c r="G74" s="8"/>
    </row>
    <row r="75" spans="2:7" ht="12.75" x14ac:dyDescent="0.2">
      <c r="B75" s="16"/>
      <c r="D75" s="95"/>
    </row>
    <row r="76" spans="2:7" ht="12.75" x14ac:dyDescent="0.2">
      <c r="B76" s="16"/>
      <c r="D76" s="95" t="s">
        <v>430</v>
      </c>
      <c r="E76" s="41">
        <f>Therm_per_MMBtu*($E$69+$E$70)/E72</f>
        <v>1006.6666666666667</v>
      </c>
      <c r="F76" s="6" t="s">
        <v>372</v>
      </c>
      <c r="G76" s="45" t="s">
        <v>305</v>
      </c>
    </row>
    <row r="77" spans="2:7" ht="12.75" x14ac:dyDescent="0.2">
      <c r="B77" s="16"/>
      <c r="D77" s="95" t="s">
        <v>431</v>
      </c>
      <c r="E77" s="41">
        <f>Therm_per_MMBtu*($E$69+$E$70)/E73</f>
        <v>1006.6666666666667</v>
      </c>
      <c r="F77" s="6" t="s">
        <v>372</v>
      </c>
    </row>
    <row r="78" spans="2:7" ht="12.75" x14ac:dyDescent="0.2">
      <c r="B78" s="16"/>
      <c r="D78" s="95" t="s">
        <v>432</v>
      </c>
      <c r="E78" s="41">
        <f>Therm_per_MMBtu*($E$69+$E$70)/E74</f>
        <v>953.68421052631595</v>
      </c>
      <c r="F78" s="6" t="s">
        <v>372</v>
      </c>
    </row>
    <row r="79" spans="2:7" ht="12.75" x14ac:dyDescent="0.2">
      <c r="B79" s="16"/>
      <c r="D79" s="95"/>
    </row>
    <row r="80" spans="2:7" ht="12.75" x14ac:dyDescent="0.2">
      <c r="B80" s="16"/>
      <c r="D80" s="154" t="s">
        <v>408</v>
      </c>
      <c r="E80" s="88">
        <v>329</v>
      </c>
      <c r="F80" s="6" t="s">
        <v>434</v>
      </c>
      <c r="G80" s="6" t="s">
        <v>461</v>
      </c>
    </row>
    <row r="81" spans="2:7" ht="12.75" x14ac:dyDescent="0.2">
      <c r="B81" s="16"/>
      <c r="D81" s="154" t="s">
        <v>409</v>
      </c>
      <c r="E81" s="88">
        <v>329</v>
      </c>
      <c r="F81" s="6" t="s">
        <v>434</v>
      </c>
      <c r="G81" s="6" t="s">
        <v>461</v>
      </c>
    </row>
    <row r="82" spans="2:7" ht="12.75" x14ac:dyDescent="0.2">
      <c r="B82" s="16"/>
      <c r="D82" s="154" t="s">
        <v>433</v>
      </c>
      <c r="E82" s="88">
        <v>312</v>
      </c>
      <c r="F82" s="6" t="s">
        <v>434</v>
      </c>
      <c r="G82" s="6" t="s">
        <v>461</v>
      </c>
    </row>
    <row r="83" spans="2:7" x14ac:dyDescent="0.2">
      <c r="B83" s="16"/>
      <c r="D83" s="155"/>
    </row>
    <row r="84" spans="2:7" x14ac:dyDescent="0.2">
      <c r="B84" s="16"/>
      <c r="D84" s="156" t="s">
        <v>422</v>
      </c>
      <c r="E84" s="146">
        <f>AVERAGE(530,984,1329,1329)</f>
        <v>1043</v>
      </c>
      <c r="F84" s="6" t="s">
        <v>397</v>
      </c>
      <c r="G84" s="6" t="s">
        <v>423</v>
      </c>
    </row>
    <row r="85" spans="2:7" x14ac:dyDescent="0.2">
      <c r="B85" s="16"/>
      <c r="D85" s="155"/>
    </row>
    <row r="86" spans="2:7" x14ac:dyDescent="0.2">
      <c r="B86" s="16"/>
      <c r="D86" s="6" t="s">
        <v>740</v>
      </c>
    </row>
    <row r="87" spans="2:7" x14ac:dyDescent="0.2">
      <c r="B87" s="16"/>
      <c r="D87" s="155" t="s">
        <v>949</v>
      </c>
      <c r="E87" s="146">
        <v>0.16</v>
      </c>
    </row>
    <row r="88" spans="2:7" x14ac:dyDescent="0.2">
      <c r="B88" s="16"/>
      <c r="D88" s="155"/>
    </row>
    <row r="89" spans="2:7" x14ac:dyDescent="0.2">
      <c r="B89" s="16"/>
      <c r="D89" s="156" t="s">
        <v>1107</v>
      </c>
      <c r="E89" s="145">
        <f>$E$87*E80/$E$84</f>
        <v>5.0469798657718119E-2</v>
      </c>
      <c r="F89" s="5" t="s">
        <v>176</v>
      </c>
    </row>
    <row r="90" spans="2:7" x14ac:dyDescent="0.2">
      <c r="B90" s="16"/>
      <c r="D90" s="156" t="s">
        <v>1117</v>
      </c>
      <c r="E90" s="145">
        <f>$E$87*E81/$E$84</f>
        <v>5.0469798657718119E-2</v>
      </c>
      <c r="F90" s="5" t="s">
        <v>176</v>
      </c>
    </row>
    <row r="91" spans="2:7" x14ac:dyDescent="0.2">
      <c r="B91" s="16"/>
      <c r="D91" s="156" t="s">
        <v>1118</v>
      </c>
      <c r="E91" s="145">
        <f>$E$87*E82/$E$84</f>
        <v>4.7861936720997124E-2</v>
      </c>
      <c r="F91" s="5" t="s">
        <v>176</v>
      </c>
    </row>
    <row r="92" spans="2:7" x14ac:dyDescent="0.2">
      <c r="B92" s="16"/>
    </row>
    <row r="93" spans="2:7" x14ac:dyDescent="0.2">
      <c r="B93" s="16"/>
      <c r="D93" s="6" t="s">
        <v>976</v>
      </c>
    </row>
    <row r="94" spans="2:7" x14ac:dyDescent="0.2">
      <c r="B94" s="16"/>
      <c r="D94" s="6" t="s">
        <v>977</v>
      </c>
      <c r="F94" s="5"/>
    </row>
    <row r="95" spans="2:7" x14ac:dyDescent="0.2">
      <c r="B95" s="16"/>
      <c r="D95" s="156" t="s">
        <v>1109</v>
      </c>
      <c r="E95" s="387">
        <v>0</v>
      </c>
      <c r="F95" s="5" t="s">
        <v>176</v>
      </c>
    </row>
    <row r="96" spans="2:7" x14ac:dyDescent="0.2">
      <c r="B96" s="16"/>
      <c r="D96" s="156" t="s">
        <v>1119</v>
      </c>
      <c r="E96" s="387">
        <v>0</v>
      </c>
      <c r="F96" s="5" t="s">
        <v>176</v>
      </c>
    </row>
    <row r="97" spans="2:7" x14ac:dyDescent="0.2">
      <c r="B97" s="16"/>
      <c r="D97" s="156" t="s">
        <v>1120</v>
      </c>
      <c r="E97" s="387">
        <v>0</v>
      </c>
      <c r="F97" s="5" t="s">
        <v>176</v>
      </c>
    </row>
    <row r="98" spans="2:7" x14ac:dyDescent="0.2">
      <c r="B98" s="16"/>
    </row>
    <row r="99" spans="2:7" x14ac:dyDescent="0.2">
      <c r="B99" s="16"/>
    </row>
    <row r="100" spans="2:7" ht="12.75" x14ac:dyDescent="0.2">
      <c r="B100" s="16"/>
      <c r="C100" s="423" t="s">
        <v>1181</v>
      </c>
      <c r="D100" s="41" t="str">
        <f>INPUT_INCLUDEGASLINE</f>
        <v>Yes</v>
      </c>
    </row>
    <row r="101" spans="2:7" ht="12.75" x14ac:dyDescent="0.2">
      <c r="B101" s="16"/>
      <c r="C101" s="423" t="s">
        <v>1182</v>
      </c>
      <c r="D101" s="233">
        <f>IF(D100="No",0,INPUT_GASLINECOST)</f>
        <v>5600</v>
      </c>
      <c r="E101" s="188" t="s">
        <v>1180</v>
      </c>
    </row>
    <row r="102" spans="2:7" x14ac:dyDescent="0.2">
      <c r="B102" s="16"/>
    </row>
    <row r="103" spans="2:7" x14ac:dyDescent="0.2">
      <c r="B103" s="16"/>
      <c r="C103" s="109" t="s">
        <v>1187</v>
      </c>
    </row>
    <row r="104" spans="2:7" x14ac:dyDescent="0.2">
      <c r="B104" s="16"/>
      <c r="C104" s="109" t="s">
        <v>457</v>
      </c>
    </row>
    <row r="105" spans="2:7" x14ac:dyDescent="0.2">
      <c r="B105" s="16"/>
      <c r="C105" s="109" t="s">
        <v>458</v>
      </c>
    </row>
    <row r="106" spans="2:7" x14ac:dyDescent="0.2">
      <c r="B106" s="16"/>
      <c r="C106" s="109" t="s">
        <v>459</v>
      </c>
    </row>
    <row r="107" spans="2:7" x14ac:dyDescent="0.2">
      <c r="B107" s="16"/>
      <c r="C107" s="109" t="s">
        <v>460</v>
      </c>
    </row>
    <row r="108" spans="2:7" ht="12.75" x14ac:dyDescent="0.2">
      <c r="B108" s="16"/>
      <c r="D108" s="95" t="s">
        <v>1183</v>
      </c>
      <c r="E108" s="108">
        <v>10530</v>
      </c>
      <c r="F108" s="6" t="s">
        <v>164</v>
      </c>
      <c r="G108" s="6" t="s">
        <v>455</v>
      </c>
    </row>
    <row r="109" spans="2:7" ht="12.75" x14ac:dyDescent="0.2">
      <c r="B109" s="16"/>
      <c r="D109" s="95" t="s">
        <v>1184</v>
      </c>
      <c r="E109" s="108">
        <v>10530</v>
      </c>
      <c r="F109" s="6" t="s">
        <v>164</v>
      </c>
      <c r="G109" s="6" t="s">
        <v>455</v>
      </c>
    </row>
    <row r="110" spans="2:7" ht="12.75" x14ac:dyDescent="0.2">
      <c r="B110" s="16"/>
      <c r="D110" s="95" t="s">
        <v>1185</v>
      </c>
      <c r="E110" s="108">
        <v>10530</v>
      </c>
      <c r="F110" s="6" t="s">
        <v>164</v>
      </c>
      <c r="G110" s="6" t="s">
        <v>456</v>
      </c>
    </row>
    <row r="111" spans="2:7" x14ac:dyDescent="0.2">
      <c r="B111" s="16"/>
    </row>
    <row r="112" spans="2:7" ht="12.75" x14ac:dyDescent="0.2">
      <c r="B112" s="16"/>
      <c r="C112" s="423" t="s">
        <v>1196</v>
      </c>
      <c r="D112" s="146">
        <v>0</v>
      </c>
      <c r="E112" s="188" t="s">
        <v>1180</v>
      </c>
      <c r="F112" s="8" t="s">
        <v>1340</v>
      </c>
    </row>
    <row r="113" spans="2:14" x14ac:dyDescent="0.2">
      <c r="B113" s="16"/>
    </row>
    <row r="114" spans="2:14" x14ac:dyDescent="0.2">
      <c r="B114" s="16"/>
      <c r="C114" s="6" t="s">
        <v>324</v>
      </c>
    </row>
    <row r="115" spans="2:14" ht="12.75" x14ac:dyDescent="0.2">
      <c r="B115" s="16"/>
      <c r="D115" s="95" t="s">
        <v>331</v>
      </c>
      <c r="E115" s="42">
        <f>E108+$D$101+$D$112</f>
        <v>16130</v>
      </c>
      <c r="F115" s="6" t="s">
        <v>164</v>
      </c>
    </row>
    <row r="116" spans="2:14" ht="12.75" x14ac:dyDescent="0.2">
      <c r="B116" s="16"/>
      <c r="D116" s="95" t="s">
        <v>332</v>
      </c>
      <c r="E116" s="42">
        <f>E109+$D$101+$D$112</f>
        <v>16130</v>
      </c>
      <c r="F116" s="6" t="s">
        <v>164</v>
      </c>
    </row>
    <row r="117" spans="2:14" ht="12.75" x14ac:dyDescent="0.2">
      <c r="B117" s="16"/>
      <c r="D117" s="95" t="s">
        <v>393</v>
      </c>
      <c r="E117" s="42">
        <f>E110+$D$101+$D$112</f>
        <v>16130</v>
      </c>
      <c r="F117" s="6" t="s">
        <v>164</v>
      </c>
    </row>
    <row r="118" spans="2:14" x14ac:dyDescent="0.2">
      <c r="B118" s="16"/>
    </row>
    <row r="119" spans="2:14" x14ac:dyDescent="0.2">
      <c r="B119" s="16"/>
    </row>
    <row r="121" spans="2:14" ht="13.5" thickBot="1" x14ac:dyDescent="0.25">
      <c r="B121" s="9" t="s">
        <v>322</v>
      </c>
      <c r="C121" s="9"/>
      <c r="D121" s="9"/>
      <c r="E121" s="9"/>
      <c r="F121" s="9"/>
      <c r="G121" s="9"/>
      <c r="H121" s="9"/>
      <c r="I121" s="9"/>
      <c r="J121" s="9"/>
      <c r="K121" s="9"/>
      <c r="L121" s="9"/>
      <c r="M121" s="9"/>
      <c r="N121" s="9"/>
    </row>
    <row r="122" spans="2:14" x14ac:dyDescent="0.2">
      <c r="B122" s="16"/>
    </row>
    <row r="123" spans="2:14" x14ac:dyDescent="0.2">
      <c r="B123" s="16"/>
    </row>
    <row r="124" spans="2:14" x14ac:dyDescent="0.2">
      <c r="B124" s="16"/>
    </row>
    <row r="125" spans="2:14" x14ac:dyDescent="0.2">
      <c r="B125" s="16"/>
    </row>
    <row r="126" spans="2:14" x14ac:dyDescent="0.2">
      <c r="B126" s="16"/>
    </row>
    <row r="127" spans="2:14" x14ac:dyDescent="0.2">
      <c r="B127" s="16"/>
    </row>
    <row r="128" spans="2:14" x14ac:dyDescent="0.2">
      <c r="B128" s="16"/>
    </row>
    <row r="129" spans="2:2" x14ac:dyDescent="0.2">
      <c r="B129" s="16"/>
    </row>
    <row r="130" spans="2:2" x14ac:dyDescent="0.2">
      <c r="B130" s="16"/>
    </row>
    <row r="131" spans="2:2" x14ac:dyDescent="0.2">
      <c r="B131" s="16"/>
    </row>
    <row r="132" spans="2:2" x14ac:dyDescent="0.2">
      <c r="B132" s="16"/>
    </row>
    <row r="133" spans="2:2" x14ac:dyDescent="0.2">
      <c r="B133" s="16"/>
    </row>
    <row r="134" spans="2:2" x14ac:dyDescent="0.2">
      <c r="B134" s="16"/>
    </row>
    <row r="135" spans="2:2" x14ac:dyDescent="0.2">
      <c r="B135" s="16"/>
    </row>
    <row r="136" spans="2:2" x14ac:dyDescent="0.2">
      <c r="B136" s="16"/>
    </row>
    <row r="137" spans="2:2" x14ac:dyDescent="0.2">
      <c r="B137" s="16"/>
    </row>
    <row r="138" spans="2:2" x14ac:dyDescent="0.2">
      <c r="B138" s="16"/>
    </row>
    <row r="139" spans="2:2" x14ac:dyDescent="0.2">
      <c r="B139" s="16"/>
    </row>
    <row r="140" spans="2:2" x14ac:dyDescent="0.2">
      <c r="B140" s="16"/>
    </row>
    <row r="141" spans="2:2" x14ac:dyDescent="0.2">
      <c r="B141" s="16"/>
    </row>
    <row r="142" spans="2:2" x14ac:dyDescent="0.2">
      <c r="B142" s="16"/>
    </row>
    <row r="143" spans="2:2" x14ac:dyDescent="0.2">
      <c r="B143" s="16"/>
    </row>
    <row r="144" spans="2:2" x14ac:dyDescent="0.2">
      <c r="B144" s="16"/>
    </row>
    <row r="145" spans="2:2" x14ac:dyDescent="0.2">
      <c r="B145" s="16"/>
    </row>
    <row r="146" spans="2:2" x14ac:dyDescent="0.2">
      <c r="B146" s="16"/>
    </row>
    <row r="147" spans="2:2" x14ac:dyDescent="0.2">
      <c r="B147" s="16"/>
    </row>
    <row r="148" spans="2:2" x14ac:dyDescent="0.2">
      <c r="B148" s="16"/>
    </row>
    <row r="149" spans="2:2" x14ac:dyDescent="0.2">
      <c r="B149" s="16"/>
    </row>
    <row r="150" spans="2:2" x14ac:dyDescent="0.2">
      <c r="B150" s="16"/>
    </row>
    <row r="151" spans="2:2" x14ac:dyDescent="0.2">
      <c r="B151" s="16"/>
    </row>
    <row r="152" spans="2:2" x14ac:dyDescent="0.2">
      <c r="B152" s="16"/>
    </row>
    <row r="153" spans="2:2" x14ac:dyDescent="0.2">
      <c r="B153" s="16"/>
    </row>
    <row r="154" spans="2:2" x14ac:dyDescent="0.2">
      <c r="B154" s="16"/>
    </row>
    <row r="155" spans="2:2" x14ac:dyDescent="0.2">
      <c r="B155" s="16"/>
    </row>
    <row r="156" spans="2:2" x14ac:dyDescent="0.2">
      <c r="B156" s="16"/>
    </row>
    <row r="157" spans="2:2" x14ac:dyDescent="0.2">
      <c r="B157" s="16"/>
    </row>
    <row r="158" spans="2:2" x14ac:dyDescent="0.2">
      <c r="B158" s="16"/>
    </row>
    <row r="159" spans="2:2" x14ac:dyDescent="0.2">
      <c r="B159" s="16"/>
    </row>
    <row r="160" spans="2:2" x14ac:dyDescent="0.2">
      <c r="B160" s="16"/>
    </row>
    <row r="161" spans="2:2" x14ac:dyDescent="0.2">
      <c r="B161" s="16"/>
    </row>
    <row r="162" spans="2:2" x14ac:dyDescent="0.2">
      <c r="B162" s="16"/>
    </row>
    <row r="163" spans="2:2" x14ac:dyDescent="0.2">
      <c r="B163" s="16"/>
    </row>
    <row r="164" spans="2:2" x14ac:dyDescent="0.2">
      <c r="B164" s="16"/>
    </row>
    <row r="165" spans="2:2" x14ac:dyDescent="0.2">
      <c r="B165" s="16"/>
    </row>
  </sheetData>
  <mergeCells count="20">
    <mergeCell ref="D51:E51"/>
    <mergeCell ref="F51:G51"/>
    <mergeCell ref="H51:I51"/>
    <mergeCell ref="J51:K51"/>
    <mergeCell ref="D50:E50"/>
    <mergeCell ref="F50:G50"/>
    <mergeCell ref="H50:I50"/>
    <mergeCell ref="J50:K50"/>
    <mergeCell ref="H52:I52"/>
    <mergeCell ref="J52:K52"/>
    <mergeCell ref="D53:E53"/>
    <mergeCell ref="F53:G53"/>
    <mergeCell ref="H53:I53"/>
    <mergeCell ref="J53:K53"/>
    <mergeCell ref="D58:G58"/>
    <mergeCell ref="D59:G59"/>
    <mergeCell ref="D60:G60"/>
    <mergeCell ref="D61:G61"/>
    <mergeCell ref="D52:E52"/>
    <mergeCell ref="F52:G52"/>
  </mergeCells>
  <dataValidations count="2">
    <dataValidation type="list" allowBlank="1" showInputMessage="1" showErrorMessage="1" sqref="D9">
      <formula1>DEFINED_MEASURES</formula1>
    </dataValidation>
    <dataValidation type="list" allowBlank="1" showInputMessage="1" showErrorMessage="1" sqref="D5">
      <formula1>"1. Not Started,2. Analyzing,3. Ready"</formula1>
    </dataValidation>
  </dataValidations>
  <hyperlinks>
    <hyperlink ref="H59" r:id="rId1"/>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0" tint="-0.249977111117893"/>
  </sheetPr>
  <dimension ref="A1:KN45"/>
  <sheetViews>
    <sheetView tabSelected="1" topLeftCell="A2" workbookViewId="0">
      <pane xSplit="12600" ySplit="4185" topLeftCell="BQ19" activePane="bottomRight"/>
      <selection pane="topRight" activeCell="AY12" sqref="AY12"/>
      <selection pane="bottomLeft" activeCell="J24" sqref="J24"/>
      <selection pane="bottomRight" activeCell="BT28" sqref="BT28"/>
    </sheetView>
  </sheetViews>
  <sheetFormatPr defaultColWidth="9.33203125" defaultRowHeight="11.25" x14ac:dyDescent="0.2"/>
  <cols>
    <col min="1" max="2" width="3.33203125" style="6" customWidth="1"/>
    <col min="3" max="3" width="9.33203125" style="6" bestFit="1" customWidth="1"/>
    <col min="4" max="4" width="11" style="6" bestFit="1" customWidth="1"/>
    <col min="5" max="5" width="34.5" style="6" customWidth="1"/>
    <col min="6" max="6" width="9.6640625" style="6" customWidth="1"/>
    <col min="7" max="7" width="10.6640625" style="6" customWidth="1"/>
    <col min="8" max="8" width="9.6640625" style="6" bestFit="1" customWidth="1"/>
    <col min="9" max="9" width="13.33203125" style="6" bestFit="1" customWidth="1"/>
    <col min="10" max="10" width="28.33203125" style="6" customWidth="1"/>
    <col min="11" max="11" width="13.33203125" style="6" bestFit="1" customWidth="1"/>
    <col min="12" max="12" width="13" style="6" customWidth="1"/>
    <col min="13" max="13" width="9.6640625" style="6" bestFit="1" customWidth="1"/>
    <col min="14" max="14" width="13.1640625" style="6" bestFit="1" customWidth="1"/>
    <col min="15" max="15" width="11.1640625" style="6" customWidth="1"/>
    <col min="16" max="16" width="11.33203125" style="6" customWidth="1"/>
    <col min="17" max="17" width="14.1640625" style="6" customWidth="1"/>
    <col min="18" max="44" width="14.6640625" style="6" customWidth="1"/>
    <col min="45" max="80" width="17.1640625" style="6" customWidth="1"/>
    <col min="81" max="106" width="16.33203125" style="6" customWidth="1"/>
    <col min="107" max="214" width="14" style="6" customWidth="1"/>
    <col min="215" max="258" width="14.6640625" style="6" customWidth="1"/>
    <col min="259" max="259" width="14.83203125" style="6" customWidth="1"/>
    <col min="260" max="262" width="15.33203125" style="6" customWidth="1"/>
    <col min="263" max="282" width="15.1640625" style="6" customWidth="1"/>
    <col min="283" max="322" width="16.33203125" style="6" customWidth="1"/>
    <col min="323" max="16384" width="9.33203125" style="6"/>
  </cols>
  <sheetData>
    <row r="1" spans="1:300" ht="17.25" thickBot="1" x14ac:dyDescent="0.3">
      <c r="A1" s="4"/>
      <c r="B1" s="4" t="s">
        <v>75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row>
    <row r="2" spans="1:300" ht="12" thickTop="1" x14ac:dyDescent="0.2"/>
    <row r="3" spans="1:300" x14ac:dyDescent="0.2">
      <c r="B3" s="1" t="s">
        <v>77</v>
      </c>
    </row>
    <row r="4" spans="1:300" x14ac:dyDescent="0.2">
      <c r="B4" s="1" t="s">
        <v>1617</v>
      </c>
    </row>
    <row r="5" spans="1:300" x14ac:dyDescent="0.2">
      <c r="B5" s="19"/>
    </row>
    <row r="6" spans="1:300" ht="13.5" thickBot="1" x14ac:dyDescent="0.25">
      <c r="B6" s="9" t="s">
        <v>75</v>
      </c>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row>
    <row r="7" spans="1:300" x14ac:dyDescent="0.2">
      <c r="B7" s="15"/>
    </row>
    <row r="8" spans="1:300" ht="13.5" thickBot="1" x14ac:dyDescent="0.25">
      <c r="B8" s="16"/>
      <c r="CJ8" s="21" t="s">
        <v>1219</v>
      </c>
      <c r="CK8" s="21"/>
      <c r="CL8" s="21"/>
      <c r="CM8" s="21"/>
      <c r="CN8" s="21"/>
      <c r="CO8" s="21"/>
      <c r="CP8" s="21"/>
      <c r="CQ8" s="21"/>
      <c r="CR8" s="21"/>
      <c r="CS8" s="21"/>
      <c r="CT8" s="21"/>
      <c r="CU8" s="21"/>
      <c r="CV8" s="21"/>
      <c r="CW8" s="21"/>
      <c r="CX8" s="21"/>
      <c r="CY8" s="21"/>
      <c r="CZ8" s="21"/>
      <c r="DA8" s="21"/>
      <c r="DB8" s="21"/>
      <c r="DC8" s="21"/>
      <c r="DD8" s="21"/>
      <c r="DE8" s="21"/>
      <c r="DF8" s="21"/>
      <c r="DG8" s="21"/>
      <c r="DH8" s="21"/>
      <c r="DI8" s="23"/>
      <c r="DJ8" s="402" t="s">
        <v>810</v>
      </c>
      <c r="DK8" s="402"/>
      <c r="DL8" s="402"/>
      <c r="DM8" s="402"/>
      <c r="DN8" s="402"/>
      <c r="DO8" s="402"/>
      <c r="DP8" s="402"/>
      <c r="DQ8" s="402"/>
      <c r="DR8" s="402"/>
      <c r="DS8" s="402"/>
      <c r="DT8" s="402"/>
      <c r="DU8" s="402"/>
      <c r="DV8" s="402"/>
      <c r="DW8" s="402"/>
      <c r="DX8" s="402"/>
      <c r="DY8" s="402"/>
      <c r="DZ8" s="402"/>
      <c r="EA8" s="402"/>
      <c r="EB8" s="402"/>
      <c r="EC8" s="402"/>
      <c r="ED8" s="402"/>
      <c r="EE8" s="402"/>
      <c r="EF8" s="402"/>
      <c r="EG8" s="402"/>
      <c r="EH8" s="402"/>
      <c r="EI8" s="436"/>
      <c r="EJ8" s="402" t="s">
        <v>1318</v>
      </c>
      <c r="EK8" s="402"/>
      <c r="EL8" s="402"/>
      <c r="EM8" s="402"/>
      <c r="EN8" s="402"/>
      <c r="EO8" s="402"/>
      <c r="EP8" s="402"/>
      <c r="EQ8" s="402"/>
      <c r="ER8" s="402"/>
      <c r="ES8" s="402"/>
      <c r="ET8" s="436"/>
      <c r="EU8" s="402"/>
      <c r="EV8" s="402" t="s">
        <v>1346</v>
      </c>
      <c r="EW8" s="309"/>
      <c r="EX8" s="309"/>
      <c r="EY8" s="309"/>
      <c r="EZ8" s="309"/>
      <c r="FA8" s="309"/>
      <c r="FB8" s="309"/>
      <c r="FC8" s="309"/>
      <c r="FD8" s="309"/>
      <c r="FE8" s="309"/>
      <c r="FF8" s="309"/>
      <c r="FG8" s="309"/>
      <c r="FH8" s="309"/>
      <c r="FI8" s="309"/>
      <c r="FJ8" s="309"/>
      <c r="FK8" s="309"/>
      <c r="FL8" s="309"/>
      <c r="FM8" s="309"/>
      <c r="FN8" s="309"/>
      <c r="FO8" s="309"/>
      <c r="FP8" s="416" t="s">
        <v>1037</v>
      </c>
      <c r="FQ8" s="417"/>
      <c r="FR8" s="417"/>
      <c r="FS8" s="417"/>
      <c r="FT8" s="417"/>
      <c r="FU8" s="417"/>
      <c r="FV8" s="417"/>
      <c r="FW8" s="417"/>
      <c r="FX8" s="417"/>
      <c r="FY8" s="417"/>
      <c r="FZ8" s="417"/>
      <c r="GA8" s="417"/>
      <c r="GB8" s="417"/>
      <c r="GC8" s="417"/>
      <c r="GD8" s="417"/>
      <c r="GE8" s="417"/>
      <c r="GF8" s="417"/>
      <c r="GG8" s="417"/>
      <c r="GH8" s="417"/>
      <c r="GI8" s="417"/>
      <c r="GJ8" s="402" t="s">
        <v>1104</v>
      </c>
      <c r="GK8" s="309"/>
      <c r="GL8" s="309"/>
      <c r="GM8" s="309"/>
      <c r="GN8" s="309"/>
      <c r="GO8" s="309"/>
      <c r="GP8" s="309"/>
      <c r="GQ8" s="309"/>
      <c r="GR8" s="309"/>
      <c r="GS8" s="309"/>
      <c r="GT8" s="309"/>
      <c r="GU8" s="309"/>
      <c r="GV8" s="309"/>
      <c r="GW8" s="309"/>
      <c r="GX8" s="309"/>
      <c r="GY8" s="309"/>
      <c r="GZ8" s="309"/>
      <c r="HA8" s="309"/>
      <c r="HB8" s="309"/>
      <c r="HC8" s="309"/>
      <c r="HD8" s="416" t="s">
        <v>1289</v>
      </c>
      <c r="HE8" s="417"/>
      <c r="HF8" s="417"/>
      <c r="HG8" s="417"/>
      <c r="HH8" s="417"/>
      <c r="HI8" s="417"/>
      <c r="HJ8" s="417"/>
      <c r="HK8" s="417"/>
      <c r="HL8" s="417"/>
      <c r="HM8" s="417"/>
      <c r="HN8" s="417"/>
      <c r="HO8" s="417"/>
      <c r="HP8" s="417"/>
      <c r="HQ8" s="417"/>
      <c r="HR8" s="417"/>
      <c r="HS8" s="417"/>
      <c r="HT8" s="417"/>
      <c r="HU8" s="417"/>
      <c r="HV8" s="417"/>
      <c r="HW8" s="417"/>
      <c r="HX8" s="21" t="s">
        <v>1240</v>
      </c>
      <c r="HY8" s="21"/>
      <c r="HZ8" s="21"/>
      <c r="IA8" s="21"/>
      <c r="IB8" s="21"/>
      <c r="IC8" s="21"/>
      <c r="ID8" s="21"/>
      <c r="IE8" s="21"/>
      <c r="IF8" s="21"/>
      <c r="IG8" s="21"/>
      <c r="IH8" s="21"/>
      <c r="II8" s="21"/>
      <c r="IJ8" s="21"/>
      <c r="IK8" s="21" t="s">
        <v>1254</v>
      </c>
      <c r="IL8" s="21"/>
      <c r="IM8" s="21"/>
      <c r="IN8" s="21"/>
      <c r="IO8" s="21"/>
      <c r="IP8" s="21"/>
      <c r="IQ8" s="21"/>
      <c r="IR8" s="21"/>
      <c r="IS8" s="21"/>
      <c r="IT8" s="21"/>
      <c r="IU8" s="21"/>
      <c r="IV8" s="21"/>
      <c r="IW8" s="23"/>
      <c r="IX8" s="21"/>
      <c r="IY8" s="21"/>
      <c r="IZ8" s="21"/>
      <c r="JA8" s="21"/>
      <c r="JB8" s="21"/>
      <c r="JC8" s="21"/>
      <c r="JD8" s="21"/>
      <c r="JE8" s="21"/>
      <c r="JF8" s="21"/>
      <c r="JG8" s="21"/>
      <c r="JH8" s="21"/>
      <c r="JI8" s="21"/>
      <c r="JJ8" s="23"/>
      <c r="JK8" s="402" t="s">
        <v>1369</v>
      </c>
      <c r="JL8" s="309"/>
      <c r="JM8" s="309"/>
      <c r="JN8" s="309"/>
      <c r="JO8" s="309"/>
      <c r="JP8" s="309"/>
      <c r="JQ8" s="309"/>
      <c r="JR8" s="309"/>
      <c r="JS8" s="309"/>
      <c r="JT8" s="309"/>
      <c r="JU8" s="402" t="s">
        <v>1370</v>
      </c>
      <c r="JV8" s="309"/>
      <c r="JW8" s="309"/>
      <c r="JX8" s="309"/>
      <c r="JY8" s="309"/>
      <c r="JZ8" s="309"/>
      <c r="KA8" s="309"/>
      <c r="KB8" s="309"/>
      <c r="KC8" s="309"/>
      <c r="KD8" s="309"/>
      <c r="KE8" s="309"/>
      <c r="KF8" s="309"/>
      <c r="KG8" s="309"/>
      <c r="KH8" s="309"/>
      <c r="KI8" s="309"/>
      <c r="KJ8" s="309"/>
      <c r="KK8" s="309"/>
      <c r="KL8" s="309"/>
      <c r="KM8" s="309"/>
      <c r="KN8" s="309"/>
    </row>
    <row r="9" spans="1:300" ht="13.5" thickBot="1" x14ac:dyDescent="0.25">
      <c r="B9" s="16"/>
      <c r="U9" s="21" t="s">
        <v>846</v>
      </c>
      <c r="V9" s="101"/>
      <c r="W9" s="101"/>
      <c r="X9" s="101"/>
      <c r="Y9" s="101"/>
      <c r="Z9" s="101"/>
      <c r="AA9" s="101"/>
      <c r="AB9" s="101"/>
      <c r="AC9" s="101"/>
      <c r="AD9" s="101"/>
      <c r="AE9" s="101"/>
      <c r="AF9" s="22"/>
      <c r="AG9" s="21" t="s">
        <v>847</v>
      </c>
      <c r="AH9" s="101"/>
      <c r="AI9" s="101"/>
      <c r="AJ9" s="101"/>
      <c r="AK9" s="101"/>
      <c r="AL9" s="101"/>
      <c r="AM9" s="101"/>
      <c r="AN9" s="101"/>
      <c r="AO9" s="101"/>
      <c r="AP9" s="101"/>
      <c r="AQ9" s="101"/>
      <c r="AR9" s="101"/>
      <c r="AS9" s="101"/>
      <c r="AT9" s="101"/>
      <c r="AU9" s="101"/>
      <c r="AV9" s="22"/>
      <c r="AW9" s="21" t="s">
        <v>848</v>
      </c>
      <c r="AX9" s="101"/>
      <c r="AY9" s="101"/>
      <c r="AZ9" s="101"/>
      <c r="BA9" s="101"/>
      <c r="BB9" s="101"/>
      <c r="BC9" s="101"/>
      <c r="BD9" s="101"/>
      <c r="BE9" s="101"/>
      <c r="BF9" s="101"/>
      <c r="BG9" s="101"/>
      <c r="BH9" s="101"/>
      <c r="BI9" s="22"/>
      <c r="BJ9" s="21" t="s">
        <v>849</v>
      </c>
      <c r="BK9" s="101"/>
      <c r="BL9" s="101"/>
      <c r="BM9" s="101"/>
      <c r="BN9" s="101"/>
      <c r="BO9" s="101"/>
      <c r="BP9" s="101"/>
      <c r="BQ9" s="101"/>
      <c r="BR9" s="101"/>
      <c r="BS9" s="22"/>
      <c r="BT9" s="101"/>
      <c r="BU9" s="101"/>
      <c r="BV9" s="101"/>
      <c r="BW9" s="21" t="s">
        <v>850</v>
      </c>
      <c r="BX9" s="101"/>
      <c r="BY9" s="101"/>
      <c r="BZ9" s="101"/>
      <c r="CA9" s="101"/>
      <c r="CB9" s="101"/>
      <c r="CC9" s="101"/>
      <c r="CD9" s="101"/>
      <c r="CE9" s="101"/>
      <c r="CF9" s="101"/>
      <c r="CG9" s="101"/>
      <c r="CH9" s="101"/>
      <c r="CI9" s="22"/>
      <c r="CJ9" s="21" t="s">
        <v>851</v>
      </c>
      <c r="CK9" s="101"/>
      <c r="CL9" s="101"/>
      <c r="CM9" s="101"/>
      <c r="CN9" s="101"/>
      <c r="CO9" s="101"/>
      <c r="CP9" s="101"/>
      <c r="CQ9" s="101"/>
      <c r="CR9" s="101"/>
      <c r="CS9" s="22"/>
      <c r="CT9" s="101"/>
      <c r="CU9" s="101"/>
      <c r="CV9" s="101"/>
      <c r="CW9" s="21" t="s">
        <v>852</v>
      </c>
      <c r="CX9" s="101"/>
      <c r="CY9" s="101"/>
      <c r="CZ9" s="101"/>
      <c r="DA9" s="101"/>
      <c r="DB9" s="101"/>
      <c r="DC9" s="101"/>
      <c r="DD9" s="101"/>
      <c r="DE9" s="101"/>
      <c r="DF9" s="101"/>
      <c r="DG9" s="101"/>
      <c r="DH9" s="101"/>
      <c r="DI9" s="22"/>
      <c r="DJ9" s="21" t="s">
        <v>1281</v>
      </c>
      <c r="DK9" s="101"/>
      <c r="DL9" s="101"/>
      <c r="DM9" s="101"/>
      <c r="DN9" s="101"/>
      <c r="DO9" s="101"/>
      <c r="DP9" s="101"/>
      <c r="DQ9" s="101"/>
      <c r="DR9" s="101"/>
      <c r="DS9" s="22"/>
      <c r="DT9" s="101"/>
      <c r="DU9" s="101"/>
      <c r="DV9" s="101"/>
      <c r="DW9" s="21" t="s">
        <v>1282</v>
      </c>
      <c r="DX9" s="101"/>
      <c r="DY9" s="101"/>
      <c r="DZ9" s="101"/>
      <c r="EA9" s="101"/>
      <c r="EB9" s="101"/>
      <c r="EC9" s="101"/>
      <c r="ED9" s="101"/>
      <c r="EE9" s="101"/>
      <c r="EF9" s="101"/>
      <c r="EG9" s="101"/>
      <c r="EH9" s="101"/>
      <c r="EI9" s="22"/>
      <c r="EJ9" s="21" t="s">
        <v>1319</v>
      </c>
      <c r="EK9" s="101"/>
      <c r="EL9" s="101"/>
      <c r="EM9" s="101"/>
      <c r="EN9" s="101"/>
      <c r="EO9" s="101"/>
      <c r="EP9" s="101"/>
      <c r="EQ9" s="101"/>
      <c r="ER9" s="101"/>
      <c r="ES9" s="101"/>
      <c r="ET9" s="22"/>
      <c r="EU9" s="101"/>
      <c r="EV9" s="21" t="s">
        <v>1367</v>
      </c>
      <c r="EW9" s="312"/>
      <c r="EX9" s="312"/>
      <c r="EY9" s="312"/>
      <c r="EZ9" s="312"/>
      <c r="FA9" s="312"/>
      <c r="FB9" s="312"/>
      <c r="FC9" s="312"/>
      <c r="FD9" s="312"/>
      <c r="FE9" s="311"/>
      <c r="FF9" s="310" t="s">
        <v>1368</v>
      </c>
      <c r="FG9" s="312"/>
      <c r="FH9" s="312"/>
      <c r="FI9" s="312"/>
      <c r="FJ9" s="312"/>
      <c r="FK9" s="312"/>
      <c r="FL9" s="312"/>
      <c r="FM9" s="312"/>
      <c r="FN9" s="312"/>
      <c r="FO9" s="311"/>
      <c r="FP9" s="21" t="s">
        <v>1281</v>
      </c>
      <c r="FQ9" s="312"/>
      <c r="FR9" s="312"/>
      <c r="FS9" s="312"/>
      <c r="FT9" s="312"/>
      <c r="FU9" s="312"/>
      <c r="FV9" s="312"/>
      <c r="FW9" s="312"/>
      <c r="FX9" s="312"/>
      <c r="FY9" s="311"/>
      <c r="FZ9" s="310" t="s">
        <v>1282</v>
      </c>
      <c r="GA9" s="312"/>
      <c r="GB9" s="312"/>
      <c r="GC9" s="312"/>
      <c r="GD9" s="312"/>
      <c r="GE9" s="312"/>
      <c r="GF9" s="312"/>
      <c r="GG9" s="312"/>
      <c r="GH9" s="312"/>
      <c r="GI9" s="311"/>
      <c r="GJ9" s="310" t="s">
        <v>851</v>
      </c>
      <c r="GK9" s="312"/>
      <c r="GL9" s="312"/>
      <c r="GM9" s="312"/>
      <c r="GN9" s="312"/>
      <c r="GO9" s="312"/>
      <c r="GP9" s="312"/>
      <c r="GQ9" s="312"/>
      <c r="GR9" s="312"/>
      <c r="GS9" s="311"/>
      <c r="GT9" s="310" t="s">
        <v>852</v>
      </c>
      <c r="GU9" s="312"/>
      <c r="GV9" s="312"/>
      <c r="GW9" s="312"/>
      <c r="GX9" s="312"/>
      <c r="GY9" s="312"/>
      <c r="GZ9" s="312"/>
      <c r="HA9" s="312"/>
      <c r="HB9" s="312"/>
      <c r="HC9" s="311"/>
      <c r="HD9" s="21" t="s">
        <v>1281</v>
      </c>
      <c r="HE9" s="312"/>
      <c r="HF9" s="312"/>
      <c r="HG9" s="312"/>
      <c r="HH9" s="312"/>
      <c r="HI9" s="312"/>
      <c r="HJ9" s="312"/>
      <c r="HK9" s="312"/>
      <c r="HL9" s="312"/>
      <c r="HM9" s="311"/>
      <c r="HN9" s="310" t="s">
        <v>1282</v>
      </c>
      <c r="HO9" s="312"/>
      <c r="HP9" s="312"/>
      <c r="HQ9" s="312"/>
      <c r="HR9" s="312"/>
      <c r="HS9" s="312"/>
      <c r="HT9" s="312"/>
      <c r="HU9" s="312"/>
      <c r="HV9" s="312"/>
      <c r="HW9" s="311"/>
      <c r="HX9" s="21" t="s">
        <v>1241</v>
      </c>
      <c r="HY9" s="101"/>
      <c r="HZ9" s="101"/>
      <c r="IA9" s="101"/>
      <c r="IB9" s="101"/>
      <c r="IC9" s="101"/>
      <c r="ID9" s="101"/>
      <c r="IE9" s="101"/>
      <c r="IF9" s="101"/>
      <c r="IG9" s="22"/>
      <c r="IH9" s="101"/>
      <c r="II9" s="101"/>
      <c r="IJ9" s="101"/>
      <c r="IK9" s="21" t="s">
        <v>1256</v>
      </c>
      <c r="IL9" s="101"/>
      <c r="IM9" s="101"/>
      <c r="IN9" s="101"/>
      <c r="IO9" s="101"/>
      <c r="IP9" s="101"/>
      <c r="IQ9" s="101"/>
      <c r="IR9" s="101"/>
      <c r="IS9" s="101"/>
      <c r="IT9" s="101"/>
      <c r="IU9" s="101"/>
      <c r="IV9" s="101"/>
      <c r="IW9" s="22"/>
      <c r="IX9" s="21" t="s">
        <v>1255</v>
      </c>
      <c r="IY9" s="101"/>
      <c r="IZ9" s="101"/>
      <c r="JA9" s="101"/>
      <c r="JB9" s="101"/>
      <c r="JC9" s="101"/>
      <c r="JD9" s="101"/>
      <c r="JE9" s="101"/>
      <c r="JF9" s="101"/>
      <c r="JG9" s="101"/>
      <c r="JH9" s="101"/>
      <c r="JI9" s="101"/>
      <c r="JJ9" s="22"/>
      <c r="JK9" s="21" t="s">
        <v>1367</v>
      </c>
      <c r="JL9" s="312"/>
      <c r="JM9" s="312"/>
      <c r="JN9" s="312"/>
      <c r="JO9" s="312"/>
      <c r="JP9" s="312"/>
      <c r="JQ9" s="312"/>
      <c r="JR9" s="312"/>
      <c r="JS9" s="312"/>
      <c r="JT9" s="311"/>
      <c r="JU9" s="21" t="s">
        <v>1367</v>
      </c>
      <c r="JV9" s="312"/>
      <c r="JW9" s="312"/>
      <c r="JX9" s="312"/>
      <c r="JY9" s="312"/>
      <c r="JZ9" s="312"/>
      <c r="KA9" s="312"/>
      <c r="KB9" s="312"/>
      <c r="KC9" s="312"/>
      <c r="KD9" s="311"/>
      <c r="KE9" s="310" t="s">
        <v>1368</v>
      </c>
      <c r="KF9" s="312"/>
      <c r="KG9" s="312"/>
      <c r="KH9" s="312"/>
      <c r="KI9" s="312"/>
      <c r="KJ9" s="312"/>
      <c r="KK9" s="312"/>
      <c r="KL9" s="312"/>
      <c r="KM9" s="312"/>
      <c r="KN9" s="311"/>
    </row>
    <row r="10" spans="1:300" ht="13.5" thickBot="1" x14ac:dyDescent="0.25">
      <c r="B10" s="16"/>
      <c r="U10" s="21" t="s">
        <v>120</v>
      </c>
      <c r="V10" s="21" t="s">
        <v>25</v>
      </c>
      <c r="W10" s="101"/>
      <c r="X10" s="101"/>
      <c r="Y10" s="22"/>
      <c r="Z10" s="101"/>
      <c r="AA10" s="386" t="s">
        <v>55</v>
      </c>
      <c r="AB10" s="23" t="s">
        <v>28</v>
      </c>
      <c r="AC10" s="23" t="s">
        <v>27</v>
      </c>
      <c r="AD10" s="23" t="s">
        <v>481</v>
      </c>
      <c r="AE10" s="101" t="s">
        <v>704</v>
      </c>
      <c r="AF10" s="23"/>
      <c r="AG10" s="21" t="s">
        <v>120</v>
      </c>
      <c r="AH10" s="101"/>
      <c r="AI10" s="101"/>
      <c r="AJ10" s="101"/>
      <c r="AK10" s="101"/>
      <c r="AL10" s="21" t="s">
        <v>25</v>
      </c>
      <c r="AM10" s="101"/>
      <c r="AN10" s="101"/>
      <c r="AO10" s="22"/>
      <c r="AP10" s="101"/>
      <c r="AQ10" s="386" t="s">
        <v>55</v>
      </c>
      <c r="AR10" s="23" t="s">
        <v>28</v>
      </c>
      <c r="AS10" s="23" t="s">
        <v>27</v>
      </c>
      <c r="AT10" s="23" t="s">
        <v>481</v>
      </c>
      <c r="AU10" s="101" t="s">
        <v>704</v>
      </c>
      <c r="AV10" s="23"/>
      <c r="AW10" s="21" t="s">
        <v>120</v>
      </c>
      <c r="AX10" s="101"/>
      <c r="AY10" s="21" t="s">
        <v>25</v>
      </c>
      <c r="AZ10" s="101"/>
      <c r="BA10" s="101"/>
      <c r="BB10" s="22"/>
      <c r="BC10" s="101"/>
      <c r="BD10" s="386" t="s">
        <v>55</v>
      </c>
      <c r="BE10" s="23" t="s">
        <v>28</v>
      </c>
      <c r="BF10" s="23" t="s">
        <v>27</v>
      </c>
      <c r="BG10" s="23" t="s">
        <v>481</v>
      </c>
      <c r="BH10" s="101" t="s">
        <v>704</v>
      </c>
      <c r="BI10" s="23"/>
      <c r="BJ10" s="21" t="s">
        <v>120</v>
      </c>
      <c r="BK10" s="101"/>
      <c r="BL10" s="21" t="s">
        <v>25</v>
      </c>
      <c r="BM10" s="101"/>
      <c r="BN10" s="101"/>
      <c r="BO10" s="22"/>
      <c r="BP10" s="101"/>
      <c r="BQ10" s="386" t="s">
        <v>55</v>
      </c>
      <c r="BR10" s="23" t="s">
        <v>28</v>
      </c>
      <c r="BS10" s="22" t="s">
        <v>27</v>
      </c>
      <c r="BT10" s="22" t="s">
        <v>481</v>
      </c>
      <c r="BU10" s="22" t="s">
        <v>704</v>
      </c>
      <c r="BV10" s="23"/>
      <c r="BW10" s="21" t="s">
        <v>120</v>
      </c>
      <c r="BX10" s="101"/>
      <c r="BY10" s="21" t="s">
        <v>25</v>
      </c>
      <c r="BZ10" s="101"/>
      <c r="CA10" s="101"/>
      <c r="CB10" s="22"/>
      <c r="CC10" s="101"/>
      <c r="CD10" s="101" t="s">
        <v>55</v>
      </c>
      <c r="CE10" s="23" t="s">
        <v>28</v>
      </c>
      <c r="CF10" s="22" t="s">
        <v>27</v>
      </c>
      <c r="CG10" s="22" t="s">
        <v>481</v>
      </c>
      <c r="CH10" s="22" t="s">
        <v>704</v>
      </c>
      <c r="CI10" s="23"/>
      <c r="CJ10" s="21" t="s">
        <v>120</v>
      </c>
      <c r="CK10" s="101"/>
      <c r="CL10" s="21" t="s">
        <v>25</v>
      </c>
      <c r="CM10" s="101"/>
      <c r="CN10" s="101"/>
      <c r="CO10" s="22"/>
      <c r="CP10" s="101"/>
      <c r="CQ10" s="386" t="s">
        <v>55</v>
      </c>
      <c r="CR10" s="23" t="s">
        <v>28</v>
      </c>
      <c r="CS10" s="22" t="s">
        <v>27</v>
      </c>
      <c r="CT10" s="22" t="s">
        <v>481</v>
      </c>
      <c r="CU10" s="23" t="s">
        <v>704</v>
      </c>
      <c r="CV10" s="23"/>
      <c r="CW10" s="21" t="s">
        <v>120</v>
      </c>
      <c r="CX10" s="101"/>
      <c r="CY10" s="21" t="s">
        <v>25</v>
      </c>
      <c r="CZ10" s="101"/>
      <c r="DA10" s="101"/>
      <c r="DB10" s="22"/>
      <c r="DC10" s="101"/>
      <c r="DD10" s="386" t="s">
        <v>55</v>
      </c>
      <c r="DE10" s="23" t="s">
        <v>28</v>
      </c>
      <c r="DF10" s="22" t="s">
        <v>27</v>
      </c>
      <c r="DG10" s="22" t="s">
        <v>481</v>
      </c>
      <c r="DH10" s="23" t="s">
        <v>704</v>
      </c>
      <c r="DI10" s="23"/>
      <c r="DJ10" s="21" t="s">
        <v>120</v>
      </c>
      <c r="DK10" s="101"/>
      <c r="DL10" s="21" t="s">
        <v>25</v>
      </c>
      <c r="DM10" s="101"/>
      <c r="DN10" s="101"/>
      <c r="DO10" s="22"/>
      <c r="DP10" s="101"/>
      <c r="DQ10" s="386" t="s">
        <v>55</v>
      </c>
      <c r="DR10" s="23" t="s">
        <v>28</v>
      </c>
      <c r="DS10" s="22" t="s">
        <v>27</v>
      </c>
      <c r="DT10" s="22" t="s">
        <v>481</v>
      </c>
      <c r="DU10" s="23" t="s">
        <v>704</v>
      </c>
      <c r="DV10" s="23"/>
      <c r="DW10" s="21" t="s">
        <v>120</v>
      </c>
      <c r="DX10" s="101"/>
      <c r="DY10" s="21" t="s">
        <v>25</v>
      </c>
      <c r="DZ10" s="101"/>
      <c r="EA10" s="101"/>
      <c r="EB10" s="22"/>
      <c r="EC10" s="101"/>
      <c r="ED10" s="386" t="s">
        <v>55</v>
      </c>
      <c r="EE10" s="23" t="s">
        <v>28</v>
      </c>
      <c r="EF10" s="22" t="s">
        <v>27</v>
      </c>
      <c r="EG10" s="22" t="s">
        <v>481</v>
      </c>
      <c r="EH10" s="23" t="s">
        <v>704</v>
      </c>
      <c r="EI10" s="23"/>
      <c r="EJ10" s="21" t="s">
        <v>120</v>
      </c>
      <c r="EK10" s="21" t="s">
        <v>25</v>
      </c>
      <c r="EL10" s="21"/>
      <c r="EM10" s="21"/>
      <c r="EN10" s="21"/>
      <c r="EO10" s="21"/>
      <c r="EP10" s="21" t="s">
        <v>55</v>
      </c>
      <c r="EQ10" s="21" t="s">
        <v>28</v>
      </c>
      <c r="ER10" s="21" t="s">
        <v>27</v>
      </c>
      <c r="ES10" s="21" t="s">
        <v>481</v>
      </c>
      <c r="ET10" s="21" t="s">
        <v>704</v>
      </c>
      <c r="EU10" s="21"/>
      <c r="EV10" s="310" t="s">
        <v>794</v>
      </c>
      <c r="EW10" s="311"/>
      <c r="EX10" s="310" t="s">
        <v>27</v>
      </c>
      <c r="EY10" s="312"/>
      <c r="EZ10" s="312"/>
      <c r="FA10" s="311"/>
      <c r="FB10" s="310" t="s">
        <v>795</v>
      </c>
      <c r="FC10" s="312"/>
      <c r="FD10" s="312"/>
      <c r="FE10" s="311"/>
      <c r="FF10" s="310" t="s">
        <v>794</v>
      </c>
      <c r="FG10" s="311"/>
      <c r="FH10" s="310" t="s">
        <v>27</v>
      </c>
      <c r="FI10" s="312"/>
      <c r="FJ10" s="312"/>
      <c r="FK10" s="311"/>
      <c r="FL10" s="310" t="s">
        <v>795</v>
      </c>
      <c r="FM10" s="312"/>
      <c r="FN10" s="312"/>
      <c r="FO10" s="311"/>
      <c r="FP10" s="310" t="s">
        <v>794</v>
      </c>
      <c r="FQ10" s="311"/>
      <c r="FR10" s="310" t="s">
        <v>27</v>
      </c>
      <c r="FS10" s="312"/>
      <c r="FT10" s="312"/>
      <c r="FU10" s="311"/>
      <c r="FV10" s="310" t="s">
        <v>795</v>
      </c>
      <c r="FW10" s="312"/>
      <c r="FX10" s="312"/>
      <c r="FY10" s="311"/>
      <c r="FZ10" s="310" t="s">
        <v>794</v>
      </c>
      <c r="GA10" s="311"/>
      <c r="GB10" s="310" t="s">
        <v>27</v>
      </c>
      <c r="GC10" s="312"/>
      <c r="GD10" s="312"/>
      <c r="GE10" s="311"/>
      <c r="GF10" s="310" t="s">
        <v>795</v>
      </c>
      <c r="GG10" s="312"/>
      <c r="GH10" s="312"/>
      <c r="GI10" s="311"/>
      <c r="GJ10" s="310" t="s">
        <v>794</v>
      </c>
      <c r="GK10" s="311"/>
      <c r="GL10" s="310" t="s">
        <v>27</v>
      </c>
      <c r="GM10" s="312"/>
      <c r="GN10" s="312"/>
      <c r="GO10" s="311"/>
      <c r="GP10" s="310" t="s">
        <v>795</v>
      </c>
      <c r="GQ10" s="312"/>
      <c r="GR10" s="312"/>
      <c r="GS10" s="311"/>
      <c r="GT10" s="310" t="s">
        <v>794</v>
      </c>
      <c r="GU10" s="311"/>
      <c r="GV10" s="310" t="s">
        <v>27</v>
      </c>
      <c r="GW10" s="312"/>
      <c r="GX10" s="312"/>
      <c r="GY10" s="311"/>
      <c r="GZ10" s="310" t="s">
        <v>795</v>
      </c>
      <c r="HA10" s="312"/>
      <c r="HB10" s="312"/>
      <c r="HC10" s="311"/>
      <c r="HD10" s="310" t="s">
        <v>794</v>
      </c>
      <c r="HE10" s="311"/>
      <c r="HF10" s="310" t="s">
        <v>27</v>
      </c>
      <c r="HG10" s="312"/>
      <c r="HH10" s="312"/>
      <c r="HI10" s="311"/>
      <c r="HJ10" s="310" t="s">
        <v>795</v>
      </c>
      <c r="HK10" s="312"/>
      <c r="HL10" s="312"/>
      <c r="HM10" s="311"/>
      <c r="HN10" s="310" t="s">
        <v>794</v>
      </c>
      <c r="HO10" s="311"/>
      <c r="HP10" s="310" t="s">
        <v>27</v>
      </c>
      <c r="HQ10" s="312"/>
      <c r="HR10" s="312"/>
      <c r="HS10" s="311"/>
      <c r="HT10" s="310" t="s">
        <v>795</v>
      </c>
      <c r="HU10" s="312"/>
      <c r="HV10" s="312"/>
      <c r="HW10" s="311"/>
      <c r="HX10" s="310" t="s">
        <v>120</v>
      </c>
      <c r="HY10" s="101"/>
      <c r="HZ10" s="21" t="s">
        <v>25</v>
      </c>
      <c r="IA10" s="101"/>
      <c r="IB10" s="101"/>
      <c r="IC10" s="22"/>
      <c r="ID10" s="101"/>
      <c r="IE10" s="386" t="s">
        <v>55</v>
      </c>
      <c r="IF10" s="23" t="s">
        <v>28</v>
      </c>
      <c r="IG10" s="22" t="s">
        <v>27</v>
      </c>
      <c r="IH10" s="22" t="s">
        <v>481</v>
      </c>
      <c r="II10" s="23" t="s">
        <v>704</v>
      </c>
      <c r="IJ10" s="21"/>
      <c r="IK10" s="310" t="s">
        <v>120</v>
      </c>
      <c r="IL10" s="101"/>
      <c r="IM10" s="21" t="s">
        <v>25</v>
      </c>
      <c r="IN10" s="101"/>
      <c r="IO10" s="101"/>
      <c r="IP10" s="22"/>
      <c r="IQ10" s="101"/>
      <c r="IR10" s="386" t="s">
        <v>55</v>
      </c>
      <c r="IS10" s="23" t="s">
        <v>28</v>
      </c>
      <c r="IT10" s="22" t="s">
        <v>27</v>
      </c>
      <c r="IU10" s="22" t="s">
        <v>481</v>
      </c>
      <c r="IV10" s="23" t="s">
        <v>704</v>
      </c>
      <c r="IW10" s="21"/>
      <c r="IX10" s="310" t="s">
        <v>120</v>
      </c>
      <c r="IY10" s="101"/>
      <c r="IZ10" s="21" t="s">
        <v>25</v>
      </c>
      <c r="JA10" s="101"/>
      <c r="JB10" s="101"/>
      <c r="JC10" s="22"/>
      <c r="JD10" s="101"/>
      <c r="JE10" s="386" t="s">
        <v>55</v>
      </c>
      <c r="JF10" s="23" t="s">
        <v>28</v>
      </c>
      <c r="JG10" s="22" t="s">
        <v>27</v>
      </c>
      <c r="JH10" s="22" t="s">
        <v>481</v>
      </c>
      <c r="JI10" s="23" t="s">
        <v>704</v>
      </c>
      <c r="JJ10" s="23"/>
      <c r="JK10" s="310" t="s">
        <v>794</v>
      </c>
      <c r="JL10" s="311"/>
      <c r="JM10" s="310" t="s">
        <v>27</v>
      </c>
      <c r="JN10" s="312"/>
      <c r="JO10" s="312"/>
      <c r="JP10" s="311"/>
      <c r="JQ10" s="310" t="s">
        <v>795</v>
      </c>
      <c r="JR10" s="312"/>
      <c r="JS10" s="312"/>
      <c r="JT10" s="311"/>
      <c r="JU10" s="310" t="s">
        <v>794</v>
      </c>
      <c r="JV10" s="311"/>
      <c r="JW10" s="310" t="s">
        <v>27</v>
      </c>
      <c r="JX10" s="312"/>
      <c r="JY10" s="312"/>
      <c r="JZ10" s="311"/>
      <c r="KA10" s="310" t="s">
        <v>795</v>
      </c>
      <c r="KB10" s="312"/>
      <c r="KC10" s="312"/>
      <c r="KD10" s="311"/>
      <c r="KE10" s="310" t="s">
        <v>794</v>
      </c>
      <c r="KF10" s="311"/>
      <c r="KG10" s="310" t="s">
        <v>27</v>
      </c>
      <c r="KH10" s="312"/>
      <c r="KI10" s="312"/>
      <c r="KJ10" s="311"/>
      <c r="KK10" s="310" t="s">
        <v>795</v>
      </c>
      <c r="KL10" s="312"/>
      <c r="KM10" s="312"/>
      <c r="KN10" s="311"/>
    </row>
    <row r="11" spans="1:300" ht="92.45" customHeight="1" thickBot="1" x14ac:dyDescent="0.25">
      <c r="B11" s="16"/>
      <c r="C11" s="227" t="s">
        <v>76</v>
      </c>
      <c r="D11" s="227" t="s">
        <v>287</v>
      </c>
      <c r="E11" s="227" t="s">
        <v>79</v>
      </c>
      <c r="F11" s="227" t="s">
        <v>78</v>
      </c>
      <c r="G11" s="227" t="s">
        <v>112</v>
      </c>
      <c r="H11" s="227" t="s">
        <v>110</v>
      </c>
      <c r="I11" s="227" t="s">
        <v>80</v>
      </c>
      <c r="J11" s="227" t="s">
        <v>81</v>
      </c>
      <c r="K11" s="280" t="s">
        <v>1280</v>
      </c>
      <c r="L11" s="280" t="s">
        <v>910</v>
      </c>
      <c r="M11" s="227" t="s">
        <v>113</v>
      </c>
      <c r="N11" s="280" t="s">
        <v>751</v>
      </c>
      <c r="O11" s="227" t="s">
        <v>114</v>
      </c>
      <c r="P11" s="227" t="s">
        <v>165</v>
      </c>
      <c r="Q11" s="227" t="s">
        <v>121</v>
      </c>
      <c r="R11" s="227" t="s">
        <v>122</v>
      </c>
      <c r="S11" s="227" t="s">
        <v>123</v>
      </c>
      <c r="T11" s="227" t="s">
        <v>124</v>
      </c>
      <c r="U11" s="255" t="s">
        <v>692</v>
      </c>
      <c r="V11" s="24" t="s">
        <v>694</v>
      </c>
      <c r="W11" s="24" t="s">
        <v>1459</v>
      </c>
      <c r="X11" s="24" t="s">
        <v>1460</v>
      </c>
      <c r="Y11" s="24" t="s">
        <v>965</v>
      </c>
      <c r="Z11" s="24" t="s">
        <v>987</v>
      </c>
      <c r="AA11" s="24" t="s">
        <v>695</v>
      </c>
      <c r="AB11" s="24" t="s">
        <v>696</v>
      </c>
      <c r="AC11" s="24" t="s">
        <v>693</v>
      </c>
      <c r="AD11" s="24" t="s">
        <v>1252</v>
      </c>
      <c r="AE11" s="24" t="s">
        <v>911</v>
      </c>
      <c r="AF11" s="256" t="s">
        <v>912</v>
      </c>
      <c r="AG11" s="255" t="s">
        <v>748</v>
      </c>
      <c r="AH11" s="24" t="s">
        <v>703</v>
      </c>
      <c r="AI11" s="24" t="s">
        <v>752</v>
      </c>
      <c r="AJ11" s="24" t="s">
        <v>1441</v>
      </c>
      <c r="AK11" s="24" t="s">
        <v>1442</v>
      </c>
      <c r="AL11" s="24" t="s">
        <v>699</v>
      </c>
      <c r="AM11" s="24" t="s">
        <v>1461</v>
      </c>
      <c r="AN11" s="24" t="s">
        <v>1462</v>
      </c>
      <c r="AO11" s="24" t="s">
        <v>966</v>
      </c>
      <c r="AP11" s="24" t="s">
        <v>1188</v>
      </c>
      <c r="AQ11" s="24" t="s">
        <v>700</v>
      </c>
      <c r="AR11" s="24" t="s">
        <v>701</v>
      </c>
      <c r="AS11" s="24" t="s">
        <v>702</v>
      </c>
      <c r="AT11" s="24" t="s">
        <v>1253</v>
      </c>
      <c r="AU11" s="24" t="s">
        <v>914</v>
      </c>
      <c r="AV11" s="256" t="s">
        <v>913</v>
      </c>
      <c r="AW11" s="255" t="s">
        <v>749</v>
      </c>
      <c r="AX11" s="24" t="s">
        <v>1443</v>
      </c>
      <c r="AY11" s="24" t="s">
        <v>705</v>
      </c>
      <c r="AZ11" s="24" t="s">
        <v>1463</v>
      </c>
      <c r="BA11" s="24" t="s">
        <v>1464</v>
      </c>
      <c r="BB11" s="24" t="s">
        <v>967</v>
      </c>
      <c r="BC11" s="24" t="s">
        <v>983</v>
      </c>
      <c r="BD11" s="24" t="s">
        <v>706</v>
      </c>
      <c r="BE11" s="24" t="s">
        <v>707</v>
      </c>
      <c r="BF11" s="24" t="s">
        <v>708</v>
      </c>
      <c r="BG11" s="24" t="s">
        <v>1277</v>
      </c>
      <c r="BH11" s="24" t="s">
        <v>916</v>
      </c>
      <c r="BI11" s="256" t="s">
        <v>915</v>
      </c>
      <c r="BJ11" s="255" t="s">
        <v>709</v>
      </c>
      <c r="BK11" s="24" t="s">
        <v>1444</v>
      </c>
      <c r="BL11" s="24" t="s">
        <v>710</v>
      </c>
      <c r="BM11" s="24" t="s">
        <v>1465</v>
      </c>
      <c r="BN11" s="24" t="s">
        <v>1466</v>
      </c>
      <c r="BO11" s="24" t="s">
        <v>968</v>
      </c>
      <c r="BP11" s="24" t="s">
        <v>984</v>
      </c>
      <c r="BQ11" s="24" t="s">
        <v>711</v>
      </c>
      <c r="BR11" s="24" t="s">
        <v>712</v>
      </c>
      <c r="BS11" s="24" t="s">
        <v>713</v>
      </c>
      <c r="BT11" s="24" t="s">
        <v>1278</v>
      </c>
      <c r="BU11" s="24" t="s">
        <v>918</v>
      </c>
      <c r="BV11" s="258" t="s">
        <v>917</v>
      </c>
      <c r="BW11" s="255" t="s">
        <v>714</v>
      </c>
      <c r="BX11" s="24" t="s">
        <v>1445</v>
      </c>
      <c r="BY11" s="24" t="s">
        <v>715</v>
      </c>
      <c r="BZ11" s="24" t="s">
        <v>1467</v>
      </c>
      <c r="CA11" s="24" t="s">
        <v>1468</v>
      </c>
      <c r="CB11" s="24" t="s">
        <v>969</v>
      </c>
      <c r="CC11" s="24" t="s">
        <v>985</v>
      </c>
      <c r="CD11" s="24" t="s">
        <v>716</v>
      </c>
      <c r="CE11" s="24" t="s">
        <v>717</v>
      </c>
      <c r="CF11" s="24" t="s">
        <v>718</v>
      </c>
      <c r="CG11" s="24" t="s">
        <v>1279</v>
      </c>
      <c r="CH11" s="24" t="s">
        <v>920</v>
      </c>
      <c r="CI11" s="314" t="s">
        <v>919</v>
      </c>
      <c r="CJ11" s="259" t="s">
        <v>1220</v>
      </c>
      <c r="CK11" s="314" t="s">
        <v>1560</v>
      </c>
      <c r="CL11" s="314" t="s">
        <v>1221</v>
      </c>
      <c r="CM11" s="314" t="s">
        <v>1469</v>
      </c>
      <c r="CN11" s="314" t="s">
        <v>1470</v>
      </c>
      <c r="CO11" s="314" t="s">
        <v>1222</v>
      </c>
      <c r="CP11" s="314" t="s">
        <v>1223</v>
      </c>
      <c r="CQ11" s="314" t="s">
        <v>1224</v>
      </c>
      <c r="CR11" s="314" t="s">
        <v>1225</v>
      </c>
      <c r="CS11" s="314" t="s">
        <v>1226</v>
      </c>
      <c r="CT11" s="314" t="s">
        <v>1227</v>
      </c>
      <c r="CU11" s="314" t="s">
        <v>1228</v>
      </c>
      <c r="CV11" s="258" t="s">
        <v>1229</v>
      </c>
      <c r="CW11" s="259" t="s">
        <v>1230</v>
      </c>
      <c r="CX11" s="314" t="s">
        <v>1561</v>
      </c>
      <c r="CY11" s="314" t="s">
        <v>1231</v>
      </c>
      <c r="CZ11" s="314" t="s">
        <v>1471</v>
      </c>
      <c r="DA11" s="314" t="s">
        <v>1472</v>
      </c>
      <c r="DB11" s="314" t="s">
        <v>1232</v>
      </c>
      <c r="DC11" s="314" t="s">
        <v>1233</v>
      </c>
      <c r="DD11" s="314" t="s">
        <v>1234</v>
      </c>
      <c r="DE11" s="314" t="s">
        <v>1235</v>
      </c>
      <c r="DF11" s="314" t="s">
        <v>1236</v>
      </c>
      <c r="DG11" s="314" t="s">
        <v>1237</v>
      </c>
      <c r="DH11" s="314" t="s">
        <v>1238</v>
      </c>
      <c r="DI11" s="258" t="s">
        <v>1239</v>
      </c>
      <c r="DJ11" s="259" t="s">
        <v>725</v>
      </c>
      <c r="DK11" s="314" t="s">
        <v>1556</v>
      </c>
      <c r="DL11" s="314" t="s">
        <v>723</v>
      </c>
      <c r="DM11" s="314" t="s">
        <v>1473</v>
      </c>
      <c r="DN11" s="314" t="s">
        <v>1474</v>
      </c>
      <c r="DO11" s="314" t="s">
        <v>972</v>
      </c>
      <c r="DP11" s="314" t="s">
        <v>989</v>
      </c>
      <c r="DQ11" s="314" t="s">
        <v>1283</v>
      </c>
      <c r="DR11" s="314" t="s">
        <v>1284</v>
      </c>
      <c r="DS11" s="314" t="s">
        <v>1285</v>
      </c>
      <c r="DT11" s="314" t="s">
        <v>904</v>
      </c>
      <c r="DU11" s="314" t="s">
        <v>922</v>
      </c>
      <c r="DV11" s="258" t="s">
        <v>947</v>
      </c>
      <c r="DW11" s="259" t="s">
        <v>726</v>
      </c>
      <c r="DX11" s="314" t="s">
        <v>1557</v>
      </c>
      <c r="DY11" s="314" t="s">
        <v>724</v>
      </c>
      <c r="DZ11" s="314" t="s">
        <v>1475</v>
      </c>
      <c r="EA11" s="314" t="s">
        <v>1476</v>
      </c>
      <c r="EB11" s="314" t="s">
        <v>973</v>
      </c>
      <c r="EC11" s="314" t="s">
        <v>990</v>
      </c>
      <c r="ED11" s="314" t="s">
        <v>1286</v>
      </c>
      <c r="EE11" s="314" t="s">
        <v>1287</v>
      </c>
      <c r="EF11" s="314" t="s">
        <v>1288</v>
      </c>
      <c r="EG11" s="314" t="s">
        <v>905</v>
      </c>
      <c r="EH11" s="314" t="s">
        <v>923</v>
      </c>
      <c r="EI11" s="258" t="s">
        <v>948</v>
      </c>
      <c r="EJ11" s="259" t="s">
        <v>1320</v>
      </c>
      <c r="EK11" s="314" t="s">
        <v>1321</v>
      </c>
      <c r="EL11" s="314" t="s">
        <v>1477</v>
      </c>
      <c r="EM11" s="314" t="s">
        <v>1478</v>
      </c>
      <c r="EN11" s="314" t="s">
        <v>1322</v>
      </c>
      <c r="EO11" s="314" t="s">
        <v>1323</v>
      </c>
      <c r="EP11" s="314" t="s">
        <v>1324</v>
      </c>
      <c r="EQ11" s="314" t="s">
        <v>1325</v>
      </c>
      <c r="ER11" s="314" t="s">
        <v>1326</v>
      </c>
      <c r="ES11" s="314" t="s">
        <v>1327</v>
      </c>
      <c r="ET11" s="314" t="s">
        <v>1328</v>
      </c>
      <c r="EU11" s="258" t="s">
        <v>1329</v>
      </c>
      <c r="EV11" s="259" t="s">
        <v>1347</v>
      </c>
      <c r="EW11" s="314" t="s">
        <v>1348</v>
      </c>
      <c r="EX11" s="314" t="s">
        <v>1349</v>
      </c>
      <c r="EY11" s="314" t="s">
        <v>1350</v>
      </c>
      <c r="EZ11" s="314" t="s">
        <v>1351</v>
      </c>
      <c r="FA11" s="314" t="s">
        <v>1352</v>
      </c>
      <c r="FB11" s="314" t="s">
        <v>1353</v>
      </c>
      <c r="FC11" s="314" t="s">
        <v>1354</v>
      </c>
      <c r="FD11" s="314" t="s">
        <v>1355</v>
      </c>
      <c r="FE11" s="258" t="s">
        <v>1356</v>
      </c>
      <c r="FF11" s="259" t="s">
        <v>1357</v>
      </c>
      <c r="FG11" s="314" t="s">
        <v>1358</v>
      </c>
      <c r="FH11" s="314" t="s">
        <v>1359</v>
      </c>
      <c r="FI11" s="314" t="s">
        <v>1360</v>
      </c>
      <c r="FJ11" s="314" t="s">
        <v>1361</v>
      </c>
      <c r="FK11" s="314" t="s">
        <v>1362</v>
      </c>
      <c r="FL11" s="314" t="s">
        <v>1363</v>
      </c>
      <c r="FM11" s="314" t="s">
        <v>1364</v>
      </c>
      <c r="FN11" s="314" t="s">
        <v>1365</v>
      </c>
      <c r="FO11" s="258" t="s">
        <v>1366</v>
      </c>
      <c r="FP11" s="314" t="s">
        <v>997</v>
      </c>
      <c r="FQ11" s="314" t="s">
        <v>998</v>
      </c>
      <c r="FR11" s="314" t="s">
        <v>999</v>
      </c>
      <c r="FS11" s="314" t="s">
        <v>1000</v>
      </c>
      <c r="FT11" s="314" t="s">
        <v>1001</v>
      </c>
      <c r="FU11" s="314" t="s">
        <v>1002</v>
      </c>
      <c r="FV11" s="314" t="s">
        <v>1003</v>
      </c>
      <c r="FW11" s="314" t="s">
        <v>1004</v>
      </c>
      <c r="FX11" s="314" t="s">
        <v>1005</v>
      </c>
      <c r="FY11" s="314" t="s">
        <v>1006</v>
      </c>
      <c r="FZ11" s="259" t="s">
        <v>1007</v>
      </c>
      <c r="GA11" s="314" t="s">
        <v>1008</v>
      </c>
      <c r="GB11" s="314" t="s">
        <v>1009</v>
      </c>
      <c r="GC11" s="314" t="s">
        <v>1010</v>
      </c>
      <c r="GD11" s="314" t="s">
        <v>1011</v>
      </c>
      <c r="GE11" s="314" t="s">
        <v>1012</v>
      </c>
      <c r="GF11" s="314" t="s">
        <v>1013</v>
      </c>
      <c r="GG11" s="314" t="s">
        <v>1014</v>
      </c>
      <c r="GH11" s="314" t="s">
        <v>1015</v>
      </c>
      <c r="GI11" s="314" t="s">
        <v>1016</v>
      </c>
      <c r="GJ11" s="24" t="s">
        <v>1017</v>
      </c>
      <c r="GK11" s="24" t="s">
        <v>1018</v>
      </c>
      <c r="GL11" s="24" t="s">
        <v>1019</v>
      </c>
      <c r="GM11" s="24" t="s">
        <v>1020</v>
      </c>
      <c r="GN11" s="24" t="s">
        <v>1021</v>
      </c>
      <c r="GO11" s="24" t="s">
        <v>1022</v>
      </c>
      <c r="GP11" s="24" t="s">
        <v>1023</v>
      </c>
      <c r="GQ11" s="24" t="s">
        <v>1024</v>
      </c>
      <c r="GR11" s="24" t="s">
        <v>1025</v>
      </c>
      <c r="GS11" s="24" t="s">
        <v>1026</v>
      </c>
      <c r="GT11" s="24" t="s">
        <v>1027</v>
      </c>
      <c r="GU11" s="24" t="s">
        <v>1028</v>
      </c>
      <c r="GV11" s="24" t="s">
        <v>1029</v>
      </c>
      <c r="GW11" s="24" t="s">
        <v>1030</v>
      </c>
      <c r="GX11" s="24" t="s">
        <v>1031</v>
      </c>
      <c r="GY11" s="24" t="s">
        <v>1032</v>
      </c>
      <c r="GZ11" s="24" t="s">
        <v>1033</v>
      </c>
      <c r="HA11" s="24" t="s">
        <v>1034</v>
      </c>
      <c r="HB11" s="24" t="s">
        <v>1035</v>
      </c>
      <c r="HC11" s="24" t="s">
        <v>1036</v>
      </c>
      <c r="HD11" s="24" t="s">
        <v>1290</v>
      </c>
      <c r="HE11" s="24" t="s">
        <v>1291</v>
      </c>
      <c r="HF11" s="24" t="s">
        <v>1292</v>
      </c>
      <c r="HG11" s="24" t="s">
        <v>1293</v>
      </c>
      <c r="HH11" s="24" t="s">
        <v>1294</v>
      </c>
      <c r="HI11" s="24" t="s">
        <v>1295</v>
      </c>
      <c r="HJ11" s="24" t="s">
        <v>1296</v>
      </c>
      <c r="HK11" s="24" t="s">
        <v>1297</v>
      </c>
      <c r="HL11" s="24" t="s">
        <v>1298</v>
      </c>
      <c r="HM11" s="24" t="s">
        <v>1299</v>
      </c>
      <c r="HN11" s="24" t="s">
        <v>1300</v>
      </c>
      <c r="HO11" s="24" t="s">
        <v>1301</v>
      </c>
      <c r="HP11" s="24" t="s">
        <v>1302</v>
      </c>
      <c r="HQ11" s="24" t="s">
        <v>1303</v>
      </c>
      <c r="HR11" s="24" t="s">
        <v>1304</v>
      </c>
      <c r="HS11" s="24" t="s">
        <v>1305</v>
      </c>
      <c r="HT11" s="24" t="s">
        <v>1306</v>
      </c>
      <c r="HU11" s="24" t="s">
        <v>1307</v>
      </c>
      <c r="HV11" s="24" t="s">
        <v>1308</v>
      </c>
      <c r="HW11" s="256" t="s">
        <v>1309</v>
      </c>
      <c r="HX11" s="255" t="s">
        <v>1242</v>
      </c>
      <c r="HY11" s="24" t="s">
        <v>1558</v>
      </c>
      <c r="HZ11" s="24" t="s">
        <v>1243</v>
      </c>
      <c r="IA11" s="24" t="s">
        <v>1479</v>
      </c>
      <c r="IB11" s="24" t="s">
        <v>1480</v>
      </c>
      <c r="IC11" s="24" t="s">
        <v>1244</v>
      </c>
      <c r="ID11" s="24" t="s">
        <v>1245</v>
      </c>
      <c r="IE11" s="24" t="s">
        <v>1246</v>
      </c>
      <c r="IF11" s="24" t="s">
        <v>1247</v>
      </c>
      <c r="IG11" s="24" t="s">
        <v>1248</v>
      </c>
      <c r="IH11" s="24" t="s">
        <v>1249</v>
      </c>
      <c r="II11" s="24" t="s">
        <v>1250</v>
      </c>
      <c r="IJ11" s="24" t="s">
        <v>1251</v>
      </c>
      <c r="IK11" s="255" t="s">
        <v>1257</v>
      </c>
      <c r="IL11" s="24" t="s">
        <v>1562</v>
      </c>
      <c r="IM11" s="24" t="s">
        <v>1258</v>
      </c>
      <c r="IN11" s="24" t="s">
        <v>1481</v>
      </c>
      <c r="IO11" s="24" t="s">
        <v>1482</v>
      </c>
      <c r="IP11" s="24" t="s">
        <v>1259</v>
      </c>
      <c r="IQ11" s="24" t="s">
        <v>1260</v>
      </c>
      <c r="IR11" s="24" t="s">
        <v>1261</v>
      </c>
      <c r="IS11" s="24" t="s">
        <v>1262</v>
      </c>
      <c r="IT11" s="24" t="s">
        <v>1263</v>
      </c>
      <c r="IU11" s="24" t="s">
        <v>1264</v>
      </c>
      <c r="IV11" s="24" t="s">
        <v>1265</v>
      </c>
      <c r="IW11" s="24" t="s">
        <v>1266</v>
      </c>
      <c r="IX11" s="255" t="s">
        <v>1267</v>
      </c>
      <c r="IY11" s="24" t="s">
        <v>1563</v>
      </c>
      <c r="IZ11" s="24" t="s">
        <v>1268</v>
      </c>
      <c r="JA11" s="24" t="s">
        <v>1483</v>
      </c>
      <c r="JB11" s="24" t="s">
        <v>1484</v>
      </c>
      <c r="JC11" s="24" t="s">
        <v>1269</v>
      </c>
      <c r="JD11" s="24" t="s">
        <v>1270</v>
      </c>
      <c r="JE11" s="24" t="s">
        <v>1271</v>
      </c>
      <c r="JF11" s="24" t="s">
        <v>1272</v>
      </c>
      <c r="JG11" s="24" t="s">
        <v>1273</v>
      </c>
      <c r="JH11" s="24" t="s">
        <v>1274</v>
      </c>
      <c r="JI11" s="24" t="s">
        <v>1275</v>
      </c>
      <c r="JJ11" s="258" t="s">
        <v>1276</v>
      </c>
      <c r="JK11" s="259" t="s">
        <v>1371</v>
      </c>
      <c r="JL11" s="24" t="s">
        <v>1372</v>
      </c>
      <c r="JM11" s="24" t="s">
        <v>1373</v>
      </c>
      <c r="JN11" s="24" t="s">
        <v>1374</v>
      </c>
      <c r="JO11" s="24" t="s">
        <v>1375</v>
      </c>
      <c r="JP11" s="24" t="s">
        <v>1376</v>
      </c>
      <c r="JQ11" s="24" t="s">
        <v>1377</v>
      </c>
      <c r="JR11" s="24" t="s">
        <v>1378</v>
      </c>
      <c r="JS11" s="24" t="s">
        <v>1379</v>
      </c>
      <c r="JT11" s="24" t="s">
        <v>1380</v>
      </c>
      <c r="JU11" s="255" t="s">
        <v>1381</v>
      </c>
      <c r="JV11" s="24" t="s">
        <v>1382</v>
      </c>
      <c r="JW11" s="24" t="s">
        <v>1383</v>
      </c>
      <c r="JX11" s="24" t="s">
        <v>1384</v>
      </c>
      <c r="JY11" s="24" t="s">
        <v>1385</v>
      </c>
      <c r="JZ11" s="24" t="s">
        <v>1386</v>
      </c>
      <c r="KA11" s="24" t="s">
        <v>1387</v>
      </c>
      <c r="KB11" s="24" t="s">
        <v>1388</v>
      </c>
      <c r="KC11" s="24" t="s">
        <v>1389</v>
      </c>
      <c r="KD11" s="24" t="s">
        <v>1390</v>
      </c>
      <c r="KE11" s="24" t="s">
        <v>1391</v>
      </c>
      <c r="KF11" s="24" t="s">
        <v>1392</v>
      </c>
      <c r="KG11" s="24" t="s">
        <v>1393</v>
      </c>
      <c r="KH11" s="24" t="s">
        <v>1394</v>
      </c>
      <c r="KI11" s="24" t="s">
        <v>1395</v>
      </c>
      <c r="KJ11" s="24" t="s">
        <v>1396</v>
      </c>
      <c r="KK11" s="24" t="s">
        <v>1397</v>
      </c>
      <c r="KL11" s="24" t="s">
        <v>1398</v>
      </c>
      <c r="KM11" s="24" t="s">
        <v>1399</v>
      </c>
      <c r="KN11" s="24" t="s">
        <v>1400</v>
      </c>
    </row>
    <row r="12" spans="1:300" x14ac:dyDescent="0.2">
      <c r="B12" s="16"/>
      <c r="C12" s="2" t="s">
        <v>82</v>
      </c>
      <c r="D12" s="12" t="str">
        <f>INDEX(Tbl_BaselineSummary[Equipment ID],MATCH(Tbl_MeasureList[[#This Row],[Baseline ID]],Tbl_BaselineSummary[Baseline ID],0))</f>
        <v>EQUI001</v>
      </c>
      <c r="E12" s="11" t="str">
        <f>INDEX(Tbl_EquipmentDefinitions[Equipment Name],MATCH('Measure List'!$D12,Tbl_EquipmentDefinitions[Equipment ID],0))</f>
        <v>Baseline A/C Blend+Oil Furnace</v>
      </c>
      <c r="F12" s="3" t="s">
        <v>227</v>
      </c>
      <c r="G12" s="11" t="str">
        <f>INDEX(Tbl_EquipmentDefinitions[Function],MATCH('Measure List'!$D12,Tbl_EquipmentDefinitions[Equipment ID],0))</f>
        <v>Cool+Heat</v>
      </c>
      <c r="H12" s="3" t="s">
        <v>111</v>
      </c>
      <c r="I12" s="3" t="s">
        <v>11</v>
      </c>
      <c r="J12" s="11" t="str">
        <f>INDEX(Tbl_EquipmentDefinitions[Equipment Name],MATCH('Measure List'!$I12,Tbl_EquipmentDefinitions[Equipment ID],0))</f>
        <v>Central HP+Oil Furnace</v>
      </c>
      <c r="K12" s="11">
        <f>INDEX(Tbl_EquipmentDefinitions[],MATCH(Tbl_MeasureList[[#This Row],[Replacement ID]],Tbl_EquipmentDefinitions[[Equipment ID]:[Equipment ID]],0),MATCH(Tbl_MeasureList[[#Headers],[New Unit Equipment Life (years)]],Tbl_EquipmentDefinitions[#Headers],0))</f>
        <v>17</v>
      </c>
      <c r="L12" s="11">
        <f>INDEX(Tbl_EquipmentDefinitions[],MATCH(Tbl_MeasureList[[#This Row],[Baseline Equipment ID]],Tbl_EquipmentDefinitions[[Equipment ID]:[Equipment ID]],0),MATCH(Tbl_MeasureList[[#Headers],[Remaining Life for Early Replacement (years)]],Tbl_EquipmentDefinitions[#Headers],0))</f>
        <v>6</v>
      </c>
      <c r="M12" s="12" t="str">
        <f>INDEX(Tbl_EquipmentDefinitions[Function],MATCH('Measure List'!$I12,Tbl_EquipmentDefinitions[Equipment ID],0))</f>
        <v>Cool+Heat</v>
      </c>
      <c r="N12" s="368" t="s">
        <v>750</v>
      </c>
      <c r="O12" s="14" t="str">
        <f t="shared" ref="O12:O40" si="0">IF(G12=M12,"OK","Different")</f>
        <v>OK</v>
      </c>
      <c r="P12" s="12" t="str">
        <f ca="1">IFERROR(INDIRECT(Tbl_MeasureList[[#This Row],[Measure ID]]&amp;"!D5"),"No tab")</f>
        <v>3. Ready</v>
      </c>
      <c r="Q12" s="11"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Electric</v>
      </c>
      <c r="R12" s="12"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Oil</v>
      </c>
      <c r="S12" s="11"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Electric</v>
      </c>
      <c r="T12" s="247"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Oil</v>
      </c>
      <c r="U12" s="274">
        <f>INDEX(Tbl_BaselineSummary[Baseline Annual Energy Cost (USD)],MATCH(Tbl_MeasureList[[#This Row],[Baseline ID]],Tbl_BaselineSummary[Baseline ID],0))</f>
        <v>2298.9448826231851</v>
      </c>
      <c r="V12" s="262">
        <f>INDEX(Tbl_BaselineSummary[Baseline Electric Annual Consumption  (kWh)],MATCH(Tbl_MeasureList[[#This Row],[Baseline ID]],Tbl_BaselineSummary[Baseline ID],0))</f>
        <v>1778.7062400000002</v>
      </c>
      <c r="W12" s="262">
        <f>INDEX(Tbl_BaselineSummary[Baseline Electric Winter Consumption (kWh)],MATCH(Tbl_MeasureList[[#This Row],[Baseline ID]],Tbl_BaselineSummary[Baseline ID],0))</f>
        <v>374.55</v>
      </c>
      <c r="X12" s="262">
        <f>INDEX(Tbl_BaselineSummary[Baseline Electric Summer Consumption (kWh)],MATCH(Tbl_MeasureList[[#This Row],[Baseline ID]],Tbl_BaselineSummary[Baseline ID],0))</f>
        <v>1404.1562400000003</v>
      </c>
      <c r="Y12" s="275">
        <f>INDEX(Tbl_BaselineSummary[Baseline Electric Baseline Winter Peak Demand (kW)],MATCH(Tbl_MeasureList[[#This Row],[Baseline ID]],Tbl_BaselineSummary[Baseline ID],0))</f>
        <v>5.7457334611697032E-2</v>
      </c>
      <c r="Z12" s="451">
        <f>INDEX(Tbl_BaselineSummary[Baseline Electric Baseline Summer Peak Demand (kW)],MATCH(Tbl_MeasureList[[#This Row],[Baseline ID]],Tbl_BaselineSummary[Baseline ID],0))</f>
        <v>1.8917929411764707</v>
      </c>
      <c r="AA12" s="457">
        <f>INDEX(Tbl_BaselineSummary[Baseline Natural Gas Annual Consumption  (therms)],MATCH(Tbl_MeasureList[[#This Row],[Baseline ID]],Tbl_BaselineSummary[Baseline ID],0))</f>
        <v>0</v>
      </c>
      <c r="AB12" s="454">
        <f>INDEX(Tbl_BaselineSummary[Baseline Propane Annual Consumption  (MMBtu)],MATCH(Tbl_MeasureList[[#This Row],[Baseline ID]],Tbl_BaselineSummary[Baseline ID],0))</f>
        <v>0</v>
      </c>
      <c r="AC12" s="277">
        <f>INDEX(Tbl_BaselineSummary[Baseline Oil Annual Consumption  (MMBtu)],MATCH(Tbl_MeasureList[[#This Row],[Baseline ID]],Tbl_BaselineSummary[Baseline ID],0))</f>
        <v>86.692015209125472</v>
      </c>
      <c r="AD12" s="435">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92.760960900005472</v>
      </c>
      <c r="AE12" s="460">
        <f>(lbCO2_per_Therm_Gas*Tbl_MeasureList[[#This Row],[Baseline Natural Gas Annual Consumption (therms/yr)]]+lbCO2_per_MMBtu_Prop*Tbl_MeasureList[[#This Row],[Baseline Propane Annual Consumption (MMBtu/yr)]]+lbCO2_per_MMBtu_Oil*Tbl_MeasureList[[#This Row],[Baseline Oil Annual Consumption (MMBtu/yr)]])*Lbs_per_ShortTon</f>
        <v>6.9917110266159703</v>
      </c>
      <c r="AF12" s="462">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7.6198789223343706</v>
      </c>
      <c r="AG12" s="465">
        <f>INDEX(Tbl_BaselineSummary[Code Annual Energy Cost (USD)],MATCH(Tbl_MeasureList[[#This Row],[Baseline ID]],Tbl_BaselineSummary[Baseline ID],0))</f>
        <v>2144.1586439743196</v>
      </c>
      <c r="AH12" s="468">
        <f>INDEX(Tbl_BaselineSummary[Deferred Replacement Credit (USD)],MATCH(Tbl_MeasureList[[#This Row],[Baseline ID]],Tbl_BaselineSummary[Baseline ID],0))</f>
        <v>5595.8202308573791</v>
      </c>
      <c r="AI12" s="201">
        <f>INDEX(Tbl_BaselineSummary[A/C-only Deferred Replacement Credit (USD)],MATCH(Tbl_MeasureList[[#This Row],[Baseline ID]],Tbl_BaselineSummary[Baseline ID],0))</f>
        <v>2736.686075169398</v>
      </c>
      <c r="AJ12" s="468">
        <f>INDEX(Tbl_BaselineSummary[Code Installed Costs (USD)],MATCH(Tbl_MeasureList[[#This Row],[Baseline ID]],Tbl_BaselineSummary[Baseline ID],0))</f>
        <v>9183.0691999999999</v>
      </c>
      <c r="AK12" s="201">
        <f>INDEX(Tbl_BaselineSummary[Code A/C-only Installed Cost (USD)],MATCH(Tbl_MeasureList[[#This Row],[Baseline ID]],Tbl_BaselineSummary[Baseline ID],0))</f>
        <v>4084.0691999999995</v>
      </c>
      <c r="AL12" s="86">
        <f>INDEX(Tbl_BaselineSummary[Code Electric Annual Consumption (kWh)],MATCH(Tbl_MeasureList[[#This Row],[Baseline ID]],Tbl_BaselineSummary[Baseline ID],0))</f>
        <v>1482.4304000000002</v>
      </c>
      <c r="AM12" s="86">
        <f>INDEX(Tbl_BaselineSummary[Code Electric Winter Consumption (kWh)],MATCH(Tbl_MeasureList[[#This Row],[Baseline ID]],Tbl_BaselineSummary[Baseline ID],0))</f>
        <v>372.5</v>
      </c>
      <c r="AN12" s="86">
        <f>INDEX(Tbl_BaselineSummary[Code Electric Summer Consumption (kWh)],MATCH(Tbl_MeasureList[[#This Row],[Baseline ID]],Tbl_BaselineSummary[Baseline ID],0))</f>
        <v>1109.9304000000002</v>
      </c>
      <c r="AO12" s="152">
        <f>INDEX(Tbl_BaselineSummary[Code Electric Winter Peak Demand (kW)],MATCH(Tbl_MeasureList[[#This Row],[Baseline ID]],Tbl_BaselineSummary[Baseline ID],0))</f>
        <v>5.7142857142857141E-2</v>
      </c>
      <c r="AP12" s="470">
        <f>INDEX(Tbl_BaselineSummary[Code Electric Summer Peak Demand (kW)],MATCH(Tbl_MeasureList[[#This Row],[Baseline ID]],Tbl_BaselineSummary[Baseline ID],0))</f>
        <v>1.4967665454545458</v>
      </c>
      <c r="AQ12" s="467">
        <f>INDEX(Tbl_BaselineSummary[Code Natural Gas Annual Consumption (therms)],MATCH(Tbl_MeasureList[[#This Row],[Baseline ID]],Tbl_BaselineSummary[Baseline ID],0))</f>
        <v>0</v>
      </c>
      <c r="AR12" s="472">
        <f>INDEX(Tbl_BaselineSummary[Code Propane Annual Consumption (MMBtu)],MATCH(Tbl_MeasureList[[#This Row],[Baseline ID]],Tbl_BaselineSummary[Baseline ID],0))</f>
        <v>0</v>
      </c>
      <c r="AS12" s="467">
        <f>INDEX(Tbl_BaselineSummary[Code Oil Annual Consumption (MMBtu)],MATCH(Tbl_MeasureList[[#This Row],[Baseline ID]],Tbl_BaselineSummary[Baseline ID],0))</f>
        <v>82.409638554216883</v>
      </c>
      <c r="AT12" s="204">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87.467691079016888</v>
      </c>
      <c r="AU12" s="467">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6.6463373493975926</v>
      </c>
      <c r="AV12" s="474">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7.1698724694615921</v>
      </c>
      <c r="AW12" s="274">
        <f ca="1">INDIRECT(Tbl_MeasureList[[#This Row],[Measure ID]]&amp;"!L26")</f>
        <v>2030.452432206692</v>
      </c>
      <c r="AX12" s="476">
        <f ca="1">INDIRECT(Tbl_MeasureList[[#This Row],[Measure ID]]&amp;"!M26")</f>
        <v>11242.5</v>
      </c>
      <c r="AY12" s="480">
        <f ca="1">INDIRECT(Tbl_MeasureList[[#This Row],[Measure ID]]&amp;"!D26")</f>
        <v>5987.1321677142405</v>
      </c>
      <c r="AZ12" s="480">
        <f ca="1">INDIRECT(Tbl_MeasureList[[#This Row],[Measure ID]]&amp;"!J26")</f>
        <v>5053.3607391428122</v>
      </c>
      <c r="BA12" s="480">
        <f ca="1">INDIRECT(Tbl_MeasureList[[#This Row],[Measure ID]]&amp;"!I26")</f>
        <v>933.7714285714286</v>
      </c>
      <c r="BB12" s="478">
        <f ca="1">INDIRECT(Tbl_MeasureList[[#This Row],[Measure ID]]&amp;"!E26")</f>
        <v>1.1341463414634148</v>
      </c>
      <c r="BC12" s="263">
        <f ca="1">INDIRECT(Tbl_MeasureList[[#This Row],[Measure ID]]&amp;"!H26")</f>
        <v>1.2820512820512822</v>
      </c>
      <c r="BD12" s="266">
        <f ca="1">INDIRECT(Tbl_MeasureList[[#This Row],[Measure ID]]&amp;"!D32")</f>
        <v>0</v>
      </c>
      <c r="BE12" s="265">
        <f ca="1">INDIRECT(Tbl_MeasureList[[#This Row],[Measure ID]]&amp;"!D38")</f>
        <v>0</v>
      </c>
      <c r="BF12" s="266">
        <f ca="1">INDIRECT(Tbl_MeasureList[[#This Row],[Measure ID]]&amp;"!D44")</f>
        <v>37.67549198954643</v>
      </c>
      <c r="BG12" s="483">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58.10358694578742</v>
      </c>
      <c r="BH12" s="372">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3.0385284289569201</v>
      </c>
      <c r="BI12" s="271">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5.1529440253068808</v>
      </c>
      <c r="BJ12" s="273">
        <f ca="1">INDIRECT(Tbl_MeasureList[[#This Row],[Measure ID]]&amp;"!L27")</f>
        <v>1973.0992953467439</v>
      </c>
      <c r="BK12" s="201">
        <f ca="1">INDIRECT(Tbl_MeasureList[[#This Row],[Measure ID]]&amp;"!M27")</f>
        <v>12112.5</v>
      </c>
      <c r="BL12" s="85">
        <f ca="1">INDIRECT(Tbl_MeasureList[[#This Row],[Measure ID]]&amp;"!D27")</f>
        <v>5697.1769763090433</v>
      </c>
      <c r="BM12" s="85">
        <f ca="1">INDIRECT(Tbl_MeasureList[[#This Row],[Measure ID]]&amp;"!J27")</f>
        <v>4880.1269763090431</v>
      </c>
      <c r="BN12" s="85">
        <f ca="1">INDIRECT(Tbl_MeasureList[[#This Row],[Measure ID]]&amp;"!I27")</f>
        <v>817.05000000000007</v>
      </c>
      <c r="BO12" s="152">
        <f ca="1">INDIRECT(Tbl_MeasureList[[#This Row],[Measure ID]]&amp;"!E27")</f>
        <v>1.0941176470588236</v>
      </c>
      <c r="BP12" s="470">
        <f ca="1">INDIRECT(Tbl_MeasureList[[#This Row],[Measure ID]]&amp;"!H27")</f>
        <v>1.2820512820512822</v>
      </c>
      <c r="BQ12" s="467">
        <f ca="1">INDIRECT(Tbl_MeasureList[[#This Row],[Measure ID]]&amp;"!D33")</f>
        <v>0</v>
      </c>
      <c r="BR12" s="472">
        <f ca="1">INDIRECT(Tbl_MeasureList[[#This Row],[Measure ID]]&amp;"!D39")</f>
        <v>0</v>
      </c>
      <c r="BS12" s="467">
        <f ca="1">INDIRECT(Tbl_MeasureList[[#This Row],[Measure ID]]&amp;"!D45")</f>
        <v>37.67549198954643</v>
      </c>
      <c r="BT12" s="204">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57.114259832712889</v>
      </c>
      <c r="BU12" s="467">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3.0385284289569201</v>
      </c>
      <c r="BV12" s="260">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5.0505434499102213</v>
      </c>
      <c r="BW12" s="27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1847.8242765403386</v>
      </c>
      <c r="BX12" s="26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12982.5</v>
      </c>
      <c r="BY12" s="48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5063.8351218782782</v>
      </c>
      <c r="BZ12" s="48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4337.5684552116118</v>
      </c>
      <c r="CA12" s="48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726.26666666666677</v>
      </c>
      <c r="CB12" s="26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1.6875000000000004</v>
      </c>
      <c r="CC12" s="26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1.2820512820512822</v>
      </c>
      <c r="CD12" s="26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0</v>
      </c>
      <c r="CE12" s="26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0</v>
      </c>
      <c r="CF12" s="26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37.67549198954643</v>
      </c>
      <c r="CG12" s="483">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54.953297425395114</v>
      </c>
      <c r="CH12" s="37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3.0385284289569201</v>
      </c>
      <c r="CI12" s="32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4.8268724405994528</v>
      </c>
      <c r="CJ12" s="320">
        <f ca="1">-Tbl_MeasureList[[#This Row],[Low Measure Energy Cost (USD/yr)]]+Tbl_MeasureList[[#This Row],[Baseline Energy Cost (USD/yr)]]</f>
        <v>325.84558727644117</v>
      </c>
      <c r="CK12"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9375.8139248306015</v>
      </c>
      <c r="CL12" s="249">
        <f ca="1">-Tbl_MeasureList[[#This Row],[Low Measure Electric Annual Consumption (kWh/yr)]]+Tbl_MeasureList[[#This Row],[Baseline Electric Annual Consumption (kWh/yr)]]</f>
        <v>-3918.4707363090429</v>
      </c>
      <c r="CM12" s="249">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-4505.5769763090429</v>
      </c>
      <c r="CN12" s="249">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587.10624000000018</v>
      </c>
      <c r="CO12" s="268">
        <f ca="1">-Tbl_MeasureList[[#This Row],[Low Measure Electric Winter Peak Demand (kW)]]+Tbl_MeasureList[[#This Row],[Baseline Electric Winter Peak Demand (kW)]]</f>
        <v>-1.0366603124471265</v>
      </c>
      <c r="CP12" s="479">
        <f ca="1">-Tbl_MeasureList[[#This Row],[Low Measure Electric Summer Peak Demand (kW)]]+Tbl_MeasureList[[#This Row],[Baseline Electric Summer Peak Demand (kW)]]</f>
        <v>0.60974165912518852</v>
      </c>
      <c r="CQ12" s="481">
        <f ca="1">-Tbl_MeasureList[[#This Row],[Low Measure Natural Gas Annual Consumption (therms/yr)]]+Tbl_MeasureList[[#This Row],[Baseline Natural Gas Annual Consumption (therms/yr)]]</f>
        <v>0</v>
      </c>
      <c r="CR12" s="490">
        <f ca="1">-Tbl_MeasureList[[#This Row],[Low Measure Propane Annual Consumption (MMBtu/yr)]]+Tbl_MeasureList[[#This Row],[Baseline Propane Annual Consumption (MMBtu/yr)]]</f>
        <v>0</v>
      </c>
      <c r="CS12" s="252">
        <f ca="1">-Tbl_MeasureList[[#This Row],[Low Measure Oil Annual Consumption (MMBtu/yr)]]+Tbl_MeasureList[[#This Row],[Baseline Oil Annual Consumption (MMBtu/yr)]]</f>
        <v>49.016523219579042</v>
      </c>
      <c r="CT12"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35.646701067292589</v>
      </c>
      <c r="CU12" s="487">
        <f ca="1">-Tbl_MeasureList[[#This Row],[Low Measure Carbon Emissions, Site (tons CO2/yr)]]+Tbl_MeasureList[[#This Row],[Baseline Carbon Emissions, Site (tons CO2/yr)]]</f>
        <v>3.9531825976590502</v>
      </c>
      <c r="CV12" s="491">
        <f ca="1">-Tbl_MeasureList[[#This Row],[Low Measure Carbon Emissions, Source (tons CO2/yr)]]+Tbl_MeasureList[[#This Row],[Baseline Carbon Emissions, Source (tons CO2/yr)]]</f>
        <v>2.5693354724241493</v>
      </c>
      <c r="CW12" s="48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451.12060608284651</v>
      </c>
      <c r="CX12" s="47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10245.813924830602</v>
      </c>
      <c r="CY12" s="48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-3285.1288818782778</v>
      </c>
      <c r="CZ12" s="48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-3963.0184552116116</v>
      </c>
      <c r="DA12" s="48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677.88957333333349</v>
      </c>
      <c r="DB12" s="47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-1.6300426653883033</v>
      </c>
      <c r="DC12" s="26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0.60974165912518852</v>
      </c>
      <c r="DD12" s="26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0</v>
      </c>
      <c r="DE12" s="26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0</v>
      </c>
      <c r="DF12" s="26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49.016523219579042</v>
      </c>
      <c r="DG12" s="265">
        <f ca="1">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37.807663474610358</v>
      </c>
      <c r="DH12" s="38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3.9531825976590502</v>
      </c>
      <c r="DI12" s="32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2.7930064817349178</v>
      </c>
      <c r="DJ12" s="320">
        <f ca="1">-Tbl_MeasureList[[#This Row],[Low Measure Energy Cost (USD/yr)]]+Tbl_MeasureList[[#This Row],[Code (old fuel) Energy Cost (USD/yr)]]</f>
        <v>171.05934862757567</v>
      </c>
      <c r="DK12" s="267">
        <f ca="1">Tbl_MeasureList[[#This Row],[Low Measure Installed Costs (USD)]]-Tbl_MeasureList[[#This Row],[Code (old fuel) Installed Costs (USD)]]</f>
        <v>2929.4308000000001</v>
      </c>
      <c r="DL12" s="249">
        <f ca="1">-Tbl_MeasureList[[#This Row],[Low Measure Electric Annual Consumption (kWh/yr)]]+Tbl_MeasureList[[#This Row],[Code (old fuel) Electric Annual Consumption (kWh/yr)]]</f>
        <v>-4214.7465763090431</v>
      </c>
      <c r="DM12" s="249">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-4507.6269763090431</v>
      </c>
      <c r="DN12" s="249">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292.88040000000012</v>
      </c>
      <c r="DO12" s="268">
        <f ca="1">-Tbl_MeasureList[[#This Row],[Low Measure Electric Winter Peak Demand (kW)]]+Tbl_MeasureList[[#This Row],[Code (old fuel) Electric Winter Peak Demand (kW)]]</f>
        <v>-1.0369747899159665</v>
      </c>
      <c r="DP12" s="479">
        <f ca="1">-Tbl_MeasureList[[#This Row],[Low Measure Electric Summer Peak Demand (kW)]]+Tbl_MeasureList[[#This Row],[Code (old fuel) Electric Summer Peak Demand (kW)]]</f>
        <v>0.21471526340326363</v>
      </c>
      <c r="DQ12" s="481">
        <f ca="1">-Tbl_MeasureList[[#This Row],[Low Measure Natural Gas Annual Consumption (therms/yr)]]+Tbl_MeasureList[[#This Row],[Code (old fuel) Natural Gas Annual Consumption (therms/yr)]]</f>
        <v>0</v>
      </c>
      <c r="DR12" s="490">
        <f ca="1">-Tbl_MeasureList[[#This Row],[Low Measure Propane Annual Consumption (MMBtu/yr)]]+Tbl_MeasureList[[#This Row],[Code (old fuel) Propane Annual Consumption (MMBtu/yr)]]</f>
        <v>0</v>
      </c>
      <c r="DS12" s="252">
        <f ca="1">-Tbl_MeasureList[[#This Row],[Low Measure Oil Annual Consumption (MMBtu/yr)]]+Tbl_MeasureList[[#This Row],[Code (old fuel) Oil Annual Consumption (MMBtu/yr)]]</f>
        <v>44.734146564670453</v>
      </c>
      <c r="DT12"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30.353431246303998</v>
      </c>
      <c r="DU12" s="487">
        <f ca="1">-Tbl_MeasureList[[#This Row],[Low Measure Carbon Emissions, Site (tons CO2/yr)]]+Tbl_MeasureList[[#This Row],[Code (old fuel) Carbon Emissions, Site (tons CO2/yr)]]</f>
        <v>3.6078089204406725</v>
      </c>
      <c r="DV12" s="491">
        <f ca="1">-Tbl_MeasureList[[#This Row],[Low Measure Carbon Emissions, Source (tons CO2/yr)]]+Tbl_MeasureList[[#This Row],[Code (old fuel) Carbon Emissions, Source (tons CO2/yr)]]</f>
        <v>2.1193290195513708</v>
      </c>
      <c r="DW12" s="48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(old fuel) Energy Cost (USD/yr)]],
        "-")</f>
        <v>296.33436743398101</v>
      </c>
      <c r="DX12" s="47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3799.4308000000001</v>
      </c>
      <c r="DY12" s="48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-3581.404721878278</v>
      </c>
      <c r="DZ12" s="48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-3965.0684552116118</v>
      </c>
      <c r="EA12" s="48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383.66373333333343</v>
      </c>
      <c r="EB12" s="47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-1.6303571428571433</v>
      </c>
      <c r="EC12" s="26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0.21471526340326363</v>
      </c>
      <c r="ED12" s="26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0</v>
      </c>
      <c r="EE12" s="26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0</v>
      </c>
      <c r="EF12" s="26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44.734146564670453</v>
      </c>
      <c r="EG12" s="265">
        <f ca="1">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32.514393653621767</v>
      </c>
      <c r="EH12" s="38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3.6078089204406725</v>
      </c>
      <c r="EI12" s="31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2.3430000288621393</v>
      </c>
      <c r="EJ12" s="477">
        <f ca="1">Tbl_MeasureList[[#This Row],[Code (old fuel) Energy Cost (USD/yr)]]-Tbl_MeasureList[[#This Row],[Code (new fuel) Energy Cost (USD/yr)]]</f>
        <v>113.70621176762756</v>
      </c>
      <c r="EK12" s="495">
        <f ca="1">Tbl_MeasureList[[#This Row],[Code (old fuel) Electric Annual Consumption (kWh/yr)]]-Tbl_MeasureList[[#This Row],[Code (new fuel) Electric Annual Consumption (kWh/yr)]]</f>
        <v>-4504.7017677142403</v>
      </c>
      <c r="EL12" s="495">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-4680.8607391428122</v>
      </c>
      <c r="EM12" s="495">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176.15897142857159</v>
      </c>
      <c r="EN12" s="499">
        <f ca="1">Tbl_MeasureList[[#This Row],[Code (old fuel) Electric Winter Peak Demand (kW)]]-Tbl_MeasureList[[#This Row],[Code (new fuel) Electric Winter Peak Demand (kW)]]</f>
        <v>-1.0770034843205576</v>
      </c>
      <c r="EO12" s="492">
        <f ca="1">Tbl_MeasureList[[#This Row],[Code (old fuel) Electric Summer Peak Demand (kW)]]-Tbl_MeasureList[[#This Row],[Code (new fuel) Electric Summer Peak Demand (kW)]]</f>
        <v>0.21471526340326363</v>
      </c>
      <c r="EP12" s="501">
        <f ca="1">Tbl_MeasureList[[#This Row],[Code (old fuel) Natural Gas Annual Consumption (therms/yr)]]-Tbl_MeasureList[[#This Row],[Code (new fuel) Natural Gas Annual Consumption (therms/yr)]]</f>
        <v>0</v>
      </c>
      <c r="EQ12" s="494">
        <f ca="1">Tbl_MeasureList[[#This Row],[Code (old fuel) Propane Annual Consumption (MMBtu/yr)]]-Tbl_MeasureList[[#This Row],[Code (new fuel) Propane Annual Consumption (MMBtu/yr)]]</f>
        <v>0</v>
      </c>
      <c r="ER12" s="501">
        <f ca="1">Tbl_MeasureList[[#This Row],[Code (old fuel) Oil Annual Consumption (MMBtu/yr)]]-Tbl_MeasureList[[#This Row],[Code (new fuel) Oil Annual Consumption (MMBtu/yr)]]</f>
        <v>44.734146564670453</v>
      </c>
      <c r="ES12" s="494">
        <f ca="1">Tbl_MeasureList[[#This Row],[Code (old fuel) Energy Consumption on MMBtu Basis (MMBtu/yr)]]-Tbl_MeasureList[[#This Row],[Code (new fuel) Energy Consumption on MMBtu Basis (MMBtu/yr)]]</f>
        <v>29.364104133229468</v>
      </c>
      <c r="ET12" s="501">
        <f ca="1">Tbl_MeasureList[[#This Row],[Code (old fuel) Carbon Emissions, Site (tons CO2/yr)]]-Tbl_MeasureList[[#This Row],[Code (new fuel) Carbon Emissions, Site (tons CO2/yr)]]</f>
        <v>3.6078089204406725</v>
      </c>
      <c r="EU12" s="497">
        <f ca="1">Tbl_MeasureList[[#This Row],[Code (old fuel) Carbon Emissions, Source (tons CO2/yr)]]-Tbl_MeasureList[[#This Row],[Code (new fuel) Carbon Emissions, Source (tons CO2/yr)]]</f>
        <v>2.0169284441547113</v>
      </c>
      <c r="EV12" s="449">
        <f ca="1">Tbl_MeasureList[[#This Row],[ER Total Low Measure Electric Annual Consumption Savings (kWh/yr)]]*COAL_BTU_PER_SITE_KWH/Btu_per_MMBtu</f>
        <v>-0.43131725766459889</v>
      </c>
      <c r="EW12" s="325">
        <f ca="1">Tbl_MeasureList[[#This Row],[ER Total Low Measure Electric Annual Consumption Savings (kWh/yr)]]*COAL_LBS_PER_SITE_KWH</f>
        <v>-37.8348471635613</v>
      </c>
      <c r="EX12" s="326">
        <f ca="1">Tbl_MeasureList[[#This Row],[ER Total Low Measure Electric Annual Consumption Savings (kWh/yr)]]*OIL_BTU_PER_SITE_KWH/Btu_per_MMBtu</f>
        <v>-0.49652999559580807</v>
      </c>
      <c r="EY12" s="325">
        <f ca="1">Tbl_MeasureList[[#This Row],[ER Total Low Measure Electric Annual Consumption Savings (kWh/yr)]]*OIL_GAL_PER_SITE_KWH</f>
        <v>-3.5994780209199901</v>
      </c>
      <c r="EZ12" s="326">
        <f ca="1">Tbl_MeasureList[[#This Row],[ER Total Low Measure Oil Annual Consumption Savings (MMBtu/yr)]]*Btu_per_MMBtu/OIL_BTU_PER_GAL</f>
        <v>355.33381579309901</v>
      </c>
      <c r="FA12" s="325">
        <f ca="1">Tbl_MeasureList[[#This Row],[Current ER Total Low Measure Oil Source Fuel Savings (gallons oil/year)]]+Tbl_MeasureList[[#This Row],[Current ER Total Low Measure Oil Site Fuel Savings (gallons oil/year)]]</f>
        <v>351.734337772179</v>
      </c>
      <c r="FB12" s="326">
        <f ca="1">Tbl_MeasureList[[#This Row],[ER Total Low Measure Electric Annual Consumption Savings (kWh/yr)]]*GAS_BTU_PER_SITE_KWH/Btu_per_MMBtu</f>
        <v>-16.03489505217189</v>
      </c>
      <c r="FC12" s="327">
        <f ca="1">Tbl_MeasureList[[#This Row],[ER Total Low Measure Electric Annual Consumption Savings (kWh/yr)]]*GAS_CUFT_PER_SITE_KWH/1000</f>
        <v>-15.582988388893966</v>
      </c>
      <c r="FD12" s="328">
        <f ca="1">Tbl_MeasureList[[#This Row],[ER Total Low Measure Natural Gas Annual Consumption Savings (therms/yr)]]*Btu_per_MMBtu/(GAS_BTU_PER_CUFT*Therm_per_MMBtu*1000)</f>
        <v>0</v>
      </c>
      <c r="FE12" s="329">
        <f ca="1">Tbl_MeasureList[[#This Row],[Current ER Total Low Measure Gas Source Fuel Savings (1,000 cu.ft. gas/year)]]+Tbl_MeasureList[[#This Row],[Current ER Total Low Measure Gas Site Fuel Savings (1,000 cu.ft gas/year)]]</f>
        <v>-15.582988388893966</v>
      </c>
      <c r="FF12" s="324">
        <f ca="1">IFERROR(Tbl_MeasureList[[#This Row],[ER Total High Measure Electric Annual Consumption Savings (kWh/yr)]]*COAL_BTU_PER_SITE_KWH/Btu_per_MMBtu,"-")</f>
        <v>-0.36160351212452124</v>
      </c>
      <c r="FG12" s="325">
        <f ca="1">IFERROR(Tbl_MeasureList[[#This Row],[ER Total High Measure Electric Annual Consumption Savings (kWh/yr)]]*COAL_LBS_PER_SITE_KWH,"-")</f>
        <v>-31.719606326712388</v>
      </c>
      <c r="FH12" s="326">
        <f ca="1">IFERROR(Tbl_MeasureList[[#This Row],[ER Total High Measure Electric Annual Consumption Savings (kWh/yr)]]*OIL_BTU_PER_SITE_KWH/Btu_per_MMBtu,"-")</f>
        <v>-0.4162759247213722</v>
      </c>
      <c r="FI12" s="325">
        <f ca="1">IFERROR(Tbl_MeasureList[[#This Row],[ER Total High Measure Electric Annual Consumption Savings (kWh/yr)]]*OIL_GAL_PER_SITE_KWH,"-")</f>
        <v>-3.0176949126200459</v>
      </c>
      <c r="FJ12" s="326">
        <f ca="1">IFERROR(Tbl_MeasureList[[#This Row],[ER Total High Measure Oil Annual Consumption Savings (MMBtu/yr)]]*Btu_per_MMBtu/OIL_BTU_PER_GAL,"-")</f>
        <v>355.33381579309901</v>
      </c>
      <c r="FK12" s="325">
        <f ca="1">IFERROR(Tbl_MeasureList[[#This Row],[Current ER Total High Measure Oil Source Fuel Savings (gallons oil/year)]]+Tbl_MeasureList[[#This Row],[Current ER Total High Measure Oil Site Fuel Savings (gallons oil/year)]],"-")</f>
        <v>352.31612088047893</v>
      </c>
      <c r="FL12" s="326">
        <f ca="1">IFERROR(Tbl_MeasureList[[#This Row],[ER Total High Measure Electric Annual Consumption Savings (kWh/yr)]]*GAS_BTU_PER_SITE_KWH/Btu_per_MMBtu,"-")</f>
        <v>-13.443177300181949</v>
      </c>
      <c r="FM12" s="327">
        <f ca="1">IFERROR(Tbl_MeasureList[[#This Row],[ER Total High Measure Electric Annual Consumption Savings (kWh/yr)]]*GAS_CUFT_PER_SITE_KWH/1000,"-")</f>
        <v>-13.064312245074779</v>
      </c>
      <c r="FN12" s="328">
        <f ca="1">IFERROR(Tbl_MeasureList[[#This Row],[ER Total High Measure Natural Gas Annual Consumption Savings (therms/yr)]]*Btu_per_MMBtu/(GAS_BTU_PER_CUFT*Therm_per_MMBtu*1000),"-")</f>
        <v>0</v>
      </c>
      <c r="FO12" s="329">
        <f ca="1">IFERROR(Tbl_MeasureList[[#This Row],[Current ER Total High Measure Gas Source Fuel Savings (1,000 cu.ft. gas/year)]]+Tbl_MeasureList[[#This Row],[Current ER Total High Measure Gas Site Fuel Savings (1,000 cu.ft gas/year)]],"-")</f>
        <v>-13.064312245074779</v>
      </c>
      <c r="FP12" s="46">
        <f ca="1">Tbl_MeasureList[[#This Row],[ROF Low Measure Electric Annual Consumption Savings (kWh/yr)]]*COAL_BTU_PER_SITE_KWH/Btu_per_MMBtu</f>
        <v>-0.46392918497516106</v>
      </c>
      <c r="FQ12" s="325">
        <f ca="1">Tbl_MeasureList[[#This Row],[ROF Low Measure Electric Annual Consumption Savings (kWh/yr)]]*COAL_LBS_PER_SITE_KWH</f>
        <v>-40.695542541680794</v>
      </c>
      <c r="FR12" s="46">
        <f ca="1">Tbl_MeasureList[[#This Row],[ROF Low Measure Electric Annual Consumption Savings (kWh/yr)]]*OIL_BTU_PER_SITE_KWH/Btu_per_MMBtu</f>
        <v>-0.53407266247531449</v>
      </c>
      <c r="FS12" s="325">
        <f ca="1">Tbl_MeasureList[[#This Row],[ROF Low Measure Electric Annual Consumption Savings (kWh/yr)]]*OIL_GAL_PER_SITE_KWH</f>
        <v>-3.8716347999225373</v>
      </c>
      <c r="FT12" s="46">
        <f ca="1">Tbl_MeasureList[[#This Row],[ROF Low Measure Oil Annual Consumption Savings (MMBtu/yr)]]*Btu_per_MMBtu/OIL_BTU_PER_GAL</f>
        <v>324.28972825887456</v>
      </c>
      <c r="FU12" s="325">
        <f ca="1">Tbl_MeasureList[[#This Row],[Current ROF Low Measure Oil Source Fuel Savings (gallons oil/year)]]+Tbl_MeasureList[[#This Row],[Current ROF Low Measure Oil Site Fuel Savings (gallons oil/year)]]</f>
        <v>320.418093458952</v>
      </c>
      <c r="FV12" s="46">
        <f ca="1">Tbl_MeasureList[[#This Row],[ROF Low Measure Electric Annual Consumption Savings (kWh/yr)]]*GAS_BTU_PER_SITE_KWH/Btu_per_MMBtu</f>
        <v>-17.247294562234071</v>
      </c>
      <c r="FW12" s="327">
        <f ca="1">Tbl_MeasureList[[#This Row],[ROF Low Measure Electric Annual Consumption Savings (kWh/yr)]]*GAS_CUFT_PER_SITE_KWH/1000</f>
        <v>-16.761219205280927</v>
      </c>
      <c r="FX12" s="412">
        <f ca="1">Tbl_MeasureList[[#This Row],[ROF Low Measure Natural Gas Annual Consumption Savings (therms/yr)]]*Btu_per_MMBtu/(GAS_BTU_PER_CUFT*Therm_per_MMBtu*1000)</f>
        <v>0</v>
      </c>
      <c r="FY12" s="327">
        <f ca="1">Tbl_MeasureList[[#This Row],[Current ROF Low Measure Gas Source Fuel Savings (1,000 cu.ft. gas/year)]]+Tbl_MeasureList[[#This Row],[Current ROF Low Measure Gas Site Fuel Savings (1,000 cu.ft gas/year)]]</f>
        <v>-16.761219205280927</v>
      </c>
      <c r="FZ12" s="413">
        <f ca="1">IFERROR(Tbl_MeasureList[[#This Row],[ROF High Measure Electric Annual Consumption Savings (kWh/yr)]]*COAL_BTU_PER_SITE_KWH/Btu_per_MMBtu,"-")</f>
        <v>-0.39421543943508341</v>
      </c>
      <c r="GA12" s="325">
        <f ca="1">IFERROR(Tbl_MeasureList[[#This Row],[ROF High Measure Electric Annual Consumption Savings (kWh/yr)]]*COAL_LBS_PER_SITE_KWH,"-")</f>
        <v>-34.580301704831882</v>
      </c>
      <c r="GB12" s="46">
        <f ca="1">IFERROR(Tbl_MeasureList[[#This Row],[ROF High Measure Electric Annual Consumption Savings (kWh/yr)]]*OIL_BTU_PER_SITE_KWH/Btu_per_MMBtu,"-")</f>
        <v>-0.45381859160087856</v>
      </c>
      <c r="GC12" s="325">
        <f ca="1">IFERROR(Tbl_MeasureList[[#This Row],[ROF High Measure Electric Annual Consumption Savings (kWh/yr)]]*OIL_GAL_PER_SITE_KWH,"-")</f>
        <v>-3.2898516916225931</v>
      </c>
      <c r="GD12" s="46">
        <f ca="1">IFERROR(Tbl_MeasureList[[#This Row],[ROF High Measure Oil Annual Consumption Savings (MMBtu/yr)]]*Btu_per_MMBtu/OIL_BTU_PER_GAL,"-")</f>
        <v>324.28972825887456</v>
      </c>
      <c r="GE12" s="325">
        <f ca="1">IFERROR(Tbl_MeasureList[[#This Row],[Current ROF High Measure Oil Source Fuel Savings (gallons oil/year)]]+Tbl_MeasureList[[#This Row],[Current ROF High Measure Oil Site Fuel Savings (gallons oil/year)]],"-")</f>
        <v>320.99987656725199</v>
      </c>
      <c r="GF12" s="46">
        <f ca="1">IFERROR(Tbl_MeasureList[[#This Row],[ROF High Measure Electric Annual Consumption Savings (kWh/yr)]]*GAS_BTU_PER_SITE_KWH/Btu_per_MMBtu,"-")</f>
        <v>-14.65557681024413</v>
      </c>
      <c r="GG12" s="327">
        <f ca="1">IFERROR(Tbl_MeasureList[[#This Row],[ROF High Measure Electric Annual Consumption Savings (kWh/yr)]]*GAS_CUFT_PER_SITE_KWH/1000,"-")</f>
        <v>-14.242543061461738</v>
      </c>
      <c r="GH12" s="412">
        <f ca="1">IFERROR(Tbl_MeasureList[[#This Row],[ROF High Measure Natural Gas Annual Consumption Savings (therms/yr)]]*Btu_per_MMBtu/(GAS_BTU_PER_CUFT*Therm_per_MMBtu*1000),"-")</f>
        <v>0</v>
      </c>
      <c r="GI12" s="329">
        <f ca="1">IFERROR(Tbl_MeasureList[[#This Row],[Current ROF High Measure Gas Source Fuel Savings (1,000 cu.ft. gas/year)]]+Tbl_MeasureList[[#This Row],[Current ROF High Measure Gas Site Fuel Savings (1,000 cu.ft gas/year)]],"-")</f>
        <v>-14.242543061461738</v>
      </c>
      <c r="GJ12" s="324">
        <f ca="1">Tbl_MeasureList[[#This Row],[ER Total Low Measure Electric Annual Consumption Savings (kWh/yr)]]*COAL_BTU_PER_SITE_KWH_CES/Btu_per_MMBtu</f>
        <v>-0.733239338029818</v>
      </c>
      <c r="GK12" s="325">
        <f ca="1">Tbl_MeasureList[[#This Row],[ER Total Low Measure Electric Annual Consumption Savings (kWh/yr)]]*COAL_LBS_PER_SITE_KWH_CES</f>
        <v>-66.585482930422998</v>
      </c>
      <c r="GL12" s="326">
        <f ca="1">Tbl_MeasureList[[#This Row],[ER Total Low Measure Electric Annual Consumption Savings (kWh/yr)]]*OIL_BTU_PER_SITE_KWH_CES/Btu_per_MMBtu</f>
        <v>-0.22569545254354911</v>
      </c>
      <c r="GM12" s="325">
        <f ca="1">Tbl_MeasureList[[#This Row],[ER Total Low Measure Electric Annual Consumption Savings (kWh/yr)]]*OIL_GAL_PER_SITE_KWH_CES</f>
        <v>-1.5226647003423814</v>
      </c>
      <c r="GN12" s="326">
        <f ca="1">Tbl_MeasureList[[#This Row],[ER Total Low Measure Oil Annual Consumption Savings (MMBtu/yr)]]*Btu_per_MMBtu/OIL_BTU_PER_GAL_CES</f>
        <v>330.69221731689225</v>
      </c>
      <c r="GO12" s="325">
        <f ca="1">Tbl_MeasureList[[#This Row],[CES ER Low Measure Oil Source Fuel Savings (gallons oil/year)]]+Tbl_MeasureList[[#This Row],[CES ER Low Measure Oil Site Fuel Savings (gallons oil/year)]]</f>
        <v>329.16955261654988</v>
      </c>
      <c r="GP12" s="326">
        <f ca="1">Tbl_MeasureList[[#This Row],[ER Total Low Measure Electric Annual Consumption Savings (kWh/yr)]]*GAS_BTU_PER_SITE_KWH_CES/Btu_per_MMBtu</f>
        <v>-6.6757522258021753</v>
      </c>
      <c r="GQ12" s="327">
        <f ca="1">Tbl_MeasureList[[#This Row],[ER Total Low Measure Electric Annual Consumption Savings (kWh/yr)]]*GAS_CUFT_PER_SITE_KWH_CES/1000</f>
        <v>-6.4813128405846365</v>
      </c>
      <c r="GR12" s="328">
        <f ca="1">Tbl_MeasureList[[#This Row],[ER Total Low Measure Natural Gas Annual Consumption Savings (therms/yr)]]*Btu_per_MMBtu/(GAS_BTU_PER_CUFT_CES*Therm_per_MMBtu*1000)</f>
        <v>0</v>
      </c>
      <c r="GS12" s="329">
        <f ca="1">Tbl_MeasureList[[#This Row],[CES ER Low Measure Gas Source Fuel Savings (1,000 cu.ft. gas/year)]]+Tbl_MeasureList[[#This Row],[CES ER Low Measure Gas Site Fuel Savings (1,000 cu.ft gas/year)]]</f>
        <v>-6.4813128405846365</v>
      </c>
      <c r="GT12" s="324">
        <f ca="1">IFERROR(Tbl_MeasureList[[#This Row],[ER Total High Measure Electric Annual Consumption Savings (kWh/yr)]]*COAL_BTU_PER_SITE_KWH_CES/Btu_per_MMBtu,"-")</f>
        <v>-0.6147259706116861</v>
      </c>
      <c r="GU12" s="325">
        <f ca="1">IFERROR(Tbl_MeasureList[[#This Row],[ER Total High Measure Electric Annual Consumption Savings (kWh/yr)]]*COAL_LBS_PER_SITE_KWH_CES,"-")</f>
        <v>-55.823281021765901</v>
      </c>
      <c r="GV12" s="326">
        <f ca="1">IFERROR(Tbl_MeasureList[[#This Row],[ER Total High Measure Electric Annual Consumption Savings (kWh/yr)]]*OIL_BTU_PER_SITE_KWH_CES/Btu_per_MMBtu,"-")</f>
        <v>-0.18921632941880556</v>
      </c>
      <c r="GW12" s="325">
        <f ca="1">IFERROR(Tbl_MeasureList[[#This Row],[ER Total High Measure Electric Annual Consumption Savings (kWh/yr)]]*OIL_GAL_PER_SITE_KWH_CES,"-")</f>
        <v>-1.2765566265841266</v>
      </c>
      <c r="GX12" s="326">
        <f ca="1">IFERROR(Tbl_MeasureList[[#This Row],[ER Total High Measure Oil Annual Consumption Savings (MMBtu/yr)]]*Btu_per_MMBtu/OIL_BTU_PER_GAL_CES,"-")</f>
        <v>330.69221731689225</v>
      </c>
      <c r="GY12" s="325">
        <f ca="1">IFERROR(Tbl_MeasureList[[#This Row],[CES ER High Measure Oil Source Fuel Savings (gallons oil/year)]]+Tbl_MeasureList[[#This Row],[CES ER High Measure Oil Site Fuel Savings (gallons oil/year)]],"-")</f>
        <v>329.41566069030813</v>
      </c>
      <c r="GZ12" s="326">
        <f ca="1">IFERROR(Tbl_MeasureList[[#This Row],[ER Total High Measure Electric Annual Consumption Savings (kWh/yr)]]*GAS_BTU_PER_SITE_KWH_CES/Btu_per_MMBtu,"-")</f>
        <v>-5.5967513657900367</v>
      </c>
      <c r="HA12" s="327">
        <f ca="1">IFERROR(Tbl_MeasureList[[#This Row],[ER Total High Measure Electric Annual Consumption Savings (kWh/yr)]]*GAS_CUFT_PER_SITE_KWH_CES/1000,"-")</f>
        <v>-5.4337391900874144</v>
      </c>
      <c r="HB12" s="328">
        <f ca="1">IFERROR(Tbl_MeasureList[[#This Row],[ER Total High Measure Natural Gas Annual Consumption Savings (therms/yr)]]*Btu_per_MMBtu/(GAS_BTU_PER_CUFT_CES*Therm_per_MMBtu*1000),"-")</f>
        <v>0</v>
      </c>
      <c r="HC12" s="329">
        <f ca="1">IFERROR(Tbl_MeasureList[[#This Row],[CES ER High Measure Gas Source Fuel Savings (1,000 cu.ft. gas/year)]]+Tbl_MeasureList[[#This Row],[CES ER High Measure Gas Site Fuel Savings (1,000 cu.ft gas/year)]],"-")</f>
        <v>-5.4337391900874144</v>
      </c>
      <c r="HD12" s="315">
        <f ca="1">Tbl_MeasureList[[#This Row],[ROF Low Measure Electric Annual Consumption Savings (kWh/yr)]]*COAL_BTU_PER_SITE_KWH_CES/Btu_per_MMBtu</f>
        <v>-0.78867961445777379</v>
      </c>
      <c r="HE12" s="316">
        <f ca="1">Tbl_MeasureList[[#This Row],[ROF Low Measure Electric Annual Consumption Savings (kWh/yr)]]*COAL_LBS_PER_SITE_KWH_CES</f>
        <v>-71.620015842514874</v>
      </c>
      <c r="HF12" s="317">
        <f ca="1">Tbl_MeasureList[[#This Row],[ROF Low Measure Electric Annual Consumption Savings (kWh/yr)]]*OIL_BTU_PER_SITE_KWH_CES/Btu_per_MMBtu</f>
        <v>-0.24276030112514294</v>
      </c>
      <c r="HG12" s="316">
        <f ca="1">Tbl_MeasureList[[#This Row],[ROF Low Measure Electric Annual Consumption Savings (kWh/yr)]]*OIL_GAL_PER_SITE_KWH_CES</f>
        <v>-1.637793482331761</v>
      </c>
      <c r="HH12" s="317">
        <f ca="1">Tbl_MeasureList[[#This Row],[ROF Low Measure Oil Annual Consumption Savings (MMBtu/yr)]]*Btu_per_MMBtu/OIL_BTU_PER_GAL_CES</f>
        <v>301.80096721631077</v>
      </c>
      <c r="HI12" s="316">
        <f ca="1">Tbl_MeasureList[[#This Row],[CES ROF Low Measure Oil Source Fuel Savings (gallons oil/year)]]+Tbl_MeasureList[[#This Row],[CES ROF Low Measure Oil Site Fuel Savings (gallons oil/year)]]</f>
        <v>300.16317373397902</v>
      </c>
      <c r="HJ12" s="317">
        <f ca="1">Tbl_MeasureList[[#This Row],[ROF Low Measure Electric Annual Consumption Savings (kWh/yr)]]*GAS_BTU_PER_SITE_KWH_CES/Btu_per_MMBtu</f>
        <v>-7.1805063075423483</v>
      </c>
      <c r="HK12" s="330">
        <f ca="1">Tbl_MeasureList[[#This Row],[ROF Low Measure Electric Annual Consumption Savings (kWh/yr)]]*GAS_CUFT_PER_SITE_KWH_CES/1000</f>
        <v>-6.9713653471284944</v>
      </c>
      <c r="HL12" s="331">
        <f ca="1">Tbl_MeasureList[[#This Row],[ROF Low Measure Natural Gas Annual Consumption Savings (therms/yr)]]*Btu_per_MMBtu/(GAS_BTU_PER_CUFT_CES*Therm_per_MMBtu*1000)</f>
        <v>0</v>
      </c>
      <c r="HM12" s="332">
        <f ca="1">Tbl_MeasureList[[#This Row],[CES ROF Low Measure Gas Source Fuel Savings (1,000 cu.ft. gas/year)]]+Tbl_MeasureList[[#This Row],[CES ROF Low Measure Gas Site Fuel Savings (1,000 cu.ft gas/year)]]</f>
        <v>-6.9713653471284944</v>
      </c>
      <c r="HN12" s="315">
        <f ca="1">IFERROR(Tbl_MeasureList[[#This Row],[ROF High Measure Electric Annual Consumption Savings (kWh/yr)]]*COAL_BTU_PER_SITE_KWH_CES/Btu_per_MMBtu,"-")</f>
        <v>-0.67016624703964167</v>
      </c>
      <c r="HO12" s="316">
        <f ca="1">IFERROR(Tbl_MeasureList[[#This Row],[ROF High Measure Electric Annual Consumption Savings (kWh/yr)]]*COAL_LBS_PER_SITE_KWH_CES,"-")</f>
        <v>-60.857813933857777</v>
      </c>
      <c r="HP12" s="317">
        <f ca="1">IFERROR(Tbl_MeasureList[[#This Row],[ROF High Measure Electric Annual Consumption Savings (kWh/yr)]]*OIL_BTU_PER_SITE_KWH_CES/Btu_per_MMBtu,"-")</f>
        <v>-0.20628117800039938</v>
      </c>
      <c r="HQ12" s="316">
        <f ca="1">IFERROR(Tbl_MeasureList[[#This Row],[ROF High Measure Electric Annual Consumption Savings (kWh/yr)]]*OIL_GAL_PER_SITE_KWH_CES,"-")</f>
        <v>-1.3916854085735062</v>
      </c>
      <c r="HR12" s="317">
        <f ca="1">IFERROR(Tbl_MeasureList[[#This Row],[ROF High Measure Oil Annual Consumption Savings (MMBtu/yr)]]*Btu_per_MMBtu/OIL_BTU_PER_GAL_CES,"-")</f>
        <v>301.80096721631077</v>
      </c>
      <c r="HS12" s="316">
        <f ca="1">IFERROR(Tbl_MeasureList[[#This Row],[CES ROF High Measure Oil Source Fuel Savings (gallons oil/year)]]+Tbl_MeasureList[[#This Row],[CES ROF High Measure Oil Site Fuel Savings (gallons oil/year)]],"-")</f>
        <v>300.40928180773727</v>
      </c>
      <c r="HT12" s="317">
        <f ca="1">IFERROR(Tbl_MeasureList[[#This Row],[ROF High Measure Electric Annual Consumption Savings (kWh/yr)]]*GAS_BTU_PER_SITE_KWH_CES/Btu_per_MMBtu,"-")</f>
        <v>-6.1015054475302088</v>
      </c>
      <c r="HU12" s="330">
        <f ca="1">IFERROR(Tbl_MeasureList[[#This Row],[ROF High Measure Electric Annual Consumption Savings (kWh/yr)]]*GAS_CUFT_PER_SITE_KWH_CES/1000,"-")</f>
        <v>-5.9237916966312714</v>
      </c>
      <c r="HV12" s="331">
        <f ca="1">IFERROR(Tbl_MeasureList[[#This Row],[ROF High Measure Natural Gas Annual Consumption Savings (therms/yr)]]*Btu_per_MMBtu/(GAS_BTU_PER_CUFT_CES*Therm_per_MMBtu*1000),"-")</f>
        <v>0</v>
      </c>
      <c r="HW12" s="332">
        <f ca="1">IFERROR(Tbl_MeasureList[[#This Row],[CES ROF High Measure Gas Source Fuel Savings (1,000 cu.ft. gas/year)]]+Tbl_MeasureList[[#This Row],[CES ROF High Measure Gas Site Fuel Savings (1,000 cu.ft gas/year)]],"-")</f>
        <v>-5.9237916966312714</v>
      </c>
      <c r="HX12" s="274">
        <f>Tbl_MeasureList[[#This Row],[Baseline Energy Cost (USD/yr)]]-Tbl_MeasureList[[#This Row],[Code (old fuel) Energy Cost (USD/yr)]]</f>
        <v>154.78623864886549</v>
      </c>
      <c r="HY12" s="201">
        <f>0</f>
        <v>0</v>
      </c>
      <c r="HZ12" s="86">
        <f>Tbl_MeasureList[[#This Row],[Baseline Electric Annual Consumption (kWh/yr)]]-Tbl_MeasureList[[#This Row],[Code (old fuel) Electric Annual Consumption (kWh/yr)]]</f>
        <v>296.27584000000002</v>
      </c>
      <c r="IA12" s="86">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2.0500000000000114</v>
      </c>
      <c r="IB12" s="86">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294.22584000000006</v>
      </c>
      <c r="IC12" s="152">
        <f>Tbl_MeasureList[[#This Row],[Baseline Electric Winter Peak Demand (kW)]]-Tbl_MeasureList[[#This Row],[Code (old fuel) Electric Winter Peak Demand (kW)]]</f>
        <v>3.1447746883989103E-4</v>
      </c>
      <c r="ID12" s="152">
        <f>Tbl_MeasureList[[#This Row],[Baseline Electric Summer Peak Demand (kW)]]-Tbl_MeasureList[[#This Row],[Code (old fuel) Electric Summer Peak Demand (kW)]]</f>
        <v>0.39502639572192488</v>
      </c>
      <c r="IE12" s="276">
        <f>Tbl_MeasureList[[#This Row],[Baseline Natural Gas Annual Consumption (therms/yr)]]-Tbl_MeasureList[[#This Row],[Code (old fuel) Natural Gas Annual Consumption (therms/yr)]]</f>
        <v>0</v>
      </c>
      <c r="IF12" s="277">
        <f>Tbl_MeasureList[[#This Row],[Baseline Propane Annual Consumption (MMBtu/yr)]]-Tbl_MeasureList[[#This Row],[Code (old fuel) Propane Annual Consumption (MMBtu/yr)]]</f>
        <v>0</v>
      </c>
      <c r="IG12" s="266">
        <f>Tbl_MeasureList[[#This Row],[Baseline Oil Annual Consumption (MMBtu/yr)]]-Tbl_MeasureList[[#This Row],[Code (old fuel) Oil Annual Consumption (MMBtu/yr)]]</f>
        <v>4.2823766549085889</v>
      </c>
      <c r="IH12" s="435">
        <f>Tbl_MeasureList[[#This Row],[Baseline Energy Consumption on MMBtu Basis (MMBtu/yr)]]-Tbl_MeasureList[[#This Row],[Code (old fuel) Energy Consumption on MMBtu Basis (MMBtu/yr)]]</f>
        <v>5.2932698209885842</v>
      </c>
      <c r="II12" s="371">
        <f>Tbl_MeasureList[[#This Row],[Baseline Carbon Emissions, Site (tons CO2/yr)]]-Tbl_MeasureList[[#This Row],[Code (old fuel) Carbon Emissions, Site (tons CO2/yr)]]</f>
        <v>0.34537367721837775</v>
      </c>
      <c r="IJ12" s="278">
        <f>Tbl_MeasureList[[#This Row],[Baseline Carbon Emissions, Source (tons CO2/yr)]]-Tbl_MeasureList[[#This Row],[Code (old fuel) Carbon Emissions, Source (tons CO2/yr)]]</f>
        <v>0.45000645287277852</v>
      </c>
      <c r="IK12" s="273">
        <f ca="1">Tbl_MeasureList[[#This Row],[Code (new fuel) Energy Cost (USD/yr)]]-Tbl_MeasureList[[#This Row],[Low Measure Energy Cost (USD/yr)]]</f>
        <v>57.353136859948108</v>
      </c>
      <c r="IL12"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9375.8139248306015</v>
      </c>
      <c r="IM12" s="85">
        <f ca="1">Tbl_MeasureList[[#This Row],[Code (old fuel) Electric Annual Consumption (kWh/yr)]]-Tbl_MeasureList[[#This Row],[Low Measure Electric Annual Consumption (kWh/yr)]]</f>
        <v>-4214.7465763090431</v>
      </c>
      <c r="IN12" s="85">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-4507.6269763090431</v>
      </c>
      <c r="IO12" s="85">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292.88040000000012</v>
      </c>
      <c r="IP12" s="152">
        <f ca="1">Tbl_MeasureList[[#This Row],[Code (old fuel) Electric Winter Peak Demand (kW)]]-Tbl_MeasureList[[#This Row],[Low Measure Electric Winter Peak Demand (kW)]]</f>
        <v>-1.0369747899159665</v>
      </c>
      <c r="IQ12" s="152">
        <f ca="1">Tbl_MeasureList[[#This Row],[Code (old fuel) Electric Summer Peak Demand (kW)]]-Tbl_MeasureList[[#This Row],[Low Measure Electric Summer Peak Demand (kW)]]</f>
        <v>0.21471526340326363</v>
      </c>
      <c r="IR12" s="204">
        <f ca="1">Tbl_MeasureList[[#This Row],[Code (old fuel) Natural Gas Annual Consumption (therms/yr)]]-Tbl_MeasureList[[#This Row],[Low Measure Natural Gas Annual Consumption (therms/yr)]]</f>
        <v>0</v>
      </c>
      <c r="IS12" s="153">
        <f ca="1">Tbl_MeasureList[[#This Row],[Code (old fuel) Propane Annual Consumption (MMBtu/yr)]]-Tbl_MeasureList[[#This Row],[Low Measure Propane Annual Consumption (MMBtu/yr)]]</f>
        <v>0</v>
      </c>
      <c r="IT12" s="204">
        <f ca="1">Tbl_MeasureList[[#This Row],[Code (old fuel) Oil Annual Consumption (MMBtu/yr)]]-Tbl_MeasureList[[#This Row],[Low Measure Oil Annual Consumption (MMBtu/yr)]]</f>
        <v>44.734146564670453</v>
      </c>
      <c r="IU12" s="204">
        <f ca="1">Tbl_MeasureList[[#This Row],[Code (old fuel) Energy Consumption on MMBtu Basis (MMBtu/yr)]]-Tbl_MeasureList[[#This Row],[Low Measure Energy Consumption on MMBtu Basis (MMBtu/yr)]]</f>
        <v>30.353431246303998</v>
      </c>
      <c r="IV12" s="204">
        <f ca="1">Tbl_MeasureList[[#This Row],[Code (old fuel) Carbon Emissions, Site (tons CO2/yr)]]-Tbl_MeasureList[[#This Row],[Low Measure Carbon Emissions, Site (tons CO2/yr)]]</f>
        <v>3.6078089204406725</v>
      </c>
      <c r="IW12" s="260">
        <f ca="1">Tbl_MeasureList[[#This Row],[Code (old fuel) Carbon Emissions, Source (tons CO2/yr)]]-Tbl_MeasureList[[#This Row],[Low Measure Carbon Emissions, Source (tons CO2/yr)]]</f>
        <v>2.1193290195513708</v>
      </c>
      <c r="IX12" s="27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296.33436743398101</v>
      </c>
      <c r="IY12" s="20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10245.813924830602</v>
      </c>
      <c r="IZ12"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-3581.404721878278</v>
      </c>
      <c r="JA12"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-3965.0684552116118</v>
      </c>
      <c r="JB12"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383.66373333333343</v>
      </c>
      <c r="JC12"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-1.6303571428571433</v>
      </c>
      <c r="JD12"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0.21471526340326363</v>
      </c>
      <c r="JE12"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0</v>
      </c>
      <c r="JF12" s="1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0</v>
      </c>
      <c r="JG12"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44.734146564670453</v>
      </c>
      <c r="JH12"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32.514393653621774</v>
      </c>
      <c r="JI12"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3.6078089204406725</v>
      </c>
      <c r="JJ12"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2.3430000288621393</v>
      </c>
      <c r="JK12" s="506">
        <f>Tbl_MeasureList[[#This Row],[ER (Retire) Electric Annual Consumption Savings (kWh/yr)]]*COAL_BTU_PER_SITE_KWH/Btu_per_MMBtu</f>
        <v>3.2611927310562151E-2</v>
      </c>
      <c r="JL12" s="507">
        <f>Tbl_MeasureList[[#This Row],[ER (Retire) Electric Annual Consumption Savings (kWh/yr)]]*COAL_LBS_PER_SITE_KWH</f>
        <v>2.860695378119487</v>
      </c>
      <c r="JM12" s="508">
        <f>Tbl_MeasureList[[#This Row],[ER (Retire) Electric Annual Consumption Savings (kWh/yr)]]*OIL_BTU_PER_SITE_KWH/Btu_per_MMBtu</f>
        <v>3.7542666879506345E-2</v>
      </c>
      <c r="JN12" s="507">
        <f>Tbl_MeasureList[[#This Row],[ER (Retire) Electric Annual Consumption Savings (kWh/yr)]]*OIL_GAL_PER_SITE_KWH</f>
        <v>0.27215677900254698</v>
      </c>
      <c r="JO12" s="508">
        <f>Tbl_MeasureList[[#This Row],[ER (Retire) Oil Annual Consumption Savings (MMBtu/yr)]]*Btu_per_MMBtu/OIL_BTU_PER_GAL</f>
        <v>31.044087534224431</v>
      </c>
      <c r="JP12" s="507">
        <f ca="1">Tbl_MeasureList[[#This Row],[Current ER (Retire) Oil Source Fuel Savings (gallons oil/year)]]+Tbl_MeasureList[[#This Row],[Current ER Total Low Measure Oil Site Fuel Savings (gallons oil/year)]]</f>
        <v>355.60597257210156</v>
      </c>
      <c r="JQ12" s="508">
        <f>Tbl_MeasureList[[#This Row],[ER (Retire) Electric Annual Consumption Savings (kWh/yr)]]*GAS_BTU_PER_SITE_KWH/Btu_per_MMBtu</f>
        <v>1.2123995100621796</v>
      </c>
      <c r="JR12" s="509">
        <f>Tbl_MeasureList[[#This Row],[ER (Retire) Electric Annual Consumption Savings (kWh/yr)]]*GAS_CUFT_PER_SITE_KWH/1000</f>
        <v>1.1782308163869577</v>
      </c>
      <c r="JS12" s="510">
        <f>Tbl_MeasureList[[#This Row],[ER (Retire) Natural Gas Annual Consumption Savings (therms/yr)]]*Btu_per_MMBtu/(GAS_BTU_PER_CUFT*Therm_per_MMBtu*1000)</f>
        <v>0</v>
      </c>
      <c r="JT12" s="511">
        <f ca="1">Tbl_MeasureList[[#This Row],[Current ER (Retire) Gas Source Fuel Savings (1,000 cu.ft. gas/year)]]+Tbl_MeasureList[[#This Row],[Current ER Total Low Measure Gas Site Fuel Savings (1,000 cu.ft gas/year)]]</f>
        <v>1.1782308163869577</v>
      </c>
      <c r="JU12" s="506">
        <f ca="1">Tbl_MeasureList[[#This Row],[ER (EE) Low Measure Electric Annual Consumption Savings (kWh/yr)]]*COAL_BTU_PER_SITE_KWH/Btu_per_MMBtu</f>
        <v>-0.46392918497516106</v>
      </c>
      <c r="JV12" s="507">
        <f ca="1">Tbl_MeasureList[[#This Row],[ER (EE) Low Measure Electric Annual Consumption Savings (kWh/yr)]]*COAL_LBS_PER_SITE_KWH</f>
        <v>-40.695542541680794</v>
      </c>
      <c r="JW12" s="508">
        <f ca="1">Tbl_MeasureList[[#This Row],[ER (EE) Low Measure Electric Annual Consumption Savings (kWh/yr)]]*OIL_BTU_PER_SITE_KWH/Btu_per_MMBtu</f>
        <v>-0.53407266247531449</v>
      </c>
      <c r="JX12" s="507">
        <f ca="1">Tbl_MeasureList[[#This Row],[ER (EE) Low Measure Electric Annual Consumption Savings (kWh/yr)]]*OIL_GAL_PER_SITE_KWH</f>
        <v>-3.8716347999225373</v>
      </c>
      <c r="JY12" s="508">
        <f ca="1">Tbl_MeasureList[[#This Row],[ER (EE) Low Measure Oil Annual Consumption Savings (MMBtu/yr)]]*Btu_per_MMBtu/OIL_BTU_PER_GAL</f>
        <v>324.28972825887456</v>
      </c>
      <c r="JZ12" s="507">
        <f ca="1">Tbl_MeasureList[[#This Row],[Current ER (EE) Low Measure Oil Source Fuel Savings (gallons oil/year)]]+Tbl_MeasureList[[#This Row],[Current ER (EE) Low Measure Oil Site Fuel Savings (gallons oil/year)]]</f>
        <v>320.418093458952</v>
      </c>
      <c r="KA12" s="508">
        <f ca="1">Tbl_MeasureList[[#This Row],[ER (EE) Low Measure Electric Annual Consumption Savings (kWh/yr)]]*GAS_BTU_PER_SITE_KWH/Btu_per_MMBtu</f>
        <v>-17.247294562234071</v>
      </c>
      <c r="KB12" s="509">
        <f ca="1">Tbl_MeasureList[[#This Row],[ER (EE) Low Measure Electric Annual Consumption Savings (kWh/yr)]]*GAS_CUFT_PER_SITE_KWH/1000</f>
        <v>-16.761219205280927</v>
      </c>
      <c r="KC12" s="510">
        <f ca="1">Tbl_MeasureList[[#This Row],[ER (EE) Low Measure Natural Gas Annual Consumption Savings (therms/yr)]]*Btu_per_MMBtu/(GAS_BTU_PER_CUFT*Therm_per_MMBtu*1000)</f>
        <v>0</v>
      </c>
      <c r="KD12" s="511">
        <f ca="1">Tbl_MeasureList[[#This Row],[Current ER (EE) Low Measure Gas Source Fuel Savings (1,000 cu.ft. gas/year)]]+Tbl_MeasureList[[#This Row],[Current ER (EE) Low Measure Gas Site Fuel Savings (1,000 cu.ft gas/year)]]</f>
        <v>-16.761219205280927</v>
      </c>
      <c r="KE12" s="506">
        <f ca="1">IFERROR(Tbl_MeasureList[[#This Row],[ER (EE) High Measure Electric Annual Consumption Savings (kWh/yr)]]*COAL_BTU_PER_SITE_KWH/Btu_per_MMBtu,"-")</f>
        <v>-0.39421543943508341</v>
      </c>
      <c r="KF12" s="507">
        <f ca="1">IFERROR(Tbl_MeasureList[[#This Row],[ER (EE) High Measure Electric Annual Consumption Savings (kWh/yr)]]*COAL_LBS_PER_SITE_KWH,"-")</f>
        <v>-34.580301704831882</v>
      </c>
      <c r="KG12" s="508">
        <f ca="1">IFERROR(Tbl_MeasureList[[#This Row],[ER (EE) High Measure Electric Annual Consumption Savings (kWh/yr)]]*OIL_BTU_PER_SITE_KWH/Btu_per_MMBtu,"-")</f>
        <v>-0.45381859160087856</v>
      </c>
      <c r="KH12" s="507">
        <f ca="1">IFERROR(Tbl_MeasureList[[#This Row],[ER (EE) High Measure Electric Annual Consumption Savings (kWh/yr)]]*OIL_GAL_PER_SITE_KWH,"-")</f>
        <v>-3.2898516916225931</v>
      </c>
      <c r="KI12" s="508">
        <f ca="1">IFERROR(Tbl_MeasureList[[#This Row],[ER (EE) High Measure Oil Annual Consumption Savings (MMBtu/yr)]]*Btu_per_MMBtu/OIL_BTU_PER_GAL,"-")</f>
        <v>324.28972825887456</v>
      </c>
      <c r="KJ12" s="507">
        <f ca="1">IFERROR(Tbl_MeasureList[[#This Row],[Current ER (EE) High Measure Oil Source Fuel Savings (gallons oil/year)]]+Tbl_MeasureList[[#This Row],[Current ER (EE) High Measure Oil Site Fuel Savings (gallons oil/year)]],"-")</f>
        <v>320.99987656725199</v>
      </c>
      <c r="KK12" s="508">
        <f ca="1">IFERROR(Tbl_MeasureList[[#This Row],[ER (EE) High Measure Electric Annual Consumption Savings (kWh/yr)]]*GAS_BTU_PER_SITE_KWH/Btu_per_MMBtu,"-")</f>
        <v>-14.65557681024413</v>
      </c>
      <c r="KL12" s="509">
        <f ca="1">IFERROR(Tbl_MeasureList[[#This Row],[ER (EE) High Measure Electric Annual Consumption Savings (kWh/yr)]]*GAS_CUFT_PER_SITE_KWH/1000,"-")</f>
        <v>-14.242543061461738</v>
      </c>
      <c r="KM12" s="510">
        <f ca="1">IFERROR(Tbl_MeasureList[[#This Row],[ER (EE) High Measure Natural Gas Annual Consumption Savings (therms/yr)]]*Btu_per_MMBtu/(GAS_BTU_PER_CUFT*Therm_per_MMBtu*1000),"-")</f>
        <v>0</v>
      </c>
      <c r="KN12" s="511">
        <f ca="1">IFERROR(Tbl_MeasureList[[#This Row],[Current ER (EE) High Measure Gas Source Fuel Savings (1,000 cu.ft. gas/year)]]+Tbl_MeasureList[[#This Row],[Current ER (EE) High Measure Gas Site Fuel Savings (1,000 cu.ft gas/year)]],"-")</f>
        <v>-14.242543061461738</v>
      </c>
    </row>
    <row r="13" spans="1:300" x14ac:dyDescent="0.2">
      <c r="B13" s="16"/>
      <c r="C13" s="2" t="s">
        <v>83</v>
      </c>
      <c r="D13" s="12" t="str">
        <f>INDEX(Tbl_BaselineSummary[Equipment ID],MATCH(Tbl_MeasureList[[#This Row],[Baseline ID]],Tbl_BaselineSummary[Baseline ID],0))</f>
        <v>EQUI002</v>
      </c>
      <c r="E13" s="11" t="str">
        <f>INDEX(Tbl_EquipmentDefinitions[Equipment Name],MATCH('Measure List'!$D13,Tbl_EquipmentDefinitions[Equipment ID],0))</f>
        <v>Baseline A/C Blend+Propane Furnace</v>
      </c>
      <c r="F13" s="3" t="s">
        <v>228</v>
      </c>
      <c r="G13" s="11" t="str">
        <f>INDEX(Tbl_EquipmentDefinitions[Function],MATCH('Measure List'!$D13,Tbl_EquipmentDefinitions[Equipment ID],0))</f>
        <v>Cool+Heat</v>
      </c>
      <c r="H13" s="3" t="s">
        <v>111</v>
      </c>
      <c r="I13" s="3" t="s">
        <v>12</v>
      </c>
      <c r="J13" s="11" t="str">
        <f>INDEX(Tbl_EquipmentDefinitions[Equipment Name],MATCH('Measure List'!$I13,Tbl_EquipmentDefinitions[Equipment ID],0))</f>
        <v>Central HP+Propane Furnace</v>
      </c>
      <c r="K13" s="11">
        <f>INDEX(Tbl_EquipmentDefinitions[],MATCH(Tbl_MeasureList[[#This Row],[Replacement ID]],Tbl_EquipmentDefinitions[[Equipment ID]:[Equipment ID]],0),MATCH(Tbl_MeasureList[[#Headers],[New Unit Equipment Life (years)]],Tbl_EquipmentDefinitions[#Headers],0))</f>
        <v>17</v>
      </c>
      <c r="L13" s="11">
        <f>INDEX(Tbl_EquipmentDefinitions[],MATCH(Tbl_MeasureList[[#This Row],[Baseline Equipment ID]],Tbl_EquipmentDefinitions[[Equipment ID]:[Equipment ID]],0),MATCH(Tbl_MeasureList[[#Headers],[Remaining Life for Early Replacement (years)]],Tbl_EquipmentDefinitions[#Headers],0))</f>
        <v>6</v>
      </c>
      <c r="M13" s="12" t="str">
        <f>INDEX(Tbl_EquipmentDefinitions[Function],MATCH('Measure List'!$I13,Tbl_EquipmentDefinitions[Equipment ID],0))</f>
        <v>Cool+Heat</v>
      </c>
      <c r="N13" s="368" t="s">
        <v>750</v>
      </c>
      <c r="O13" s="14" t="str">
        <f t="shared" si="0"/>
        <v>OK</v>
      </c>
      <c r="P13" s="12" t="str">
        <f ca="1">IFERROR(INDIRECT(Tbl_MeasureList[[#This Row],[Measure ID]]&amp;"!D5"),"No tab")</f>
        <v>3. Ready</v>
      </c>
      <c r="Q13" s="11"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Electric</v>
      </c>
      <c r="R13" s="12"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Propane</v>
      </c>
      <c r="S13" s="11"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Electric</v>
      </c>
      <c r="T13" s="247"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Propane</v>
      </c>
      <c r="U13" s="248">
        <f>INDEX(Tbl_BaselineSummary[Baseline Annual Energy Cost (USD)],MATCH(Tbl_MeasureList[[#This Row],[Baseline ID]],Tbl_BaselineSummary[Baseline ID],0))</f>
        <v>3468.0061014715766</v>
      </c>
      <c r="V13" s="249">
        <f>INDEX(Tbl_BaselineSummary[Baseline Electric Annual Consumption  (kWh)],MATCH(Tbl_MeasureList[[#This Row],[Baseline ID]],Tbl_BaselineSummary[Baseline ID],0))</f>
        <v>1778.7062400000002</v>
      </c>
      <c r="W13" s="249">
        <f>INDEX(Tbl_BaselineSummary[Baseline Electric Winter Consumption (kWh)],MATCH(Tbl_MeasureList[[#This Row],[Baseline ID]],Tbl_BaselineSummary[Baseline ID],0))</f>
        <v>374.55</v>
      </c>
      <c r="X13" s="249">
        <f>INDEX(Tbl_BaselineSummary[Baseline Electric Summer Consumption (kWh)],MATCH(Tbl_MeasureList[[#This Row],[Baseline ID]],Tbl_BaselineSummary[Baseline ID],0))</f>
        <v>1404.1562400000003</v>
      </c>
      <c r="Y13" s="250">
        <f>INDEX(Tbl_BaselineSummary[Baseline Electric Baseline Winter Peak Demand (kW)],MATCH(Tbl_MeasureList[[#This Row],[Baseline ID]],Tbl_BaselineSummary[Baseline ID],0))</f>
        <v>5.7457334611697032E-2</v>
      </c>
      <c r="Z13" s="452">
        <f>INDEX(Tbl_BaselineSummary[Baseline Electric Baseline Summer Peak Demand (kW)],MATCH(Tbl_MeasureList[[#This Row],[Baseline ID]],Tbl_BaselineSummary[Baseline ID],0))</f>
        <v>1.8917929411764707</v>
      </c>
      <c r="AA13" s="458">
        <f>INDEX(Tbl_BaselineSummary[Baseline Natural Gas Annual Consumption  (therms)],MATCH(Tbl_MeasureList[[#This Row],[Baseline ID]],Tbl_BaselineSummary[Baseline ID],0))</f>
        <v>0</v>
      </c>
      <c r="AB13" s="455">
        <f>INDEX(Tbl_BaselineSummary[Baseline Propane Annual Consumption  (MMBtu)],MATCH(Tbl_MeasureList[[#This Row],[Baseline ID]],Tbl_BaselineSummary[Baseline ID],0))</f>
        <v>86.692015209125472</v>
      </c>
      <c r="AC13" s="252">
        <f>INDEX(Tbl_BaselineSummary[Baseline Oil Annual Consumption  (MMBtu)],MATCH(Tbl_MeasureList[[#This Row],[Baseline ID]],Tbl_BaselineSummary[Baseline ID],0))</f>
        <v>0</v>
      </c>
      <c r="AD13" s="371">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92.760960900005472</v>
      </c>
      <c r="AE13" s="460">
        <f>(lbCO2_per_Therm_Gas*Tbl_MeasureList[[#This Row],[Baseline Natural Gas Annual Consumption (therms/yr)]]+lbCO2_per_MMBtu_Prop*Tbl_MeasureList[[#This Row],[Baseline Propane Annual Consumption (MMBtu/yr)]]+lbCO2_per_MMBtu_Oil*Tbl_MeasureList[[#This Row],[Baseline Oil Annual Consumption (MMBtu/yr)]])*Lbs_per_ShortTon</f>
        <v>6.0250950570342203</v>
      </c>
      <c r="AF13" s="463">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6.6532629527526206</v>
      </c>
      <c r="AG13" s="465">
        <f>INDEX(Tbl_BaselineSummary[Code Annual Energy Cost (USD)],MATCH(Tbl_MeasureList[[#This Row],[Baseline ID]],Tbl_BaselineSummary[Baseline ID],0))</f>
        <v>3185.573342155843</v>
      </c>
      <c r="AH13" s="468">
        <f>INDEX(Tbl_BaselineSummary[Deferred Replacement Credit (USD)],MATCH(Tbl_MeasureList[[#This Row],[Baseline ID]],Tbl_BaselineSummary[Baseline ID],0))</f>
        <v>5466.0259667378614</v>
      </c>
      <c r="AI13" s="201">
        <f>INDEX(Tbl_BaselineSummary[A/C-only Deferred Replacement Credit (USD)],MATCH(Tbl_MeasureList[[#This Row],[Baseline ID]],Tbl_BaselineSummary[Baseline ID],0))</f>
        <v>2736.686075169398</v>
      </c>
      <c r="AJ13" s="468">
        <f>INDEX(Tbl_BaselineSummary[Code Installed Costs (USD)],MATCH(Tbl_MeasureList[[#This Row],[Baseline ID]],Tbl_BaselineSummary[Baseline ID],0))</f>
        <v>8970.0691999999999</v>
      </c>
      <c r="AK13" s="201">
        <f>INDEX(Tbl_BaselineSummary[Code A/C-only Installed Cost (USD)],MATCH(Tbl_MeasureList[[#This Row],[Baseline ID]],Tbl_BaselineSummary[Baseline ID],0))</f>
        <v>4084.0691999999995</v>
      </c>
      <c r="AL13" s="86">
        <f>INDEX(Tbl_BaselineSummary[Code Electric Annual Consumption (kWh)],MATCH(Tbl_MeasureList[[#This Row],[Baseline ID]],Tbl_BaselineSummary[Baseline ID],0))</f>
        <v>1481.4304000000002</v>
      </c>
      <c r="AM13" s="86">
        <f>INDEX(Tbl_BaselineSummary[Code Electric Winter Consumption (kWh)],MATCH(Tbl_MeasureList[[#This Row],[Baseline ID]],Tbl_BaselineSummary[Baseline ID],0))</f>
        <v>371.5</v>
      </c>
      <c r="AN13" s="86">
        <f>INDEX(Tbl_BaselineSummary[Code Electric Summer Consumption (kWh)],MATCH(Tbl_MeasureList[[#This Row],[Baseline ID]],Tbl_BaselineSummary[Baseline ID],0))</f>
        <v>1109.9304000000002</v>
      </c>
      <c r="AO13" s="152">
        <f>INDEX(Tbl_BaselineSummary[Code Electric Winter Peak Demand (kW)],MATCH(Tbl_MeasureList[[#This Row],[Baseline ID]],Tbl_BaselineSummary[Baseline ID],0))</f>
        <v>5.6989453499520615E-2</v>
      </c>
      <c r="AP13" s="470">
        <f>INDEX(Tbl_BaselineSummary[Code Electric Summer Peak Demand (kW)],MATCH(Tbl_MeasureList[[#This Row],[Baseline ID]],Tbl_BaselineSummary[Baseline ID],0))</f>
        <v>1.4967665454545458</v>
      </c>
      <c r="AQ13" s="467">
        <f>INDEX(Tbl_BaselineSummary[Code Natural Gas Annual Consumption (therms)],MATCH(Tbl_MeasureList[[#This Row],[Baseline ID]],Tbl_BaselineSummary[Baseline ID],0))</f>
        <v>0</v>
      </c>
      <c r="AR13" s="472">
        <f>INDEX(Tbl_BaselineSummary[Code Propane Annual Consumption (MMBtu)],MATCH(Tbl_MeasureList[[#This Row],[Baseline ID]],Tbl_BaselineSummary[Baseline ID],0))</f>
        <v>80.47058823529413</v>
      </c>
      <c r="AS13" s="467">
        <f>INDEX(Tbl_BaselineSummary[Code Oil Annual Consumption (MMBtu)],MATCH(Tbl_MeasureList[[#This Row],[Baseline ID]],Tbl_BaselineSummary[Baseline ID],0))</f>
        <v>0</v>
      </c>
      <c r="AT13" s="204">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85.525228760094137</v>
      </c>
      <c r="AU13" s="467">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5.5927058823529423</v>
      </c>
      <c r="AV13" s="474">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6.1158878424169423</v>
      </c>
      <c r="AW13" s="248">
        <f ca="1">INDIRECT(Tbl_MeasureList[[#This Row],[Measure ID]]&amp;"!L26")</f>
        <v>2232.7080470011774</v>
      </c>
      <c r="AX13" s="477">
        <f ca="1">INDIRECT(Tbl_MeasureList[[#This Row],[Measure ID]]&amp;"!M26")</f>
        <v>11242.5</v>
      </c>
      <c r="AY13" s="481">
        <f ca="1">INDIRECT(Tbl_MeasureList[[#This Row],[Measure ID]]&amp;"!D26")</f>
        <v>8040.8243010459673</v>
      </c>
      <c r="AZ13" s="481">
        <f ca="1">INDIRECT(Tbl_MeasureList[[#This Row],[Measure ID]]&amp;"!J26")</f>
        <v>7107.0528724745391</v>
      </c>
      <c r="BA13" s="481">
        <f ca="1">INDIRECT(Tbl_MeasureList[[#This Row],[Measure ID]]&amp;"!I26")</f>
        <v>933.7714285714286</v>
      </c>
      <c r="BB13" s="479">
        <f ca="1">INDIRECT(Tbl_MeasureList[[#This Row],[Measure ID]]&amp;"!E26")</f>
        <v>1.1341463414634148</v>
      </c>
      <c r="BC13" s="268">
        <f ca="1">INDIRECT(Tbl_MeasureList[[#This Row],[Measure ID]]&amp;"!H26")</f>
        <v>1.2820512820512822</v>
      </c>
      <c r="BD13" s="253">
        <f ca="1">INDIRECT(Tbl_MeasureList[[#This Row],[Measure ID]]&amp;"!D32")</f>
        <v>0</v>
      </c>
      <c r="BE13" s="270">
        <f ca="1">INDIRECT(Tbl_MeasureList[[#This Row],[Measure ID]]&amp;"!D38")</f>
        <v>17.866910329645027</v>
      </c>
      <c r="BF13" s="253">
        <f ca="1">INDIRECT(Tbl_MeasureList[[#This Row],[Measure ID]]&amp;"!D44")</f>
        <v>0</v>
      </c>
      <c r="BG13" s="460">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45.302202844813863</v>
      </c>
      <c r="BH13" s="371">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1.2417502679103294</v>
      </c>
      <c r="BI13" s="272">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4.0814477780677239</v>
      </c>
      <c r="BJ13" s="273">
        <f ca="1">INDIRECT(Tbl_MeasureList[[#This Row],[Measure ID]]&amp;"!L27")</f>
        <v>2160.4193023518146</v>
      </c>
      <c r="BK13" s="201">
        <f ca="1">INDIRECT(Tbl_MeasureList[[#This Row],[Measure ID]]&amp;"!M27")</f>
        <v>12112.5</v>
      </c>
      <c r="BL13" s="85">
        <f ca="1">INDIRECT(Tbl_MeasureList[[#This Row],[Measure ID]]&amp;"!D27")</f>
        <v>7675.360475720574</v>
      </c>
      <c r="BM13" s="85">
        <f ca="1">INDIRECT(Tbl_MeasureList[[#This Row],[Measure ID]]&amp;"!J27")</f>
        <v>6858.3104757205738</v>
      </c>
      <c r="BN13" s="85">
        <f ca="1">INDIRECT(Tbl_MeasureList[[#This Row],[Measure ID]]&amp;"!I27")</f>
        <v>817.05000000000007</v>
      </c>
      <c r="BO13" s="152">
        <f ca="1">INDIRECT(Tbl_MeasureList[[#This Row],[Measure ID]]&amp;"!E27")</f>
        <v>1.0941176470588236</v>
      </c>
      <c r="BP13" s="470">
        <f ca="1">INDIRECT(Tbl_MeasureList[[#This Row],[Measure ID]]&amp;"!H27")</f>
        <v>1.2820512820512822</v>
      </c>
      <c r="BQ13" s="467">
        <f ca="1">INDIRECT(Tbl_MeasureList[[#This Row],[Measure ID]]&amp;"!D33")</f>
        <v>0</v>
      </c>
      <c r="BR13" s="472">
        <f ca="1">INDIRECT(Tbl_MeasureList[[#This Row],[Measure ID]]&amp;"!D39")</f>
        <v>17.866910329645027</v>
      </c>
      <c r="BS13" s="467">
        <f ca="1">INDIRECT(Tbl_MeasureList[[#This Row],[Measure ID]]&amp;"!D45")</f>
        <v>0</v>
      </c>
      <c r="BT13" s="204">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44.05524027280363</v>
      </c>
      <c r="BU13" s="467">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1.2417502679103294</v>
      </c>
      <c r="BV13" s="260">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3.9523805735158075</v>
      </c>
      <c r="BW13" s="24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1988.3667897049504</v>
      </c>
      <c r="BX13" s="26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12982.5</v>
      </c>
      <c r="BY13"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6805.5297747758614</v>
      </c>
      <c r="BZ13"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6079.2631081091949</v>
      </c>
      <c r="CA13"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726.26666666666677</v>
      </c>
      <c r="CB13"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1.6875000000000004</v>
      </c>
      <c r="CC13"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1.2820512820512822</v>
      </c>
      <c r="CD13"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0</v>
      </c>
      <c r="CE13"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17.866910329645027</v>
      </c>
      <c r="CF13"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0</v>
      </c>
      <c r="CG13" s="460">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41.087377921180263</v>
      </c>
      <c r="CH13" s="37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1.2417502679103294</v>
      </c>
      <c r="CI13" s="26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3.6451911631701726</v>
      </c>
      <c r="CJ13" s="320">
        <f ca="1">-Tbl_MeasureList[[#This Row],[Low Measure Energy Cost (USD/yr)]]+Tbl_MeasureList[[#This Row],[Baseline Energy Cost (USD/yr)]]</f>
        <v>1307.586799119762</v>
      </c>
      <c r="CK13"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9375.8139248306015</v>
      </c>
      <c r="CL13" s="249">
        <f ca="1">-Tbl_MeasureList[[#This Row],[Low Measure Electric Annual Consumption (kWh/yr)]]+Tbl_MeasureList[[#This Row],[Baseline Electric Annual Consumption (kWh/yr)]]</f>
        <v>-5896.6542357205735</v>
      </c>
      <c r="CM13" s="249">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-6483.7604757205736</v>
      </c>
      <c r="CN13" s="249">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587.10624000000018</v>
      </c>
      <c r="CO13" s="268">
        <f ca="1">-Tbl_MeasureList[[#This Row],[Low Measure Electric Winter Peak Demand (kW)]]+Tbl_MeasureList[[#This Row],[Baseline Electric Winter Peak Demand (kW)]]</f>
        <v>-1.0366603124471265</v>
      </c>
      <c r="CP13" s="479">
        <f ca="1">-Tbl_MeasureList[[#This Row],[Low Measure Electric Summer Peak Demand (kW)]]+Tbl_MeasureList[[#This Row],[Baseline Electric Summer Peak Demand (kW)]]</f>
        <v>0.60974165912518852</v>
      </c>
      <c r="CQ13" s="481">
        <f ca="1">-Tbl_MeasureList[[#This Row],[Low Measure Natural Gas Annual Consumption (therms/yr)]]+Tbl_MeasureList[[#This Row],[Baseline Natural Gas Annual Consumption (therms/yr)]]</f>
        <v>0</v>
      </c>
      <c r="CR13" s="490">
        <f ca="1">-Tbl_MeasureList[[#This Row],[Low Measure Propane Annual Consumption (MMBtu/yr)]]+Tbl_MeasureList[[#This Row],[Baseline Propane Annual Consumption (MMBtu/yr)]]</f>
        <v>68.825104879480449</v>
      </c>
      <c r="CS13" s="252">
        <f ca="1">-Tbl_MeasureList[[#This Row],[Low Measure Oil Annual Consumption (MMBtu/yr)]]+Tbl_MeasureList[[#This Row],[Baseline Oil Annual Consumption (MMBtu/yr)]]</f>
        <v>0</v>
      </c>
      <c r="CT13"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48.705720627201856</v>
      </c>
      <c r="CU13" s="487">
        <f ca="1">-Tbl_MeasureList[[#This Row],[Low Measure Carbon Emissions, Site (tons CO2/yr)]]+Tbl_MeasureList[[#This Row],[Baseline Carbon Emissions, Site (tons CO2/yr)]]</f>
        <v>4.7833447891238912</v>
      </c>
      <c r="CV13" s="491">
        <f ca="1">-Tbl_MeasureList[[#This Row],[Low Measure Carbon Emissions, Source (tons CO2/yr)]]+Tbl_MeasureList[[#This Row],[Baseline Carbon Emissions, Source (tons CO2/yr)]]</f>
        <v>2.7008823792368131</v>
      </c>
      <c r="CW13"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1479.6393117666262</v>
      </c>
      <c r="CX13"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10245.813924830602</v>
      </c>
      <c r="CY13"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-5026.8235347758609</v>
      </c>
      <c r="CZ13"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-5704.7131081091948</v>
      </c>
      <c r="DA13"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677.88957333333349</v>
      </c>
      <c r="DB13"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-1.6300426653883033</v>
      </c>
      <c r="DC13"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0.60974165912518852</v>
      </c>
      <c r="DD13"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0</v>
      </c>
      <c r="DE13"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68.825104879480449</v>
      </c>
      <c r="DF13"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0</v>
      </c>
      <c r="DG13" s="270">
        <f ca="1">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51.673582978825209</v>
      </c>
      <c r="DH13"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4.7833447891238912</v>
      </c>
      <c r="DI13"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3.008071789582448</v>
      </c>
      <c r="DJ13" s="320">
        <f ca="1">-Tbl_MeasureList[[#This Row],[Low Measure Energy Cost (USD/yr)]]+Tbl_MeasureList[[#This Row],[Code (old fuel) Energy Cost (USD/yr)]]</f>
        <v>1025.1540398040283</v>
      </c>
      <c r="DK13" s="267">
        <f ca="1">Tbl_MeasureList[[#This Row],[Low Measure Installed Costs (USD)]]-Tbl_MeasureList[[#This Row],[Code (old fuel) Installed Costs (USD)]]</f>
        <v>3142.4308000000001</v>
      </c>
      <c r="DL13" s="249">
        <f ca="1">-Tbl_MeasureList[[#This Row],[Low Measure Electric Annual Consumption (kWh/yr)]]+Tbl_MeasureList[[#This Row],[Code (old fuel) Electric Annual Consumption (kWh/yr)]]</f>
        <v>-6193.9300757205738</v>
      </c>
      <c r="DM13" s="249">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-6486.8104757205738</v>
      </c>
      <c r="DN13" s="249">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292.88040000000012</v>
      </c>
      <c r="DO13" s="268">
        <f ca="1">-Tbl_MeasureList[[#This Row],[Low Measure Electric Winter Peak Demand (kW)]]+Tbl_MeasureList[[#This Row],[Code (old fuel) Electric Winter Peak Demand (kW)]]</f>
        <v>-1.0371281935593031</v>
      </c>
      <c r="DP13" s="479">
        <f ca="1">-Tbl_MeasureList[[#This Row],[Low Measure Electric Summer Peak Demand (kW)]]+Tbl_MeasureList[[#This Row],[Code (old fuel) Electric Summer Peak Demand (kW)]]</f>
        <v>0.21471526340326363</v>
      </c>
      <c r="DQ13" s="481">
        <f ca="1">-Tbl_MeasureList[[#This Row],[Low Measure Natural Gas Annual Consumption (therms/yr)]]+Tbl_MeasureList[[#This Row],[Code (old fuel) Natural Gas Annual Consumption (therms/yr)]]</f>
        <v>0</v>
      </c>
      <c r="DR13" s="490">
        <f ca="1">-Tbl_MeasureList[[#This Row],[Low Measure Propane Annual Consumption (MMBtu/yr)]]+Tbl_MeasureList[[#This Row],[Code (old fuel) Propane Annual Consumption (MMBtu/yr)]]</f>
        <v>62.603677905649107</v>
      </c>
      <c r="DS13" s="252">
        <f ca="1">-Tbl_MeasureList[[#This Row],[Low Measure Oil Annual Consumption (MMBtu/yr)]]+Tbl_MeasureList[[#This Row],[Code (old fuel) Oil Annual Consumption (MMBtu/yr)]]</f>
        <v>0</v>
      </c>
      <c r="DT13"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41.469988487290507</v>
      </c>
      <c r="DU13" s="487">
        <f ca="1">-Tbl_MeasureList[[#This Row],[Low Measure Carbon Emissions, Site (tons CO2/yr)]]+Tbl_MeasureList[[#This Row],[Code (old fuel) Carbon Emissions, Site (tons CO2/yr)]]</f>
        <v>4.3509556144426131</v>
      </c>
      <c r="DV13" s="491">
        <f ca="1">-Tbl_MeasureList[[#This Row],[Low Measure Carbon Emissions, Source (tons CO2/yr)]]+Tbl_MeasureList[[#This Row],[Code (old fuel) Carbon Emissions, Source (tons CO2/yr)]]</f>
        <v>2.1635072689011348</v>
      </c>
      <c r="DW13"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(old fuel) Energy Cost (USD/yr)]],
        "-")</f>
        <v>1197.2065524508926</v>
      </c>
      <c r="DX13"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4012.4308000000001</v>
      </c>
      <c r="DY13"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-5324.0993747758612</v>
      </c>
      <c r="DZ13"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-5707.7631081091949</v>
      </c>
      <c r="EA13"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383.66373333333343</v>
      </c>
      <c r="EB13"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-1.6305105465004799</v>
      </c>
      <c r="EC13"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0.21471526340326363</v>
      </c>
      <c r="ED13"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0</v>
      </c>
      <c r="EE13"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62.603677905649107</v>
      </c>
      <c r="EF13"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0</v>
      </c>
      <c r="EG13" s="270">
        <f ca="1">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44.437850838913867</v>
      </c>
      <c r="EH13"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4.3509556144426131</v>
      </c>
      <c r="EI13"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2.4706966792467697</v>
      </c>
      <c r="EJ13" s="477">
        <f ca="1">Tbl_MeasureList[[#This Row],[Code (old fuel) Energy Cost (USD/yr)]]-Tbl_MeasureList[[#This Row],[Code (new fuel) Energy Cost (USD/yr)]]</f>
        <v>952.86529515466555</v>
      </c>
      <c r="EK13" s="496">
        <f ca="1">Tbl_MeasureList[[#This Row],[Code (old fuel) Electric Annual Consumption (kWh/yr)]]-Tbl_MeasureList[[#This Row],[Code (new fuel) Electric Annual Consumption (kWh/yr)]]</f>
        <v>-6559.3939010459671</v>
      </c>
      <c r="EL13" s="496">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-6735.5528724745391</v>
      </c>
      <c r="EM13" s="496">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176.15897142857159</v>
      </c>
      <c r="EN13" s="500">
        <f ca="1">Tbl_MeasureList[[#This Row],[Code (old fuel) Electric Winter Peak Demand (kW)]]-Tbl_MeasureList[[#This Row],[Code (new fuel) Electric Winter Peak Demand (kW)]]</f>
        <v>-1.0771568879638942</v>
      </c>
      <c r="EO13" s="493">
        <f ca="1">Tbl_MeasureList[[#This Row],[Code (old fuel) Electric Summer Peak Demand (kW)]]-Tbl_MeasureList[[#This Row],[Code (new fuel) Electric Summer Peak Demand (kW)]]</f>
        <v>0.21471526340326363</v>
      </c>
      <c r="EP13" s="502">
        <f ca="1">Tbl_MeasureList[[#This Row],[Code (old fuel) Natural Gas Annual Consumption (therms/yr)]]-Tbl_MeasureList[[#This Row],[Code (new fuel) Natural Gas Annual Consumption (therms/yr)]]</f>
        <v>0</v>
      </c>
      <c r="EQ13" s="215">
        <f ca="1">Tbl_MeasureList[[#This Row],[Code (old fuel) Propane Annual Consumption (MMBtu/yr)]]-Tbl_MeasureList[[#This Row],[Code (new fuel) Propane Annual Consumption (MMBtu/yr)]]</f>
        <v>62.603677905649107</v>
      </c>
      <c r="ER13" s="502">
        <f ca="1">Tbl_MeasureList[[#This Row],[Code (old fuel) Oil Annual Consumption (MMBtu/yr)]]-Tbl_MeasureList[[#This Row],[Code (new fuel) Oil Annual Consumption (MMBtu/yr)]]</f>
        <v>0</v>
      </c>
      <c r="ES13" s="215">
        <f ca="1">Tbl_MeasureList[[#This Row],[Code (old fuel) Energy Consumption on MMBtu Basis (MMBtu/yr)]]-Tbl_MeasureList[[#This Row],[Code (new fuel) Energy Consumption on MMBtu Basis (MMBtu/yr)]]</f>
        <v>40.223025915280274</v>
      </c>
      <c r="ET13" s="502">
        <f ca="1">Tbl_MeasureList[[#This Row],[Code (old fuel) Carbon Emissions, Site (tons CO2/yr)]]-Tbl_MeasureList[[#This Row],[Code (new fuel) Carbon Emissions, Site (tons CO2/yr)]]</f>
        <v>4.3509556144426131</v>
      </c>
      <c r="EU13" s="498">
        <f ca="1">Tbl_MeasureList[[#This Row],[Code (old fuel) Carbon Emissions, Source (tons CO2/yr)]]-Tbl_MeasureList[[#This Row],[Code (new fuel) Carbon Emissions, Source (tons CO2/yr)]]</f>
        <v>2.0344400643492184</v>
      </c>
      <c r="EV13" s="450">
        <f ca="1">Tbl_MeasureList[[#This Row],[ER Total Low Measure Electric Annual Consumption Savings (kWh/yr)]]*COAL_BTU_PER_SITE_KWH/Btu_per_MMBtu</f>
        <v>-0.6490615613842754</v>
      </c>
      <c r="EW13" s="411">
        <f ca="1">Tbl_MeasureList[[#This Row],[ER Total Low Measure Electric Annual Consumption Savings (kWh/yr)]]*COAL_LBS_PER_SITE_KWH</f>
        <v>-56.935224682831176</v>
      </c>
      <c r="EX13" s="326">
        <f ca="1">Tbl_MeasureList[[#This Row],[ER Total Low Measure Electric Annual Consumption Savings (kWh/yr)]]*OIL_BTU_PER_SITE_KWH/Btu_per_MMBtu</f>
        <v>-0.74719601056666507</v>
      </c>
      <c r="EY13" s="325">
        <f ca="1">Tbl_MeasureList[[#This Row],[ER Total Low Measure Electric Annual Consumption Savings (kWh/yr)]]*OIL_GAL_PER_SITE_KWH</f>
        <v>-5.4166226435656606</v>
      </c>
      <c r="EZ13" s="326">
        <f ca="1">Tbl_MeasureList[[#This Row],[ER Total Low Measure Oil Annual Consumption Savings (MMBtu/yr)]]*Btu_per_MMBtu/OIL_BTU_PER_GAL</f>
        <v>0</v>
      </c>
      <c r="FA13" s="325">
        <f ca="1">Tbl_MeasureList[[#This Row],[Current ER Total Low Measure Oil Source Fuel Savings (gallons oil/year)]]+Tbl_MeasureList[[#This Row],[Current ER Total Low Measure Oil Site Fuel Savings (gallons oil/year)]]</f>
        <v>-5.4166226435656606</v>
      </c>
      <c r="FB13" s="326">
        <f ca="1">Tbl_MeasureList[[#This Row],[ER Total Low Measure Electric Annual Consumption Savings (kWh/yr)]]*GAS_BTU_PER_SITE_KWH/Btu_per_MMBtu</f>
        <v>-24.129880811049926</v>
      </c>
      <c r="FC13" s="327">
        <f ca="1">Tbl_MeasureList[[#This Row],[ER Total Low Measure Electric Annual Consumption Savings (kWh/yr)]]*GAS_CUFT_PER_SITE_KWH/1000</f>
        <v>-23.449835579251626</v>
      </c>
      <c r="FD13" s="328">
        <f ca="1">Tbl_MeasureList[[#This Row],[ER Total Low Measure Natural Gas Annual Consumption Savings (therms/yr)]]*Btu_per_MMBtu/(GAS_BTU_PER_CUFT*Therm_per_MMBtu*1000)</f>
        <v>0</v>
      </c>
      <c r="FE13" s="329">
        <f ca="1">Tbl_MeasureList[[#This Row],[Current ER Total Low Measure Gas Source Fuel Savings (1,000 cu.ft. gas/year)]]+Tbl_MeasureList[[#This Row],[Current ER Total Low Measure Gas Site Fuel Savings (1,000 cu.ft gas/year)]]</f>
        <v>-23.449835579251626</v>
      </c>
      <c r="FF13" s="324">
        <f ca="1">IFERROR(Tbl_MeasureList[[#This Row],[ER Total High Measure Electric Annual Consumption Savings (kWh/yr)]]*COAL_BTU_PER_SITE_KWH/Btu_per_MMBtu,"-")</f>
        <v>-0.55331681354488271</v>
      </c>
      <c r="FG13" s="325">
        <f ca="1">IFERROR(Tbl_MeasureList[[#This Row],[ER Total High Measure Electric Annual Consumption Savings (kWh/yr)]]*COAL_LBS_PER_SITE_KWH,"-")</f>
        <v>-48.53656259165637</v>
      </c>
      <c r="FH13" s="326">
        <f ca="1">IFERROR(Tbl_MeasureList[[#This Row],[ER Total High Measure Electric Annual Consumption Savings (kWh/yr)]]*OIL_BTU_PER_SITE_KWH/Btu_per_MMBtu,"-")</f>
        <v>-0.63697519658758783</v>
      </c>
      <c r="FI13" s="325">
        <f ca="1">IFERROR(Tbl_MeasureList[[#This Row],[ER Total High Measure Electric Annual Consumption Savings (kWh/yr)]]*OIL_GAL_PER_SITE_KWH,"-")</f>
        <v>-4.6176026429924084</v>
      </c>
      <c r="FJ13" s="326">
        <f ca="1">IFERROR(Tbl_MeasureList[[#This Row],[ER Total High Measure Oil Annual Consumption Savings (MMBtu/yr)]]*Btu_per_MMBtu/OIL_BTU_PER_GAL,"-")</f>
        <v>0</v>
      </c>
      <c r="FK13" s="325">
        <f ca="1">IFERROR(Tbl_MeasureList[[#This Row],[Current ER Total High Measure Oil Source Fuel Savings (gallons oil/year)]]+Tbl_MeasureList[[#This Row],[Current ER Total High Measure Oil Site Fuel Savings (gallons oil/year)]],"-")</f>
        <v>-4.6176026429924084</v>
      </c>
      <c r="FL13" s="326">
        <f ca="1">IFERROR(Tbl_MeasureList[[#This Row],[ER Total High Measure Electric Annual Consumption Savings (kWh/yr)]]*GAS_BTU_PER_SITE_KWH/Btu_per_MMBtu,"-")</f>
        <v>-20.570419750497667</v>
      </c>
      <c r="FM13" s="327">
        <f ca="1">IFERROR(Tbl_MeasureList[[#This Row],[ER Total High Measure Electric Annual Consumption Savings (kWh/yr)]]*GAS_CUFT_PER_SITE_KWH/1000,"-")</f>
        <v>-19.990689747811142</v>
      </c>
      <c r="FN13" s="328">
        <f ca="1">IFERROR(Tbl_MeasureList[[#This Row],[ER Total High Measure Natural Gas Annual Consumption Savings (therms/yr)]]*Btu_per_MMBtu/(GAS_BTU_PER_CUFT*Therm_per_MMBtu*1000),"-")</f>
        <v>0</v>
      </c>
      <c r="FO13" s="329">
        <f ca="1">IFERROR(Tbl_MeasureList[[#This Row],[Current ER Total High Measure Gas Source Fuel Savings (1,000 cu.ft. gas/year)]]+Tbl_MeasureList[[#This Row],[Current ER Total High Measure Gas Site Fuel Savings (1,000 cu.ft gas/year)]],"-")</f>
        <v>-19.990689747811142</v>
      </c>
      <c r="FP13" s="412">
        <f ca="1">Tbl_MeasureList[[#This Row],[ROF Low Measure Electric Annual Consumption Savings (kWh/yr)]]*COAL_BTU_PER_SITE_KWH/Btu_per_MMBtu</f>
        <v>-0.6817835615489406</v>
      </c>
      <c r="FQ13" s="327">
        <f ca="1">Tbl_MeasureList[[#This Row],[ROF Low Measure Electric Annual Consumption Savings (kWh/yr)]]*COAL_LBS_PER_SITE_KWH</f>
        <v>-59.805575574468477</v>
      </c>
      <c r="FR13" s="412">
        <f ca="1">Tbl_MeasureList[[#This Row],[ROF Low Measure Electric Annual Consumption Savings (kWh/yr)]]*OIL_BTU_PER_SITE_KWH/Btu_per_MMBtu</f>
        <v>-0.78486539269531053</v>
      </c>
      <c r="FS13" s="327">
        <f ca="1">Tbl_MeasureList[[#This Row],[ROF Low Measure Electric Annual Consumption Savings (kWh/yr)]]*OIL_GAL_PER_SITE_KWH</f>
        <v>-5.6896980151169707</v>
      </c>
      <c r="FT13" s="412">
        <f ca="1">Tbl_MeasureList[[#This Row],[ROF Low Measure Oil Annual Consumption Savings (MMBtu/yr)]]*Btu_per_MMBtu/OIL_BTU_PER_GAL</f>
        <v>0</v>
      </c>
      <c r="FU13" s="327">
        <f ca="1">Tbl_MeasureList[[#This Row],[Current ROF Low Measure Oil Source Fuel Savings (gallons oil/year)]]+Tbl_MeasureList[[#This Row],[Current ROF Low Measure Oil Site Fuel Savings (gallons oil/year)]]</f>
        <v>-5.6896980151169707</v>
      </c>
      <c r="FV13" s="412">
        <f ca="1">Tbl_MeasureList[[#This Row],[ROF Low Measure Electric Annual Consumption Savings (kWh/yr)]]*GAS_BTU_PER_SITE_KWH/Btu_per_MMBtu</f>
        <v>-25.346372451979285</v>
      </c>
      <c r="FW13" s="327">
        <f ca="1">Tbl_MeasureList[[#This Row],[ROF Low Measure Electric Annual Consumption Savings (kWh/yr)]]*GAS_CUFT_PER_SITE_KWH/1000</f>
        <v>-24.63204319920241</v>
      </c>
      <c r="FX13" s="412">
        <f ca="1">Tbl_MeasureList[[#This Row],[ROF Low Measure Natural Gas Annual Consumption Savings (therms/yr)]]*Btu_per_MMBtu/(GAS_BTU_PER_CUFT*Therm_per_MMBtu*1000)</f>
        <v>0</v>
      </c>
      <c r="FY13" s="327">
        <f ca="1">Tbl_MeasureList[[#This Row],[Current ROF Low Measure Gas Source Fuel Savings (1,000 cu.ft. gas/year)]]+Tbl_MeasureList[[#This Row],[Current ROF Low Measure Gas Site Fuel Savings (1,000 cu.ft gas/year)]]</f>
        <v>-24.63204319920241</v>
      </c>
      <c r="FZ13" s="414">
        <f ca="1">IFERROR(Tbl_MeasureList[[#This Row],[ROF High Measure Electric Annual Consumption Savings (kWh/yr)]]*COAL_BTU_PER_SITE_KWH/Btu_per_MMBtu,"-")</f>
        <v>-0.58603881370954791</v>
      </c>
      <c r="GA13" s="327">
        <f ca="1">IFERROR(Tbl_MeasureList[[#This Row],[ROF High Measure Electric Annual Consumption Savings (kWh/yr)]]*COAL_LBS_PER_SITE_KWH,"-")</f>
        <v>-51.406913483293664</v>
      </c>
      <c r="GB13" s="412">
        <f ca="1">IFERROR(Tbl_MeasureList[[#This Row],[ROF High Measure Electric Annual Consumption Savings (kWh/yr)]]*OIL_BTU_PER_SITE_KWH/Btu_per_MMBtu,"-")</f>
        <v>-0.6746445787162334</v>
      </c>
      <c r="GC13" s="327">
        <f ca="1">IFERROR(Tbl_MeasureList[[#This Row],[ROF High Measure Electric Annual Consumption Savings (kWh/yr)]]*OIL_GAL_PER_SITE_KWH,"-")</f>
        <v>-4.8906780145437185</v>
      </c>
      <c r="GD13" s="412">
        <f ca="1">IFERROR(Tbl_MeasureList[[#This Row],[ROF High Measure Oil Annual Consumption Savings (MMBtu/yr)]]*Btu_per_MMBtu/OIL_BTU_PER_GAL,"-")</f>
        <v>0</v>
      </c>
      <c r="GE13" s="327">
        <f ca="1">IFERROR(Tbl_MeasureList[[#This Row],[Current ROF High Measure Oil Source Fuel Savings (gallons oil/year)]]+Tbl_MeasureList[[#This Row],[Current ROF High Measure Oil Site Fuel Savings (gallons oil/year)]],"-")</f>
        <v>-4.8906780145437185</v>
      </c>
      <c r="GF13" s="412">
        <f ca="1">IFERROR(Tbl_MeasureList[[#This Row],[ROF High Measure Electric Annual Consumption Savings (kWh/yr)]]*GAS_BTU_PER_SITE_KWH/Btu_per_MMBtu,"-")</f>
        <v>-21.786911391427022</v>
      </c>
      <c r="GG13" s="327">
        <f ca="1">IFERROR(Tbl_MeasureList[[#This Row],[ROF High Measure Electric Annual Consumption Savings (kWh/yr)]]*GAS_CUFT_PER_SITE_KWH/1000,"-")</f>
        <v>-21.172897367761927</v>
      </c>
      <c r="GH13" s="412">
        <f ca="1">IFERROR(Tbl_MeasureList[[#This Row],[ROF High Measure Natural Gas Annual Consumption Savings (therms/yr)]]*Btu_per_MMBtu/(GAS_BTU_PER_CUFT*Therm_per_MMBtu*1000),"-")</f>
        <v>0</v>
      </c>
      <c r="GI13" s="327">
        <f ca="1">IFERROR(Tbl_MeasureList[[#This Row],[Current ROF High Measure Gas Source Fuel Savings (1,000 cu.ft. gas/year)]]+Tbl_MeasureList[[#This Row],[Current ROF High Measure Gas Site Fuel Savings (1,000 cu.ft gas/year)]],"-")</f>
        <v>-21.172897367761927</v>
      </c>
      <c r="GJ13" s="324">
        <f ca="1">Tbl_MeasureList[[#This Row],[ER Total Low Measure Electric Annual Consumption Savings (kWh/yr)]]*COAL_BTU_PER_SITE_KWH_CES/Btu_per_MMBtu</f>
        <v>-1.1034046543532683</v>
      </c>
      <c r="GK13" s="325">
        <f ca="1">Tbl_MeasureList[[#This Row],[ER Total Low Measure Electric Annual Consumption Savings (kWh/yr)]]*COAL_LBS_PER_SITE_KWH_CES</f>
        <v>-100.20020471787761</v>
      </c>
      <c r="GL13" s="326">
        <f ca="1">Tbl_MeasureList[[#This Row],[ER Total Low Measure Electric Annual Consumption Savings (kWh/yr)]]*OIL_BTU_PER_SITE_KWH_CES/Btu_per_MMBtu</f>
        <v>-0.33963455025757505</v>
      </c>
      <c r="GM13" s="325">
        <f ca="1">Tbl_MeasureList[[#This Row],[ER Total Low Measure Electric Annual Consumption Savings (kWh/yr)]]*OIL_GAL_PER_SITE_KWH_CES</f>
        <v>-2.2913600378992274</v>
      </c>
      <c r="GN13" s="326">
        <f ca="1">Tbl_MeasureList[[#This Row],[ER Total Low Measure Oil Annual Consumption Savings (MMBtu/yr)]]*Btu_per_MMBtu/OIL_BTU_PER_GAL_CES</f>
        <v>0</v>
      </c>
      <c r="GO13" s="325">
        <f ca="1">Tbl_MeasureList[[#This Row],[CES ER Low Measure Oil Source Fuel Savings (gallons oil/year)]]+Tbl_MeasureList[[#This Row],[CES ER Low Measure Oil Site Fuel Savings (gallons oil/year)]]</f>
        <v>-2.2913600378992274</v>
      </c>
      <c r="GP13" s="326">
        <f ca="1">Tbl_MeasureList[[#This Row],[ER Total Low Measure Electric Annual Consumption Savings (kWh/yr)]]*GAS_BTU_PER_SITE_KWH_CES/Btu_per_MMBtu</f>
        <v>-10.045909562151399</v>
      </c>
      <c r="GQ13" s="327">
        <f ca="1">Tbl_MeasureList[[#This Row],[ER Total Low Measure Electric Annual Consumption Savings (kWh/yr)]]*GAS_CUFT_PER_SITE_KWH_CES/1000</f>
        <v>-9.753310254515922</v>
      </c>
      <c r="GR13" s="328">
        <f ca="1">Tbl_MeasureList[[#This Row],[ER Total Low Measure Natural Gas Annual Consumption Savings (therms/yr)]]*Btu_per_MMBtu/(GAS_BTU_PER_CUFT_CES*Therm_per_MMBtu*1000)</f>
        <v>0</v>
      </c>
      <c r="GS13" s="329">
        <f ca="1">Tbl_MeasureList[[#This Row],[CES ER Low Measure Gas Source Fuel Savings (1,000 cu.ft. gas/year)]]+Tbl_MeasureList[[#This Row],[CES ER Low Measure Gas Site Fuel Savings (1,000 cu.ft gas/year)]]</f>
        <v>-9.753310254515922</v>
      </c>
      <c r="GT13" s="324">
        <f ca="1">IFERROR(Tbl_MeasureList[[#This Row],[ER Total High Measure Electric Annual Consumption Savings (kWh/yr)]]*COAL_BTU_PER_SITE_KWH_CES/Btu_per_MMBtu,"-")</f>
        <v>-0.94063858302630043</v>
      </c>
      <c r="GU13" s="325">
        <f ca="1">IFERROR(Tbl_MeasureList[[#This Row],[ER Total High Measure Electric Annual Consumption Savings (kWh/yr)]]*COAL_LBS_PER_SITE_KWH_CES,"-")</f>
        <v>-85.419413642054167</v>
      </c>
      <c r="GV13" s="326">
        <f ca="1">IFERROR(Tbl_MeasureList[[#This Row],[ER Total High Measure Electric Annual Consumption Savings (kWh/yr)]]*OIL_BTU_PER_SITE_KWH_CES/Btu_per_MMBtu,"-")</f>
        <v>-0.28953418026708538</v>
      </c>
      <c r="GW13" s="325">
        <f ca="1">IFERROR(Tbl_MeasureList[[#This Row],[ER Total High Measure Electric Annual Consumption Savings (kWh/yr)]]*OIL_GAL_PER_SITE_KWH_CES,"-")</f>
        <v>-1.9533555987362734</v>
      </c>
      <c r="GX13" s="326">
        <f ca="1">IFERROR(Tbl_MeasureList[[#This Row],[ER Total High Measure Oil Annual Consumption Savings (MMBtu/yr)]]*Btu_per_MMBtu/OIL_BTU_PER_GAL_CES,"-")</f>
        <v>0</v>
      </c>
      <c r="GY13" s="325">
        <f ca="1">IFERROR(Tbl_MeasureList[[#This Row],[CES ER High Measure Oil Source Fuel Savings (gallons oil/year)]]+Tbl_MeasureList[[#This Row],[CES ER High Measure Oil Site Fuel Savings (gallons oil/year)]],"-")</f>
        <v>-1.9533555987362734</v>
      </c>
      <c r="GZ13" s="326">
        <f ca="1">IFERROR(Tbl_MeasureList[[#This Row],[ER Total High Measure Electric Annual Consumption Savings (kWh/yr)]]*GAS_BTU_PER_SITE_KWH_CES/Btu_per_MMBtu,"-")</f>
        <v>-8.5640114879622935</v>
      </c>
      <c r="HA13" s="327">
        <f ca="1">IFERROR(Tbl_MeasureList[[#This Row],[ER Total High Measure Electric Annual Consumption Savings (kWh/yr)]]*GAS_CUFT_PER_SITE_KWH_CES/1000,"-")</f>
        <v>-8.314574260157567</v>
      </c>
      <c r="HB13" s="328">
        <f ca="1">IFERROR(Tbl_MeasureList[[#This Row],[ER Total High Measure Natural Gas Annual Consumption Savings (therms/yr)]]*Btu_per_MMBtu/(GAS_BTU_PER_CUFT_CES*Therm_per_MMBtu*1000),"-")</f>
        <v>0</v>
      </c>
      <c r="HC13" s="329">
        <f ca="1">IFERROR(Tbl_MeasureList[[#This Row],[CES ER High Measure Gas Source Fuel Savings (1,000 cu.ft. gas/year)]]+Tbl_MeasureList[[#This Row],[CES ER High Measure Gas Site Fuel Savings (1,000 cu.ft gas/year)]],"-")</f>
        <v>-8.314574260157567</v>
      </c>
      <c r="HD13" s="315">
        <f ca="1">Tbl_MeasureList[[#This Row],[ROF Low Measure Electric Annual Consumption Savings (kWh/yr)]]*COAL_BTU_PER_SITE_KWH_CES/Btu_per_MMBtu</f>
        <v>-1.1590320546331989</v>
      </c>
      <c r="HE13" s="316">
        <f ca="1">Tbl_MeasureList[[#This Row],[ROF Low Measure Electric Annual Consumption Savings (kWh/yr)]]*COAL_LBS_PER_SITE_KWH_CES</f>
        <v>-105.2517303517253</v>
      </c>
      <c r="HF13" s="317">
        <f ca="1">Tbl_MeasureList[[#This Row],[ROF Low Measure Electric Annual Consumption Savings (kWh/yr)]]*OIL_BTU_PER_SITE_KWH_CES/Btu_per_MMBtu</f>
        <v>-0.35675699667968663</v>
      </c>
      <c r="HG13" s="316">
        <f ca="1">Tbl_MeasureList[[#This Row],[ROF Low Measure Electric Annual Consumption Savings (kWh/yr)]]*OIL_GAL_PER_SITE_KWH_CES</f>
        <v>-2.4068774063558305</v>
      </c>
      <c r="HH13" s="317">
        <f ca="1">Tbl_MeasureList[[#This Row],[ROF Low Measure Oil Annual Consumption Savings (MMBtu/yr)]]*Btu_per_MMBtu/OIL_BTU_PER_GAL_CES</f>
        <v>0</v>
      </c>
      <c r="HI13" s="316">
        <f ca="1">Tbl_MeasureList[[#This Row],[CES ROF Low Measure Oil Source Fuel Savings (gallons oil/year)]]+Tbl_MeasureList[[#This Row],[CES ROF Low Measure Oil Site Fuel Savings (gallons oil/year)]]</f>
        <v>-2.4068774063558305</v>
      </c>
      <c r="HJ13" s="317">
        <f ca="1">Tbl_MeasureList[[#This Row],[ROF Low Measure Electric Annual Consumption Savings (kWh/yr)]]*GAS_BTU_PER_SITE_KWH_CES/Btu_per_MMBtu</f>
        <v>-10.552367306538313</v>
      </c>
      <c r="HK13" s="316">
        <f ca="1">Tbl_MeasureList[[#This Row],[ROF Low Measure Electric Annual Consumption Savings (kWh/yr)]]*GAS_CUFT_PER_SITE_KWH_CES/1000</f>
        <v>-10.245016802464383</v>
      </c>
      <c r="HL13" s="317">
        <f ca="1">Tbl_MeasureList[[#This Row],[ROF Low Measure Natural Gas Annual Consumption Savings (therms/yr)]]*Btu_per_MMBtu/(GAS_BTU_PER_CUFT_CES*Therm_per_MMBtu*1000)</f>
        <v>0</v>
      </c>
      <c r="HM13" s="318">
        <f ca="1">Tbl_MeasureList[[#This Row],[CES ROF Low Measure Gas Source Fuel Savings (1,000 cu.ft. gas/year)]]+Tbl_MeasureList[[#This Row],[CES ROF Low Measure Gas Site Fuel Savings (1,000 cu.ft gas/year)]]</f>
        <v>-10.245016802464383</v>
      </c>
      <c r="HN13" s="315">
        <f ca="1">IFERROR(Tbl_MeasureList[[#This Row],[ROF High Measure Electric Annual Consumption Savings (kWh/yr)]]*COAL_BTU_PER_SITE_KWH_CES/Btu_per_MMBtu,"-")</f>
        <v>-0.99626598330623117</v>
      </c>
      <c r="HO13" s="316">
        <f ca="1">IFERROR(Tbl_MeasureList[[#This Row],[ROF High Measure Electric Annual Consumption Savings (kWh/yr)]]*COAL_LBS_PER_SITE_KWH_CES,"-")</f>
        <v>-90.470939275901856</v>
      </c>
      <c r="HP13" s="317">
        <f ca="1">IFERROR(Tbl_MeasureList[[#This Row],[ROF High Measure Electric Annual Consumption Savings (kWh/yr)]]*OIL_BTU_PER_SITE_KWH_CES/Btu_per_MMBtu,"-")</f>
        <v>-0.30665662668919696</v>
      </c>
      <c r="HQ13" s="316">
        <f ca="1">IFERROR(Tbl_MeasureList[[#This Row],[ROF High Measure Electric Annual Consumption Savings (kWh/yr)]]*OIL_GAL_PER_SITE_KWH_CES,"-")</f>
        <v>-2.0688729671928767</v>
      </c>
      <c r="HR13" s="317">
        <f ca="1">IFERROR(Tbl_MeasureList[[#This Row],[ROF High Measure Oil Annual Consumption Savings (MMBtu/yr)]]*Btu_per_MMBtu/OIL_BTU_PER_GAL_CES,"-")</f>
        <v>0</v>
      </c>
      <c r="HS13" s="316">
        <f ca="1">IFERROR(Tbl_MeasureList[[#This Row],[CES ROF High Measure Oil Source Fuel Savings (gallons oil/year)]]+Tbl_MeasureList[[#This Row],[CES ROF High Measure Oil Site Fuel Savings (gallons oil/year)]],"-")</f>
        <v>-2.0688729671928767</v>
      </c>
      <c r="HT13" s="317">
        <f ca="1">IFERROR(Tbl_MeasureList[[#This Row],[ROF High Measure Electric Annual Consumption Savings (kWh/yr)]]*GAS_BTU_PER_SITE_KWH_CES/Btu_per_MMBtu,"-")</f>
        <v>-9.0704692323492093</v>
      </c>
      <c r="HU13" s="316">
        <f ca="1">IFERROR(Tbl_MeasureList[[#This Row],[ROF High Measure Electric Annual Consumption Savings (kWh/yr)]]*GAS_CUFT_PER_SITE_KWH_CES/1000,"-")</f>
        <v>-8.8062808081060275</v>
      </c>
      <c r="HV13" s="317">
        <f ca="1">IFERROR(Tbl_MeasureList[[#This Row],[ROF High Measure Natural Gas Annual Consumption Savings (therms/yr)]]*Btu_per_MMBtu/(GAS_BTU_PER_CUFT_CES*Therm_per_MMBtu*1000),"-")</f>
        <v>0</v>
      </c>
      <c r="HW13" s="318">
        <f ca="1">IFERROR(Tbl_MeasureList[[#This Row],[CES ROF High Measure Gas Source Fuel Savings (1,000 cu.ft. gas/year)]]+Tbl_MeasureList[[#This Row],[CES ROF High Measure Gas Site Fuel Savings (1,000 cu.ft gas/year)]],"-")</f>
        <v>-8.8062808081060275</v>
      </c>
      <c r="HX13" s="248">
        <f>Tbl_MeasureList[[#This Row],[Baseline Energy Cost (USD/yr)]]-Tbl_MeasureList[[#This Row],[Code (old fuel) Energy Cost (USD/yr)]]</f>
        <v>282.43275931573362</v>
      </c>
      <c r="HY13" s="201">
        <f>0</f>
        <v>0</v>
      </c>
      <c r="HZ13" s="86">
        <f>Tbl_MeasureList[[#This Row],[Baseline Electric Annual Consumption (kWh/yr)]]-Tbl_MeasureList[[#This Row],[Code (old fuel) Electric Annual Consumption (kWh/yr)]]</f>
        <v>297.27584000000002</v>
      </c>
      <c r="IA13" s="86">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3.0500000000000114</v>
      </c>
      <c r="IB13" s="86">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294.22584000000006</v>
      </c>
      <c r="IC13" s="152">
        <f>Tbl_MeasureList[[#This Row],[Baseline Electric Winter Peak Demand (kW)]]-Tbl_MeasureList[[#This Row],[Code (old fuel) Electric Winter Peak Demand (kW)]]</f>
        <v>4.6788111217641731E-4</v>
      </c>
      <c r="ID13" s="152">
        <f>Tbl_MeasureList[[#This Row],[Baseline Electric Summer Peak Demand (kW)]]-Tbl_MeasureList[[#This Row],[Code (old fuel) Electric Summer Peak Demand (kW)]]</f>
        <v>0.39502639572192488</v>
      </c>
      <c r="IE13" s="251">
        <f>Tbl_MeasureList[[#This Row],[Baseline Natural Gas Annual Consumption (therms/yr)]]-Tbl_MeasureList[[#This Row],[Code (old fuel) Natural Gas Annual Consumption (therms/yr)]]</f>
        <v>0</v>
      </c>
      <c r="IF13" s="252">
        <f>Tbl_MeasureList[[#This Row],[Baseline Propane Annual Consumption (MMBtu/yr)]]-Tbl_MeasureList[[#This Row],[Code (old fuel) Propane Annual Consumption (MMBtu/yr)]]</f>
        <v>6.2214269738313419</v>
      </c>
      <c r="IG13" s="253">
        <f>Tbl_MeasureList[[#This Row],[Baseline Oil Annual Consumption (MMBtu/yr)]]-Tbl_MeasureList[[#This Row],[Code (old fuel) Oil Annual Consumption (MMBtu/yr)]]</f>
        <v>0</v>
      </c>
      <c r="IH13" s="371">
        <f>Tbl_MeasureList[[#This Row],[Baseline Energy Consumption on MMBtu Basis (MMBtu/yr)]]-Tbl_MeasureList[[#This Row],[Code (old fuel) Energy Consumption on MMBtu Basis (MMBtu/yr)]]</f>
        <v>7.2357321399113346</v>
      </c>
      <c r="II13" s="371">
        <f>Tbl_MeasureList[[#This Row],[Baseline Carbon Emissions, Site (tons CO2/yr)]]-Tbl_MeasureList[[#This Row],[Code (old fuel) Carbon Emissions, Site (tons CO2/yr)]]</f>
        <v>0.43238917468127802</v>
      </c>
      <c r="IJ13" s="279">
        <f>Tbl_MeasureList[[#This Row],[Baseline Carbon Emissions, Source (tons CO2/yr)]]-Tbl_MeasureList[[#This Row],[Code (old fuel) Carbon Emissions, Source (tons CO2/yr)]]</f>
        <v>0.53737511033567831</v>
      </c>
      <c r="IK13" s="273">
        <f ca="1">Tbl_MeasureList[[#This Row],[Code (new fuel) Energy Cost (USD/yr)]]-Tbl_MeasureList[[#This Row],[Low Measure Energy Cost (USD/yr)]]</f>
        <v>72.288744649362798</v>
      </c>
      <c r="IL13"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9375.8139248306015</v>
      </c>
      <c r="IM13" s="85">
        <f ca="1">Tbl_MeasureList[[#This Row],[Code (old fuel) Electric Annual Consumption (kWh/yr)]]-Tbl_MeasureList[[#This Row],[Low Measure Electric Annual Consumption (kWh/yr)]]</f>
        <v>-6193.9300757205738</v>
      </c>
      <c r="IN13" s="85">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-6486.8104757205738</v>
      </c>
      <c r="IO13" s="85">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292.88040000000012</v>
      </c>
      <c r="IP13" s="152">
        <f ca="1">Tbl_MeasureList[[#This Row],[Code (old fuel) Electric Winter Peak Demand (kW)]]-Tbl_MeasureList[[#This Row],[Low Measure Electric Winter Peak Demand (kW)]]</f>
        <v>-1.0371281935593031</v>
      </c>
      <c r="IQ13" s="152">
        <f ca="1">Tbl_MeasureList[[#This Row],[Code (old fuel) Electric Summer Peak Demand (kW)]]-Tbl_MeasureList[[#This Row],[Low Measure Electric Summer Peak Demand (kW)]]</f>
        <v>0.21471526340326363</v>
      </c>
      <c r="IR13" s="204">
        <f ca="1">Tbl_MeasureList[[#This Row],[Code (old fuel) Natural Gas Annual Consumption (therms/yr)]]-Tbl_MeasureList[[#This Row],[Low Measure Natural Gas Annual Consumption (therms/yr)]]</f>
        <v>0</v>
      </c>
      <c r="IS13" s="153">
        <f ca="1">Tbl_MeasureList[[#This Row],[Code (old fuel) Propane Annual Consumption (MMBtu/yr)]]-Tbl_MeasureList[[#This Row],[Low Measure Propane Annual Consumption (MMBtu/yr)]]</f>
        <v>62.603677905649107</v>
      </c>
      <c r="IT13" s="204">
        <f ca="1">Tbl_MeasureList[[#This Row],[Code (old fuel) Oil Annual Consumption (MMBtu/yr)]]-Tbl_MeasureList[[#This Row],[Low Measure Oil Annual Consumption (MMBtu/yr)]]</f>
        <v>0</v>
      </c>
      <c r="IU13" s="204">
        <f ca="1">Tbl_MeasureList[[#This Row],[Code (old fuel) Energy Consumption on MMBtu Basis (MMBtu/yr)]]-Tbl_MeasureList[[#This Row],[Low Measure Energy Consumption on MMBtu Basis (MMBtu/yr)]]</f>
        <v>41.469988487290507</v>
      </c>
      <c r="IV13" s="204">
        <f ca="1">Tbl_MeasureList[[#This Row],[Code (old fuel) Carbon Emissions, Site (tons CO2/yr)]]-Tbl_MeasureList[[#This Row],[Low Measure Carbon Emissions, Site (tons CO2/yr)]]</f>
        <v>4.3509556144426131</v>
      </c>
      <c r="IW13" s="260">
        <f ca="1">Tbl_MeasureList[[#This Row],[Code (old fuel) Carbon Emissions, Source (tons CO2/yr)]]-Tbl_MeasureList[[#This Row],[Low Measure Carbon Emissions, Source (tons CO2/yr)]]</f>
        <v>2.1635072689011348</v>
      </c>
      <c r="IX13" s="27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1197.2065524508926</v>
      </c>
      <c r="IY13" s="20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10245.813924830602</v>
      </c>
      <c r="IZ13"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-5324.0993747758612</v>
      </c>
      <c r="JA13"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-5707.7631081091949</v>
      </c>
      <c r="JB13"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383.66373333333343</v>
      </c>
      <c r="JC13"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-1.6305105465004799</v>
      </c>
      <c r="JD13"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0.21471526340326363</v>
      </c>
      <c r="JE13"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0</v>
      </c>
      <c r="JF13" s="1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62.603677905649107</v>
      </c>
      <c r="JG13"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0</v>
      </c>
      <c r="JH13"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44.437850838913874</v>
      </c>
      <c r="JI13"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4.3509556144426131</v>
      </c>
      <c r="JJ13"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2.4706966792467697</v>
      </c>
      <c r="JK13" s="432">
        <f>Tbl_MeasureList[[#This Row],[ER (Retire) Electric Annual Consumption Savings (kWh/yr)]]*COAL_BTU_PER_SITE_KWH/Btu_per_MMBtu</f>
        <v>3.2722000164665151E-2</v>
      </c>
      <c r="JL13" s="428">
        <f>Tbl_MeasureList[[#This Row],[ER (Retire) Electric Annual Consumption Savings (kWh/yr)]]*COAL_LBS_PER_SITE_KWH</f>
        <v>2.870350891637294</v>
      </c>
      <c r="JM13" s="427">
        <f>Tbl_MeasureList[[#This Row],[ER (Retire) Electric Annual Consumption Savings (kWh/yr)]]*OIL_BTU_PER_SITE_KWH/Btu_per_MMBtu</f>
        <v>3.7669382128645477E-2</v>
      </c>
      <c r="JN13" s="428">
        <f>Tbl_MeasureList[[#This Row],[ER (Retire) Electric Annual Consumption Savings (kWh/yr)]]*OIL_GAL_PER_SITE_KWH</f>
        <v>0.27307537155131012</v>
      </c>
      <c r="JO13" s="427">
        <f>Tbl_MeasureList[[#This Row],[ER (Retire) Oil Annual Consumption Savings (MMBtu/yr)]]*Btu_per_MMBtu/OIL_BTU_PER_GAL</f>
        <v>0</v>
      </c>
      <c r="JP13" s="428">
        <f ca="1">Tbl_MeasureList[[#This Row],[Current ER (Retire) Oil Source Fuel Savings (gallons oil/year)]]+Tbl_MeasureList[[#This Row],[Current ER Total Low Measure Oil Site Fuel Savings (gallons oil/year)]]</f>
        <v>0.27307537155131012</v>
      </c>
      <c r="JQ13" s="427">
        <f>Tbl_MeasureList[[#This Row],[ER (Retire) Electric Annual Consumption Savings (kWh/yr)]]*GAS_BTU_PER_SITE_KWH/Btu_per_MMBtu</f>
        <v>1.2164916409293542</v>
      </c>
      <c r="JR13" s="429">
        <f>Tbl_MeasureList[[#This Row],[ER (Retire) Electric Annual Consumption Savings (kWh/yr)]]*GAS_CUFT_PER_SITE_KWH/1000</f>
        <v>1.1822076199507816</v>
      </c>
      <c r="JS13" s="430">
        <f>Tbl_MeasureList[[#This Row],[ER (Retire) Natural Gas Annual Consumption Savings (therms/yr)]]*Btu_per_MMBtu/(GAS_BTU_PER_CUFT*Therm_per_MMBtu*1000)</f>
        <v>0</v>
      </c>
      <c r="JT13" s="431">
        <f ca="1">Tbl_MeasureList[[#This Row],[Current ER (Retire) Gas Source Fuel Savings (1,000 cu.ft. gas/year)]]+Tbl_MeasureList[[#This Row],[Current ER Total Low Measure Gas Site Fuel Savings (1,000 cu.ft gas/year)]]</f>
        <v>1.1822076199507816</v>
      </c>
      <c r="JU13" s="432">
        <f ca="1">Tbl_MeasureList[[#This Row],[ER (EE) Low Measure Electric Annual Consumption Savings (kWh/yr)]]*COAL_BTU_PER_SITE_KWH/Btu_per_MMBtu</f>
        <v>-0.6817835615489406</v>
      </c>
      <c r="JV13" s="428">
        <f ca="1">Tbl_MeasureList[[#This Row],[ER (EE) Low Measure Electric Annual Consumption Savings (kWh/yr)]]*COAL_LBS_PER_SITE_KWH</f>
        <v>-59.805575574468477</v>
      </c>
      <c r="JW13" s="427">
        <f ca="1">Tbl_MeasureList[[#This Row],[ER (EE) Low Measure Electric Annual Consumption Savings (kWh/yr)]]*OIL_BTU_PER_SITE_KWH/Btu_per_MMBtu</f>
        <v>-0.78486539269531053</v>
      </c>
      <c r="JX13" s="428">
        <f ca="1">Tbl_MeasureList[[#This Row],[ER (EE) Low Measure Electric Annual Consumption Savings (kWh/yr)]]*OIL_GAL_PER_SITE_KWH</f>
        <v>-5.6896980151169707</v>
      </c>
      <c r="JY13" s="427">
        <f ca="1">Tbl_MeasureList[[#This Row],[ER (EE) Low Measure Oil Annual Consumption Savings (MMBtu/yr)]]*Btu_per_MMBtu/OIL_BTU_PER_GAL</f>
        <v>0</v>
      </c>
      <c r="JZ13" s="428">
        <f ca="1">Tbl_MeasureList[[#This Row],[Current ER (EE) Low Measure Oil Source Fuel Savings (gallons oil/year)]]+Tbl_MeasureList[[#This Row],[Current ER (EE) Low Measure Oil Site Fuel Savings (gallons oil/year)]]</f>
        <v>-5.6896980151169707</v>
      </c>
      <c r="KA13" s="427">
        <f ca="1">Tbl_MeasureList[[#This Row],[ER (EE) Low Measure Electric Annual Consumption Savings (kWh/yr)]]*GAS_BTU_PER_SITE_KWH/Btu_per_MMBtu</f>
        <v>-25.346372451979285</v>
      </c>
      <c r="KB13" s="429">
        <f ca="1">Tbl_MeasureList[[#This Row],[ER (EE) Low Measure Electric Annual Consumption Savings (kWh/yr)]]*GAS_CUFT_PER_SITE_KWH/1000</f>
        <v>-24.63204319920241</v>
      </c>
      <c r="KC13" s="430">
        <f ca="1">Tbl_MeasureList[[#This Row],[ER (EE) Low Measure Natural Gas Annual Consumption Savings (therms/yr)]]*Btu_per_MMBtu/(GAS_BTU_PER_CUFT*Therm_per_MMBtu*1000)</f>
        <v>0</v>
      </c>
      <c r="KD13" s="431">
        <f ca="1">Tbl_MeasureList[[#This Row],[Current ER (EE) Low Measure Gas Source Fuel Savings (1,000 cu.ft. gas/year)]]+Tbl_MeasureList[[#This Row],[Current ER (EE) Low Measure Gas Site Fuel Savings (1,000 cu.ft gas/year)]]</f>
        <v>-24.63204319920241</v>
      </c>
      <c r="KE13" s="432">
        <f ca="1">IFERROR(Tbl_MeasureList[[#This Row],[ER (EE) High Measure Electric Annual Consumption Savings (kWh/yr)]]*COAL_BTU_PER_SITE_KWH/Btu_per_MMBtu,"-")</f>
        <v>-0.58603881370954791</v>
      </c>
      <c r="KF13" s="428">
        <f ca="1">IFERROR(Tbl_MeasureList[[#This Row],[ER (EE) High Measure Electric Annual Consumption Savings (kWh/yr)]]*COAL_LBS_PER_SITE_KWH,"-")</f>
        <v>-51.406913483293664</v>
      </c>
      <c r="KG13" s="427">
        <f ca="1">IFERROR(Tbl_MeasureList[[#This Row],[ER (EE) High Measure Electric Annual Consumption Savings (kWh/yr)]]*OIL_BTU_PER_SITE_KWH/Btu_per_MMBtu,"-")</f>
        <v>-0.6746445787162334</v>
      </c>
      <c r="KH13" s="428">
        <f ca="1">IFERROR(Tbl_MeasureList[[#This Row],[ER (EE) High Measure Electric Annual Consumption Savings (kWh/yr)]]*OIL_GAL_PER_SITE_KWH,"-")</f>
        <v>-4.8906780145437185</v>
      </c>
      <c r="KI13" s="427">
        <f ca="1">IFERROR(Tbl_MeasureList[[#This Row],[ER (EE) High Measure Oil Annual Consumption Savings (MMBtu/yr)]]*Btu_per_MMBtu/OIL_BTU_PER_GAL,"-")</f>
        <v>0</v>
      </c>
      <c r="KJ13" s="428">
        <f ca="1">IFERROR(Tbl_MeasureList[[#This Row],[Current ER (EE) High Measure Oil Source Fuel Savings (gallons oil/year)]]+Tbl_MeasureList[[#This Row],[Current ER (EE) High Measure Oil Site Fuel Savings (gallons oil/year)]],"-")</f>
        <v>-4.8906780145437185</v>
      </c>
      <c r="KK13" s="427">
        <f ca="1">IFERROR(Tbl_MeasureList[[#This Row],[ER (EE) High Measure Electric Annual Consumption Savings (kWh/yr)]]*GAS_BTU_PER_SITE_KWH/Btu_per_MMBtu,"-")</f>
        <v>-21.786911391427022</v>
      </c>
      <c r="KL13" s="429">
        <f ca="1">IFERROR(Tbl_MeasureList[[#This Row],[ER (EE) High Measure Electric Annual Consumption Savings (kWh/yr)]]*GAS_CUFT_PER_SITE_KWH/1000,"-")</f>
        <v>-21.172897367761927</v>
      </c>
      <c r="KM13" s="430">
        <f ca="1">IFERROR(Tbl_MeasureList[[#This Row],[ER (EE) High Measure Natural Gas Annual Consumption Savings (therms/yr)]]*Btu_per_MMBtu/(GAS_BTU_PER_CUFT*Therm_per_MMBtu*1000),"-")</f>
        <v>0</v>
      </c>
      <c r="KN13" s="431">
        <f ca="1">IFERROR(Tbl_MeasureList[[#This Row],[Current ER (EE) High Measure Gas Source Fuel Savings (1,000 cu.ft. gas/year)]]+Tbl_MeasureList[[#This Row],[Current ER (EE) High Measure Gas Site Fuel Savings (1,000 cu.ft gas/year)]],"-")</f>
        <v>-21.172897367761927</v>
      </c>
    </row>
    <row r="14" spans="1:300" x14ac:dyDescent="0.2">
      <c r="B14" s="16"/>
      <c r="C14" s="2" t="s">
        <v>86</v>
      </c>
      <c r="D14" s="12" t="str">
        <f>INDEX(Tbl_BaselineSummary[Equipment ID],MATCH(Tbl_MeasureList[[#This Row],[Baseline ID]],Tbl_BaselineSummary[Baseline ID],0))</f>
        <v>EQUI001</v>
      </c>
      <c r="E14" s="11" t="str">
        <f>INDEX(Tbl_EquipmentDefinitions[Equipment Name],MATCH('Measure List'!$D14,Tbl_EquipmentDefinitions[Equipment ID],0))</f>
        <v>Baseline A/C Blend+Oil Furnace</v>
      </c>
      <c r="F14" s="3" t="s">
        <v>227</v>
      </c>
      <c r="G14" s="11" t="str">
        <f>INDEX(Tbl_EquipmentDefinitions[Function],MATCH('Measure List'!$D14,Tbl_EquipmentDefinitions[Equipment ID],0))</f>
        <v>Cool+Heat</v>
      </c>
      <c r="H14" s="3" t="s">
        <v>6</v>
      </c>
      <c r="I14" s="3" t="s">
        <v>13</v>
      </c>
      <c r="J14" s="11" t="str">
        <f>INDEX(Tbl_EquipmentDefinitions[Equipment Name],MATCH('Measure List'!$I14,Tbl_EquipmentDefinitions[Equipment ID],0))</f>
        <v>Central HP</v>
      </c>
      <c r="K14" s="11">
        <f>INDEX(Tbl_EquipmentDefinitions[],MATCH(Tbl_MeasureList[[#This Row],[Replacement ID]],Tbl_EquipmentDefinitions[[Equipment ID]:[Equipment ID]],0),MATCH(Tbl_MeasureList[[#Headers],[New Unit Equipment Life (years)]],Tbl_EquipmentDefinitions[#Headers],0))</f>
        <v>17</v>
      </c>
      <c r="L14" s="11">
        <f>INDEX(Tbl_EquipmentDefinitions[],MATCH(Tbl_MeasureList[[#This Row],[Baseline Equipment ID]],Tbl_EquipmentDefinitions[[Equipment ID]:[Equipment ID]],0),MATCH(Tbl_MeasureList[[#Headers],[Remaining Life for Early Replacement (years)]],Tbl_EquipmentDefinitions[#Headers],0))</f>
        <v>6</v>
      </c>
      <c r="M14" s="12" t="str">
        <f>INDEX(Tbl_EquipmentDefinitions[Function],MATCH('Measure List'!$I14,Tbl_EquipmentDefinitions[Equipment ID],0))</f>
        <v>Cool+Heat</v>
      </c>
      <c r="N14" s="368" t="s">
        <v>118</v>
      </c>
      <c r="O14" s="14" t="str">
        <f t="shared" si="0"/>
        <v>OK</v>
      </c>
      <c r="P14" s="12" t="str">
        <f ca="1">IFERROR(INDIRECT(Tbl_MeasureList[[#This Row],[Measure ID]]&amp;"!D5"),"No tab")</f>
        <v>3. Ready</v>
      </c>
      <c r="Q14" s="11"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Electric</v>
      </c>
      <c r="R14" s="12"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Oil</v>
      </c>
      <c r="S14" s="11"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Electric</v>
      </c>
      <c r="T14" s="247"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v>
      </c>
      <c r="U14" s="248">
        <f>INDEX(Tbl_BaselineSummary[Baseline Annual Energy Cost (USD)],MATCH(Tbl_MeasureList[[#This Row],[Baseline ID]],Tbl_BaselineSummary[Baseline ID],0))</f>
        <v>2298.9448826231851</v>
      </c>
      <c r="V14" s="249">
        <f>INDEX(Tbl_BaselineSummary[Baseline Electric Annual Consumption  (kWh)],MATCH(Tbl_MeasureList[[#This Row],[Baseline ID]],Tbl_BaselineSummary[Baseline ID],0))</f>
        <v>1778.7062400000002</v>
      </c>
      <c r="W14" s="249">
        <f>INDEX(Tbl_BaselineSummary[Baseline Electric Winter Consumption (kWh)],MATCH(Tbl_MeasureList[[#This Row],[Baseline ID]],Tbl_BaselineSummary[Baseline ID],0))</f>
        <v>374.55</v>
      </c>
      <c r="X14" s="249">
        <f>INDEX(Tbl_BaselineSummary[Baseline Electric Summer Consumption (kWh)],MATCH(Tbl_MeasureList[[#This Row],[Baseline ID]],Tbl_BaselineSummary[Baseline ID],0))</f>
        <v>1404.1562400000003</v>
      </c>
      <c r="Y14" s="250">
        <f>INDEX(Tbl_BaselineSummary[Baseline Electric Baseline Winter Peak Demand (kW)],MATCH(Tbl_MeasureList[[#This Row],[Baseline ID]],Tbl_BaselineSummary[Baseline ID],0))</f>
        <v>5.7457334611697032E-2</v>
      </c>
      <c r="Z14" s="452">
        <f>INDEX(Tbl_BaselineSummary[Baseline Electric Baseline Summer Peak Demand (kW)],MATCH(Tbl_MeasureList[[#This Row],[Baseline ID]],Tbl_BaselineSummary[Baseline ID],0))</f>
        <v>1.8917929411764707</v>
      </c>
      <c r="AA14" s="458">
        <f>INDEX(Tbl_BaselineSummary[Baseline Natural Gas Annual Consumption  (therms)],MATCH(Tbl_MeasureList[[#This Row],[Baseline ID]],Tbl_BaselineSummary[Baseline ID],0))</f>
        <v>0</v>
      </c>
      <c r="AB14" s="455">
        <f>INDEX(Tbl_BaselineSummary[Baseline Propane Annual Consumption  (MMBtu)],MATCH(Tbl_MeasureList[[#This Row],[Baseline ID]],Tbl_BaselineSummary[Baseline ID],0))</f>
        <v>0</v>
      </c>
      <c r="AC14" s="252">
        <f>INDEX(Tbl_BaselineSummary[Baseline Oil Annual Consumption  (MMBtu)],MATCH(Tbl_MeasureList[[#This Row],[Baseline ID]],Tbl_BaselineSummary[Baseline ID],0))</f>
        <v>86.692015209125472</v>
      </c>
      <c r="AD14" s="371">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92.760960900005472</v>
      </c>
      <c r="AE14" s="460">
        <f>(lbCO2_per_Therm_Gas*Tbl_MeasureList[[#This Row],[Baseline Natural Gas Annual Consumption (therms/yr)]]+lbCO2_per_MMBtu_Prop*Tbl_MeasureList[[#This Row],[Baseline Propane Annual Consumption (MMBtu/yr)]]+lbCO2_per_MMBtu_Oil*Tbl_MeasureList[[#This Row],[Baseline Oil Annual Consumption (MMBtu/yr)]])*Lbs_per_ShortTon</f>
        <v>6.9917110266159703</v>
      </c>
      <c r="AF14" s="463">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7.6198789223343706</v>
      </c>
      <c r="AG14" s="465">
        <f>INDEX(Tbl_BaselineSummary[Code Annual Energy Cost (USD)],MATCH(Tbl_MeasureList[[#This Row],[Baseline ID]],Tbl_BaselineSummary[Baseline ID],0))</f>
        <v>2144.1586439743196</v>
      </c>
      <c r="AH14" s="468">
        <f>INDEX(Tbl_BaselineSummary[Deferred Replacement Credit (USD)],MATCH(Tbl_MeasureList[[#This Row],[Baseline ID]],Tbl_BaselineSummary[Baseline ID],0))</f>
        <v>5595.8202308573791</v>
      </c>
      <c r="AI14" s="201">
        <f>INDEX(Tbl_BaselineSummary[A/C-only Deferred Replacement Credit (USD)],MATCH(Tbl_MeasureList[[#This Row],[Baseline ID]],Tbl_BaselineSummary[Baseline ID],0))</f>
        <v>2736.686075169398</v>
      </c>
      <c r="AJ14" s="468">
        <f>INDEX(Tbl_BaselineSummary[Code Installed Costs (USD)],MATCH(Tbl_MeasureList[[#This Row],[Baseline ID]],Tbl_BaselineSummary[Baseline ID],0))</f>
        <v>9183.0691999999999</v>
      </c>
      <c r="AK14" s="201">
        <f>INDEX(Tbl_BaselineSummary[Code A/C-only Installed Cost (USD)],MATCH(Tbl_MeasureList[[#This Row],[Baseline ID]],Tbl_BaselineSummary[Baseline ID],0))</f>
        <v>4084.0691999999995</v>
      </c>
      <c r="AL14" s="86">
        <f>INDEX(Tbl_BaselineSummary[Code Electric Annual Consumption (kWh)],MATCH(Tbl_MeasureList[[#This Row],[Baseline ID]],Tbl_BaselineSummary[Baseline ID],0))</f>
        <v>1482.4304000000002</v>
      </c>
      <c r="AM14" s="86">
        <f>INDEX(Tbl_BaselineSummary[Code Electric Winter Consumption (kWh)],MATCH(Tbl_MeasureList[[#This Row],[Baseline ID]],Tbl_BaselineSummary[Baseline ID],0))</f>
        <v>372.5</v>
      </c>
      <c r="AN14" s="86">
        <f>INDEX(Tbl_BaselineSummary[Code Electric Summer Consumption (kWh)],MATCH(Tbl_MeasureList[[#This Row],[Baseline ID]],Tbl_BaselineSummary[Baseline ID],0))</f>
        <v>1109.9304000000002</v>
      </c>
      <c r="AO14" s="152">
        <f>INDEX(Tbl_BaselineSummary[Code Electric Winter Peak Demand (kW)],MATCH(Tbl_MeasureList[[#This Row],[Baseline ID]],Tbl_BaselineSummary[Baseline ID],0))</f>
        <v>5.7142857142857141E-2</v>
      </c>
      <c r="AP14" s="470">
        <f>INDEX(Tbl_BaselineSummary[Code Electric Summer Peak Demand (kW)],MATCH(Tbl_MeasureList[[#This Row],[Baseline ID]],Tbl_BaselineSummary[Baseline ID],0))</f>
        <v>1.4967665454545458</v>
      </c>
      <c r="AQ14" s="467">
        <f>INDEX(Tbl_BaselineSummary[Code Natural Gas Annual Consumption (therms)],MATCH(Tbl_MeasureList[[#This Row],[Baseline ID]],Tbl_BaselineSummary[Baseline ID],0))</f>
        <v>0</v>
      </c>
      <c r="AR14" s="472">
        <f>INDEX(Tbl_BaselineSummary[Code Propane Annual Consumption (MMBtu)],MATCH(Tbl_MeasureList[[#This Row],[Baseline ID]],Tbl_BaselineSummary[Baseline ID],0))</f>
        <v>0</v>
      </c>
      <c r="AS14" s="467">
        <f>INDEX(Tbl_BaselineSummary[Code Oil Annual Consumption (MMBtu)],MATCH(Tbl_MeasureList[[#This Row],[Baseline ID]],Tbl_BaselineSummary[Baseline ID],0))</f>
        <v>82.409638554216883</v>
      </c>
      <c r="AT14" s="204">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87.467691079016888</v>
      </c>
      <c r="AU14" s="467">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6.6463373493975926</v>
      </c>
      <c r="AV14" s="474">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7.1698724694615921</v>
      </c>
      <c r="AW14" s="248">
        <f ca="1">INDIRECT(Tbl_MeasureList[[#This Row],[Measure ID]]&amp;"!L26")</f>
        <v>1944.7135228262234</v>
      </c>
      <c r="AX14" s="477">
        <f ca="1">INDIRECT(Tbl_MeasureList[[#This Row],[Measure ID]]&amp;"!M26")</f>
        <v>17348</v>
      </c>
      <c r="AY14" s="481">
        <f ca="1">INDIRECT(Tbl_MeasureList[[#This Row],[Measure ID]]&amp;"!D26")</f>
        <v>9831.7164955825247</v>
      </c>
      <c r="AZ14" s="481">
        <f ca="1">INDIRECT(Tbl_MeasureList[[#This Row],[Measure ID]]&amp;"!J26")</f>
        <v>8897.9450670110964</v>
      </c>
      <c r="BA14" s="481">
        <f ca="1">INDIRECT(Tbl_MeasureList[[#This Row],[Measure ID]]&amp;"!I26")</f>
        <v>933.7714285714286</v>
      </c>
      <c r="BB14" s="479">
        <f ca="1">INDIRECT(Tbl_MeasureList[[#This Row],[Measure ID]]&amp;"!E26")</f>
        <v>1.8146341463414635</v>
      </c>
      <c r="BC14" s="268">
        <f ca="1">INDIRECT(Tbl_MeasureList[[#This Row],[Measure ID]]&amp;"!H26")</f>
        <v>2.0512820512820515</v>
      </c>
      <c r="BD14" s="253">
        <f ca="1">INDIRECT(Tbl_MeasureList[[#This Row],[Measure ID]]&amp;"!D32")</f>
        <v>0</v>
      </c>
      <c r="BE14" s="270">
        <f ca="1">INDIRECT(Tbl_MeasureList[[#This Row],[Measure ID]]&amp;"!D38")</f>
        <v>0</v>
      </c>
      <c r="BF14" s="253">
        <f ca="1">INDIRECT(Tbl_MeasureList[[#This Row],[Measure ID]]&amp;"!D44")</f>
        <v>0</v>
      </c>
      <c r="BG14" s="460">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33.545816682927573</v>
      </c>
      <c r="BH14" s="371">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0</v>
      </c>
      <c r="BI14" s="272">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3.4721689975799253</v>
      </c>
      <c r="BJ14" s="273">
        <f ca="1">INDIRECT(Tbl_MeasureList[[#This Row],[Measure ID]]&amp;"!L27")</f>
        <v>1864.4382081895251</v>
      </c>
      <c r="BK14" s="201">
        <f ca="1">INDIRECT(Tbl_MeasureList[[#This Row],[Measure ID]]&amp;"!M27")</f>
        <v>18740</v>
      </c>
      <c r="BL14" s="85">
        <f ca="1">INDIRECT(Tbl_MeasureList[[#This Row],[Measure ID]]&amp;"!D27")</f>
        <v>9425.8756733545251</v>
      </c>
      <c r="BM14" s="85">
        <f ca="1">INDIRECT(Tbl_MeasureList[[#This Row],[Measure ID]]&amp;"!J27")</f>
        <v>8608.8256733545259</v>
      </c>
      <c r="BN14" s="85">
        <f ca="1">INDIRECT(Tbl_MeasureList[[#This Row],[Measure ID]]&amp;"!I27")</f>
        <v>817.05000000000007</v>
      </c>
      <c r="BO14" s="152">
        <f ca="1">INDIRECT(Tbl_MeasureList[[#This Row],[Measure ID]]&amp;"!E27")</f>
        <v>1.7505882352941176</v>
      </c>
      <c r="BP14" s="470">
        <f ca="1">INDIRECT(Tbl_MeasureList[[#This Row],[Measure ID]]&amp;"!H27")</f>
        <v>2.0512820512820515</v>
      </c>
      <c r="BQ14" s="467">
        <f ca="1">INDIRECT(Tbl_MeasureList[[#This Row],[Measure ID]]&amp;"!D33")</f>
        <v>0</v>
      </c>
      <c r="BR14" s="472">
        <f ca="1">INDIRECT(Tbl_MeasureList[[#This Row],[Measure ID]]&amp;"!D39")</f>
        <v>0</v>
      </c>
      <c r="BS14" s="467">
        <f ca="1">INDIRECT(Tbl_MeasureList[[#This Row],[Measure ID]]&amp;"!D45")</f>
        <v>0</v>
      </c>
      <c r="BT14" s="204">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32.161087797485642</v>
      </c>
      <c r="BU14" s="467">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0</v>
      </c>
      <c r="BV14" s="260">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3.3288422528018846</v>
      </c>
      <c r="BW14" s="24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1667.3722020406601</v>
      </c>
      <c r="BX14" s="26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20132</v>
      </c>
      <c r="BY14"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8429.5864612773512</v>
      </c>
      <c r="BZ14"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7703.3197946106839</v>
      </c>
      <c r="CA14"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726.26666666666677</v>
      </c>
      <c r="CB14"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2.7</v>
      </c>
      <c r="CC14"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2.0512820512820515</v>
      </c>
      <c r="CD14"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0</v>
      </c>
      <c r="CE14"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0</v>
      </c>
      <c r="CF14"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0</v>
      </c>
      <c r="CG14" s="460">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28.761749005878322</v>
      </c>
      <c r="CH14" s="37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0</v>
      </c>
      <c r="CI14" s="26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2.9769927546647095</v>
      </c>
      <c r="CJ14" s="320">
        <f ca="1">-Tbl_MeasureList[[#This Row],[Low Measure Energy Cost (USD/yr)]]+Tbl_MeasureList[[#This Row],[Baseline Energy Cost (USD/yr)]]</f>
        <v>434.50667443366001</v>
      </c>
      <c r="CK14"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13144.179769142622</v>
      </c>
      <c r="CL14" s="249">
        <f ca="1">-Tbl_MeasureList[[#This Row],[Low Measure Electric Annual Consumption (kWh/yr)]]+Tbl_MeasureList[[#This Row],[Baseline Electric Annual Consumption (kWh/yr)]]</f>
        <v>-7647.1694333545247</v>
      </c>
      <c r="CM14" s="249">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-8234.2756733545266</v>
      </c>
      <c r="CN14" s="249">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587.10624000000018</v>
      </c>
      <c r="CO14" s="268">
        <f ca="1">-Tbl_MeasureList[[#This Row],[Low Measure Electric Winter Peak Demand (kW)]]+Tbl_MeasureList[[#This Row],[Baseline Electric Winter Peak Demand (kW)]]</f>
        <v>-1.6931309006824204</v>
      </c>
      <c r="CP14" s="479">
        <f ca="1">-Tbl_MeasureList[[#This Row],[Low Measure Electric Summer Peak Demand (kW)]]+Tbl_MeasureList[[#This Row],[Baseline Electric Summer Peak Demand (kW)]]</f>
        <v>-0.15948911010558087</v>
      </c>
      <c r="CQ14" s="481">
        <f ca="1">-Tbl_MeasureList[[#This Row],[Low Measure Natural Gas Annual Consumption (therms/yr)]]+Tbl_MeasureList[[#This Row],[Baseline Natural Gas Annual Consumption (therms/yr)]]</f>
        <v>0</v>
      </c>
      <c r="CR14" s="490">
        <f ca="1">-Tbl_MeasureList[[#This Row],[Low Measure Propane Annual Consumption (MMBtu/yr)]]+Tbl_MeasureList[[#This Row],[Baseline Propane Annual Consumption (MMBtu/yr)]]</f>
        <v>0</v>
      </c>
      <c r="CS14" s="252">
        <f ca="1">-Tbl_MeasureList[[#This Row],[Low Measure Oil Annual Consumption (MMBtu/yr)]]+Tbl_MeasureList[[#This Row],[Baseline Oil Annual Consumption (MMBtu/yr)]]</f>
        <v>86.692015209125472</v>
      </c>
      <c r="CT14"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60.599873102519837</v>
      </c>
      <c r="CU14" s="487">
        <f ca="1">-Tbl_MeasureList[[#This Row],[Low Measure Carbon Emissions, Site (tons CO2/yr)]]+Tbl_MeasureList[[#This Row],[Baseline Carbon Emissions, Site (tons CO2/yr)]]</f>
        <v>6.9917110266159703</v>
      </c>
      <c r="CV14" s="491">
        <f ca="1">-Tbl_MeasureList[[#This Row],[Low Measure Carbon Emissions, Source (tons CO2/yr)]]+Tbl_MeasureList[[#This Row],[Baseline Carbon Emissions, Source (tons CO2/yr)]]</f>
        <v>4.2910366695324864</v>
      </c>
      <c r="CW14"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631.57268058252498</v>
      </c>
      <c r="CX14"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14536.179769142622</v>
      </c>
      <c r="CY14"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-6650.8802212773508</v>
      </c>
      <c r="CZ14"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-7328.7697946106837</v>
      </c>
      <c r="DA14"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677.88957333333349</v>
      </c>
      <c r="DB14"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-2.6425426653883033</v>
      </c>
      <c r="DC14"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-0.15948911010558087</v>
      </c>
      <c r="DD14"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0</v>
      </c>
      <c r="DE14"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0</v>
      </c>
      <c r="DF14"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86.692015209125472</v>
      </c>
      <c r="DG14" s="270">
        <f ca="1">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63.99921189412715</v>
      </c>
      <c r="DH14"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6.9917110266159703</v>
      </c>
      <c r="DI14"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4.6428861676696611</v>
      </c>
      <c r="DJ14" s="320">
        <f ca="1">-Tbl_MeasureList[[#This Row],[Low Measure Energy Cost (USD/yr)]]+Tbl_MeasureList[[#This Row],[Code (old fuel) Energy Cost (USD/yr)]]</f>
        <v>279.72043578479452</v>
      </c>
      <c r="DK14" s="267">
        <f ca="1">Tbl_MeasureList[[#This Row],[Low Measure Installed Costs (USD)]]-Tbl_MeasureList[[#This Row],[Code (old fuel) Installed Costs (USD)]]</f>
        <v>9556.9308000000001</v>
      </c>
      <c r="DL14" s="249">
        <f ca="1">-Tbl_MeasureList[[#This Row],[Low Measure Electric Annual Consumption (kWh/yr)]]+Tbl_MeasureList[[#This Row],[Code (old fuel) Electric Annual Consumption (kWh/yr)]]</f>
        <v>-7943.4452733545249</v>
      </c>
      <c r="DM14" s="249">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-8236.3256733545259</v>
      </c>
      <c r="DN14" s="249">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292.88040000000012</v>
      </c>
      <c r="DO14" s="268">
        <f ca="1">-Tbl_MeasureList[[#This Row],[Low Measure Electric Winter Peak Demand (kW)]]+Tbl_MeasureList[[#This Row],[Code (old fuel) Electric Winter Peak Demand (kW)]]</f>
        <v>-1.6934453781512604</v>
      </c>
      <c r="DP14" s="479">
        <f ca="1">-Tbl_MeasureList[[#This Row],[Low Measure Electric Summer Peak Demand (kW)]]+Tbl_MeasureList[[#This Row],[Code (old fuel) Electric Summer Peak Demand (kW)]]</f>
        <v>-0.55451550582750575</v>
      </c>
      <c r="DQ14" s="481">
        <f ca="1">-Tbl_MeasureList[[#This Row],[Low Measure Natural Gas Annual Consumption (therms/yr)]]+Tbl_MeasureList[[#This Row],[Code (old fuel) Natural Gas Annual Consumption (therms/yr)]]</f>
        <v>0</v>
      </c>
      <c r="DR14" s="490">
        <f ca="1">-Tbl_MeasureList[[#This Row],[Low Measure Propane Annual Consumption (MMBtu/yr)]]+Tbl_MeasureList[[#This Row],[Code (old fuel) Propane Annual Consumption (MMBtu/yr)]]</f>
        <v>0</v>
      </c>
      <c r="DS14" s="252">
        <f ca="1">-Tbl_MeasureList[[#This Row],[Low Measure Oil Annual Consumption (MMBtu/yr)]]+Tbl_MeasureList[[#This Row],[Code (old fuel) Oil Annual Consumption (MMBtu/yr)]]</f>
        <v>82.409638554216883</v>
      </c>
      <c r="DT14"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55.306603281531245</v>
      </c>
      <c r="DU14" s="487">
        <f ca="1">-Tbl_MeasureList[[#This Row],[Low Measure Carbon Emissions, Site (tons CO2/yr)]]+Tbl_MeasureList[[#This Row],[Code (old fuel) Carbon Emissions, Site (tons CO2/yr)]]</f>
        <v>6.6463373493975926</v>
      </c>
      <c r="DV14" s="491">
        <f ca="1">-Tbl_MeasureList[[#This Row],[Low Measure Carbon Emissions, Source (tons CO2/yr)]]+Tbl_MeasureList[[#This Row],[Code (old fuel) Carbon Emissions, Source (tons CO2/yr)]]</f>
        <v>3.8410302166597075</v>
      </c>
      <c r="DW14"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(old fuel) Energy Cost (USD/yr)]],
        "-")</f>
        <v>476.78644193365949</v>
      </c>
      <c r="DX14"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10948.9308</v>
      </c>
      <c r="DY14"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-6947.156061277351</v>
      </c>
      <c r="DZ14"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-7330.8197946106839</v>
      </c>
      <c r="EA14"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383.66373333333343</v>
      </c>
      <c r="EB14"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-2.6428571428571432</v>
      </c>
      <c r="EC14"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-0.55451550582750575</v>
      </c>
      <c r="ED14"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0</v>
      </c>
      <c r="EE14"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0</v>
      </c>
      <c r="EF14"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82.409638554216883</v>
      </c>
      <c r="EG14" s="270">
        <f ca="1">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58.705942073138559</v>
      </c>
      <c r="EH14"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6.6463373493975926</v>
      </c>
      <c r="EI14"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4.1928797147968826</v>
      </c>
      <c r="EJ14" s="477">
        <f ca="1">Tbl_MeasureList[[#This Row],[Code (old fuel) Energy Cost (USD/yr)]]-Tbl_MeasureList[[#This Row],[Code (new fuel) Energy Cost (USD/yr)]]</f>
        <v>199.44512114809618</v>
      </c>
      <c r="EK14" s="496">
        <f ca="1">Tbl_MeasureList[[#This Row],[Code (old fuel) Electric Annual Consumption (kWh/yr)]]-Tbl_MeasureList[[#This Row],[Code (new fuel) Electric Annual Consumption (kWh/yr)]]</f>
        <v>-8349.2860955825236</v>
      </c>
      <c r="EL14" s="496">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-8525.4450670110964</v>
      </c>
      <c r="EM14" s="496">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176.15897142857159</v>
      </c>
      <c r="EN14" s="500">
        <f ca="1">Tbl_MeasureList[[#This Row],[Code (old fuel) Electric Winter Peak Demand (kW)]]-Tbl_MeasureList[[#This Row],[Code (new fuel) Electric Winter Peak Demand (kW)]]</f>
        <v>-1.7574912891986063</v>
      </c>
      <c r="EO14" s="493">
        <f ca="1">Tbl_MeasureList[[#This Row],[Code (old fuel) Electric Summer Peak Demand (kW)]]-Tbl_MeasureList[[#This Row],[Code (new fuel) Electric Summer Peak Demand (kW)]]</f>
        <v>-0.55451550582750575</v>
      </c>
      <c r="EP14" s="502">
        <f ca="1">Tbl_MeasureList[[#This Row],[Code (old fuel) Natural Gas Annual Consumption (therms/yr)]]-Tbl_MeasureList[[#This Row],[Code (new fuel) Natural Gas Annual Consumption (therms/yr)]]</f>
        <v>0</v>
      </c>
      <c r="EQ14" s="215">
        <f ca="1">Tbl_MeasureList[[#This Row],[Code (old fuel) Propane Annual Consumption (MMBtu/yr)]]-Tbl_MeasureList[[#This Row],[Code (new fuel) Propane Annual Consumption (MMBtu/yr)]]</f>
        <v>0</v>
      </c>
      <c r="ER14" s="502">
        <f ca="1">Tbl_MeasureList[[#This Row],[Code (old fuel) Oil Annual Consumption (MMBtu/yr)]]-Tbl_MeasureList[[#This Row],[Code (new fuel) Oil Annual Consumption (MMBtu/yr)]]</f>
        <v>82.409638554216883</v>
      </c>
      <c r="ES14" s="215">
        <f ca="1">Tbl_MeasureList[[#This Row],[Code (old fuel) Energy Consumption on MMBtu Basis (MMBtu/yr)]]-Tbl_MeasureList[[#This Row],[Code (new fuel) Energy Consumption on MMBtu Basis (MMBtu/yr)]]</f>
        <v>53.921874396089315</v>
      </c>
      <c r="ET14" s="502">
        <f ca="1">Tbl_MeasureList[[#This Row],[Code (old fuel) Carbon Emissions, Site (tons CO2/yr)]]-Tbl_MeasureList[[#This Row],[Code (new fuel) Carbon Emissions, Site (tons CO2/yr)]]</f>
        <v>6.6463373493975926</v>
      </c>
      <c r="EU14" s="498">
        <f ca="1">Tbl_MeasureList[[#This Row],[Code (old fuel) Carbon Emissions, Source (tons CO2/yr)]]-Tbl_MeasureList[[#This Row],[Code (new fuel) Carbon Emissions, Source (tons CO2/yr)]]</f>
        <v>3.6977034718816668</v>
      </c>
      <c r="EV14" s="450">
        <f ca="1">Tbl_MeasureList[[#This Row],[ER Total Low Measure Electric Annual Consumption Savings (kWh/yr)]]*COAL_BTU_PER_SITE_KWH/Btu_per_MMBtu</f>
        <v>-0.84174576533851198</v>
      </c>
      <c r="EW14" s="411">
        <f ca="1">Tbl_MeasureList[[#This Row],[ER Total Low Measure Electric Annual Consumption Savings (kWh/yr)]]*COAL_LBS_PER_SITE_KWH</f>
        <v>-73.837347836711572</v>
      </c>
      <c r="EX14" s="326">
        <f ca="1">Tbl_MeasureList[[#This Row],[ER Total Low Measure Electric Annual Consumption Savings (kWh/yr)]]*OIL_BTU_PER_SITE_KWH/Btu_per_MMBtu</f>
        <v>-0.96901297995669244</v>
      </c>
      <c r="EY14" s="325">
        <f ca="1">Tbl_MeasureList[[#This Row],[ER Total Low Measure Electric Annual Consumption Savings (kWh/yr)]]*OIL_GAL_PER_SITE_KWH</f>
        <v>-7.0246328606088824</v>
      </c>
      <c r="EZ14" s="326">
        <f ca="1">Tbl_MeasureList[[#This Row],[ER Total Low Measure Oil Annual Consumption Savings (MMBtu/yr)]]*Btu_per_MMBtu/OIL_BTU_PER_GAL</f>
        <v>628.45347935137534</v>
      </c>
      <c r="FA14" s="325">
        <f ca="1">Tbl_MeasureList[[#This Row],[Current ER Total Low Measure Oil Source Fuel Savings (gallons oil/year)]]+Tbl_MeasureList[[#This Row],[Current ER Total Low Measure Oil Site Fuel Savings (gallons oil/year)]]</f>
        <v>621.42884649076643</v>
      </c>
      <c r="FB14" s="326">
        <f ca="1">Tbl_MeasureList[[#This Row],[ER Total Low Measure Electric Annual Consumption Savings (kWh/yr)]]*GAS_BTU_PER_SITE_KWH/Btu_per_MMBtu</f>
        <v>-31.293218084746634</v>
      </c>
      <c r="FC14" s="327">
        <f ca="1">Tbl_MeasureList[[#This Row],[ER Total Low Measure Electric Annual Consumption Savings (kWh/yr)]]*GAS_CUFT_PER_SITE_KWH/1000</f>
        <v>-30.411290655730447</v>
      </c>
      <c r="FD14" s="328">
        <f ca="1">Tbl_MeasureList[[#This Row],[ER Total Low Measure Natural Gas Annual Consumption Savings (therms/yr)]]*Btu_per_MMBtu/(GAS_BTU_PER_CUFT*Therm_per_MMBtu*1000)</f>
        <v>0</v>
      </c>
      <c r="FE14" s="329">
        <f ca="1">Tbl_MeasureList[[#This Row],[Current ER Total Low Measure Gas Source Fuel Savings (1,000 cu.ft. gas/year)]]+Tbl_MeasureList[[#This Row],[Current ER Total Low Measure Gas Site Fuel Savings (1,000 cu.ft gas/year)]]</f>
        <v>-30.411290655730447</v>
      </c>
      <c r="FF14" s="324">
        <f ca="1">IFERROR(Tbl_MeasureList[[#This Row],[ER Total High Measure Electric Annual Consumption Savings (kWh/yr)]]*COAL_BTU_PER_SITE_KWH/Btu_per_MMBtu,"-")</f>
        <v>-0.73208136825315384</v>
      </c>
      <c r="FG14" s="325">
        <f ca="1">IFERROR(Tbl_MeasureList[[#This Row],[ER Total High Measure Electric Annual Consumption Savings (kWh/yr)]]*COAL_LBS_PER_SITE_KWH,"-")</f>
        <v>-64.2176638818556</v>
      </c>
      <c r="FH14" s="326">
        <f ca="1">IFERROR(Tbl_MeasureList[[#This Row],[ER Total High Measure Electric Annual Consumption Savings (kWh/yr)]]*OIL_BTU_PER_SITE_KWH/Btu_per_MMBtu,"-")</f>
        <v>-0.84276794423370138</v>
      </c>
      <c r="FI14" s="325">
        <f ca="1">IFERROR(Tbl_MeasureList[[#This Row],[ER Total High Measure Electric Annual Consumption Savings (kWh/yr)]]*OIL_GAL_PER_SITE_KWH,"-")</f>
        <v>-6.1094490139816688</v>
      </c>
      <c r="FJ14" s="326">
        <f ca="1">IFERROR(Tbl_MeasureList[[#This Row],[ER Total High Measure Oil Annual Consumption Savings (MMBtu/yr)]]*Btu_per_MMBtu/OIL_BTU_PER_GAL,"-")</f>
        <v>628.45347935137534</v>
      </c>
      <c r="FK14" s="325">
        <f ca="1">IFERROR(Tbl_MeasureList[[#This Row],[Current ER Total High Measure Oil Source Fuel Savings (gallons oil/year)]]+Tbl_MeasureList[[#This Row],[Current ER Total High Measure Oil Site Fuel Savings (gallons oil/year)]],"-")</f>
        <v>622.34403033739363</v>
      </c>
      <c r="FL14" s="326">
        <f ca="1">IFERROR(Tbl_MeasureList[[#This Row],[ER Total High Measure Electric Annual Consumption Savings (kWh/yr)]]*GAS_BTU_PER_SITE_KWH/Btu_per_MMBtu,"-")</f>
        <v>-27.216272247372242</v>
      </c>
      <c r="FM14" s="327">
        <f ca="1">IFERROR(Tbl_MeasureList[[#This Row],[ER Total High Measure Electric Annual Consumption Savings (kWh/yr)]]*GAS_CUFT_PER_SITE_KWH/1000,"-")</f>
        <v>-26.44924416654251</v>
      </c>
      <c r="FN14" s="328">
        <f ca="1">IFERROR(Tbl_MeasureList[[#This Row],[ER Total High Measure Natural Gas Annual Consumption Savings (therms/yr)]]*Btu_per_MMBtu/(GAS_BTU_PER_CUFT*Therm_per_MMBtu*1000),"-")</f>
        <v>0</v>
      </c>
      <c r="FO14" s="329">
        <f ca="1">IFERROR(Tbl_MeasureList[[#This Row],[Current ER Total High Measure Gas Source Fuel Savings (1,000 cu.ft. gas/year)]]+Tbl_MeasureList[[#This Row],[Current ER Total High Measure Gas Site Fuel Savings (1,000 cu.ft gas/year)]],"-")</f>
        <v>-26.44924416654251</v>
      </c>
      <c r="FP14" s="412">
        <f ca="1">Tbl_MeasureList[[#This Row],[ROF Low Measure Electric Annual Consumption Savings (kWh/yr)]]*COAL_BTU_PER_SITE_KWH/Btu_per_MMBtu</f>
        <v>-0.87435769264907426</v>
      </c>
      <c r="FQ14" s="327">
        <f ca="1">Tbl_MeasureList[[#This Row],[ROF Low Measure Electric Annual Consumption Savings (kWh/yr)]]*COAL_LBS_PER_SITE_KWH</f>
        <v>-76.698043214831074</v>
      </c>
      <c r="FR14" s="412">
        <f ca="1">Tbl_MeasureList[[#This Row],[ROF Low Measure Electric Annual Consumption Savings (kWh/yr)]]*OIL_BTU_PER_SITE_KWH/Btu_per_MMBtu</f>
        <v>-1.0065556468361987</v>
      </c>
      <c r="FS14" s="327">
        <f ca="1">Tbl_MeasureList[[#This Row],[ROF Low Measure Electric Annual Consumption Savings (kWh/yr)]]*OIL_GAL_PER_SITE_KWH</f>
        <v>-7.29678963961143</v>
      </c>
      <c r="FT14" s="412">
        <f ca="1">Tbl_MeasureList[[#This Row],[ROF Low Measure Oil Annual Consumption Savings (MMBtu/yr)]]*Btu_per_MMBtu/OIL_BTU_PER_GAL</f>
        <v>597.40939181715089</v>
      </c>
      <c r="FU14" s="327">
        <f ca="1">Tbl_MeasureList[[#This Row],[Current ROF Low Measure Oil Source Fuel Savings (gallons oil/year)]]+Tbl_MeasureList[[#This Row],[Current ROF Low Measure Oil Site Fuel Savings (gallons oil/year)]]</f>
        <v>590.11260217753943</v>
      </c>
      <c r="FV14" s="412">
        <f ca="1">Tbl_MeasureList[[#This Row],[ROF Low Measure Electric Annual Consumption Savings (kWh/yr)]]*GAS_BTU_PER_SITE_KWH/Btu_per_MMBtu</f>
        <v>-32.505617594808811</v>
      </c>
      <c r="FW14" s="327">
        <f ca="1">Tbl_MeasureList[[#This Row],[ROF Low Measure Electric Annual Consumption Savings (kWh/yr)]]*GAS_CUFT_PER_SITE_KWH/1000</f>
        <v>-31.589521472117404</v>
      </c>
      <c r="FX14" s="412">
        <f ca="1">Tbl_MeasureList[[#This Row],[ROF Low Measure Natural Gas Annual Consumption Savings (therms/yr)]]*Btu_per_MMBtu/(GAS_BTU_PER_CUFT*Therm_per_MMBtu*1000)</f>
        <v>0</v>
      </c>
      <c r="FY14" s="327">
        <f ca="1">Tbl_MeasureList[[#This Row],[Current ROF Low Measure Gas Source Fuel Savings (1,000 cu.ft. gas/year)]]+Tbl_MeasureList[[#This Row],[Current ROF Low Measure Gas Site Fuel Savings (1,000 cu.ft gas/year)]]</f>
        <v>-31.589521472117404</v>
      </c>
      <c r="FZ14" s="414">
        <f ca="1">IFERROR(Tbl_MeasureList[[#This Row],[ROF High Measure Electric Annual Consumption Savings (kWh/yr)]]*COAL_BTU_PER_SITE_KWH/Btu_per_MMBtu,"-")</f>
        <v>-0.76469329556371612</v>
      </c>
      <c r="GA14" s="327">
        <f ca="1">IFERROR(Tbl_MeasureList[[#This Row],[ROF High Measure Electric Annual Consumption Savings (kWh/yr)]]*COAL_LBS_PER_SITE_KWH,"-")</f>
        <v>-67.078359259975088</v>
      </c>
      <c r="GB14" s="412">
        <f ca="1">IFERROR(Tbl_MeasureList[[#This Row],[ROF High Measure Electric Annual Consumption Savings (kWh/yr)]]*OIL_BTU_PER_SITE_KWH/Btu_per_MMBtu,"-")</f>
        <v>-0.88031061111320763</v>
      </c>
      <c r="GC14" s="327">
        <f ca="1">IFERROR(Tbl_MeasureList[[#This Row],[ROF High Measure Electric Annual Consumption Savings (kWh/yr)]]*OIL_GAL_PER_SITE_KWH,"-")</f>
        <v>-6.3816057929842156</v>
      </c>
      <c r="GD14" s="412">
        <f ca="1">IFERROR(Tbl_MeasureList[[#This Row],[ROF High Measure Oil Annual Consumption Savings (MMBtu/yr)]]*Btu_per_MMBtu/OIL_BTU_PER_GAL,"-")</f>
        <v>597.40939181715089</v>
      </c>
      <c r="GE14" s="327">
        <f ca="1">IFERROR(Tbl_MeasureList[[#This Row],[Current ROF High Measure Oil Source Fuel Savings (gallons oil/year)]]+Tbl_MeasureList[[#This Row],[Current ROF High Measure Oil Site Fuel Savings (gallons oil/year)]],"-")</f>
        <v>591.02778602416663</v>
      </c>
      <c r="GF14" s="412">
        <f ca="1">IFERROR(Tbl_MeasureList[[#This Row],[ROF High Measure Electric Annual Consumption Savings (kWh/yr)]]*GAS_BTU_PER_SITE_KWH/Btu_per_MMBtu,"-")</f>
        <v>-28.428671757434422</v>
      </c>
      <c r="GG14" s="327">
        <f ca="1">IFERROR(Tbl_MeasureList[[#This Row],[ROF High Measure Electric Annual Consumption Savings (kWh/yr)]]*GAS_CUFT_PER_SITE_KWH/1000,"-")</f>
        <v>-27.627474982929467</v>
      </c>
      <c r="GH14" s="412">
        <f ca="1">IFERROR(Tbl_MeasureList[[#This Row],[ROF High Measure Natural Gas Annual Consumption Savings (therms/yr)]]*Btu_per_MMBtu/(GAS_BTU_PER_CUFT*Therm_per_MMBtu*1000),"-")</f>
        <v>0</v>
      </c>
      <c r="GI14" s="327">
        <f ca="1">IFERROR(Tbl_MeasureList[[#This Row],[Current ROF High Measure Gas Source Fuel Savings (1,000 cu.ft. gas/year)]]+Tbl_MeasureList[[#This Row],[Current ROF High Measure Gas Site Fuel Savings (1,000 cu.ft gas/year)]],"-")</f>
        <v>-27.627474982929467</v>
      </c>
      <c r="GJ14" s="324">
        <f ca="1">Tbl_MeasureList[[#This Row],[ER Total Low Measure Electric Annual Consumption Savings (kWh/yr)]]*COAL_BTU_PER_SITE_KWH_CES/Btu_per_MMBtu</f>
        <v>-1.4309678010754705</v>
      </c>
      <c r="GK14" s="325">
        <f ca="1">Tbl_MeasureList[[#This Row],[ER Total Low Measure Electric Annual Consumption Savings (kWh/yr)]]*COAL_LBS_PER_SITE_KWH_CES</f>
        <v>-129.94622240060573</v>
      </c>
      <c r="GL14" s="326">
        <f ca="1">Tbl_MeasureList[[#This Row],[ER Total Low Measure Electric Annual Consumption Savings (kWh/yr)]]*OIL_BTU_PER_SITE_KWH_CES/Btu_per_MMBtu</f>
        <v>-0.44046044543486018</v>
      </c>
      <c r="GM14" s="325">
        <f ca="1">Tbl_MeasureList[[#This Row],[ER Total Low Measure Electric Annual Consumption Savings (kWh/yr)]]*OIL_GAL_PER_SITE_KWH_CES</f>
        <v>-2.9715865543694693</v>
      </c>
      <c r="GN14" s="326">
        <f ca="1">Tbl_MeasureList[[#This Row],[ER Total Low Measure Oil Annual Consumption Savings (MMBtu/yr)]]*Btu_per_MMBtu/OIL_BTU_PER_GAL_CES</f>
        <v>584.87164837762759</v>
      </c>
      <c r="GO14" s="325">
        <f ca="1">Tbl_MeasureList[[#This Row],[CES ER Low Measure Oil Source Fuel Savings (gallons oil/year)]]+Tbl_MeasureList[[#This Row],[CES ER Low Measure Oil Site Fuel Savings (gallons oil/year)]]</f>
        <v>581.90006182325817</v>
      </c>
      <c r="GP14" s="326">
        <f ca="1">Tbl_MeasureList[[#This Row],[ER Total Low Measure Electric Annual Consumption Savings (kWh/yr)]]*GAS_BTU_PER_SITE_KWH_CES/Btu_per_MMBtu</f>
        <v>-13.028196916914926</v>
      </c>
      <c r="GQ14" s="327">
        <f ca="1">Tbl_MeasureList[[#This Row],[ER Total Low Measure Electric Annual Consumption Savings (kWh/yr)]]*GAS_CUFT_PER_SITE_KWH_CES/1000</f>
        <v>-12.64873487079119</v>
      </c>
      <c r="GR14" s="328">
        <f ca="1">Tbl_MeasureList[[#This Row],[ER Total Low Measure Natural Gas Annual Consumption Savings (therms/yr)]]*Btu_per_MMBtu/(GAS_BTU_PER_CUFT_CES*Therm_per_MMBtu*1000)</f>
        <v>0</v>
      </c>
      <c r="GS14" s="329">
        <f ca="1">Tbl_MeasureList[[#This Row],[CES ER Low Measure Gas Source Fuel Savings (1,000 cu.ft. gas/year)]]+Tbl_MeasureList[[#This Row],[CES ER Low Measure Gas Site Fuel Savings (1,000 cu.ft gas/year)]]</f>
        <v>-12.64873487079119</v>
      </c>
      <c r="GT14" s="324">
        <f ca="1">IFERROR(Tbl_MeasureList[[#This Row],[ER Total High Measure Electric Annual Consumption Savings (kWh/yr)]]*COAL_BTU_PER_SITE_KWH_CES/Btu_per_MMBtu,"-")</f>
        <v>-1.2445383260303615</v>
      </c>
      <c r="GU14" s="325">
        <f ca="1">IFERROR(Tbl_MeasureList[[#This Row],[ER Total High Measure Electric Annual Consumption Savings (kWh/yr)]]*COAL_LBS_PER_SITE_KWH_CES,"-")</f>
        <v>-113.0165570314531</v>
      </c>
      <c r="GV14" s="326">
        <f ca="1">IFERROR(Tbl_MeasureList[[#This Row],[ER Total High Measure Electric Annual Consumption Savings (kWh/yr)]]*OIL_BTU_PER_SITE_KWH_CES/Btu_per_MMBtu,"-")</f>
        <v>-0.38307633828804605</v>
      </c>
      <c r="GW14" s="325">
        <f ca="1">IFERROR(Tbl_MeasureList[[#This Row],[ER Total High Measure Electric Annual Consumption Savings (kWh/yr)]]*OIL_GAL_PER_SITE_KWH_CES,"-")</f>
        <v>-2.5844420491151641</v>
      </c>
      <c r="GX14" s="326">
        <f ca="1">IFERROR(Tbl_MeasureList[[#This Row],[ER Total High Measure Oil Annual Consumption Savings (MMBtu/yr)]]*Btu_per_MMBtu/OIL_BTU_PER_GAL_CES,"-")</f>
        <v>584.87164837762759</v>
      </c>
      <c r="GY14" s="325">
        <f ca="1">IFERROR(Tbl_MeasureList[[#This Row],[CES ER High Measure Oil Source Fuel Savings (gallons oil/year)]]+Tbl_MeasureList[[#This Row],[CES ER High Measure Oil Site Fuel Savings (gallons oil/year)]],"-")</f>
        <v>582.28720632851241</v>
      </c>
      <c r="GZ14" s="326">
        <f ca="1">IFERROR(Tbl_MeasureList[[#This Row],[ER Total High Measure Electric Annual Consumption Savings (kWh/yr)]]*GAS_BTU_PER_SITE_KWH_CES/Btu_per_MMBtu,"-")</f>
        <v>-11.330856200946812</v>
      </c>
      <c r="HA14" s="327">
        <f ca="1">IFERROR(Tbl_MeasureList[[#This Row],[ER Total High Measure Electric Annual Consumption Savings (kWh/yr)]]*GAS_CUFT_PER_SITE_KWH_CES/1000,"-")</f>
        <v>-11.00083126305516</v>
      </c>
      <c r="HB14" s="328">
        <f ca="1">IFERROR(Tbl_MeasureList[[#This Row],[ER Total High Measure Natural Gas Annual Consumption Savings (therms/yr)]]*Btu_per_MMBtu/(GAS_BTU_PER_CUFT_CES*Therm_per_MMBtu*1000),"-")</f>
        <v>0</v>
      </c>
      <c r="HC14" s="329">
        <f ca="1">IFERROR(Tbl_MeasureList[[#This Row],[CES ER High Measure Gas Source Fuel Savings (1,000 cu.ft. gas/year)]]+Tbl_MeasureList[[#This Row],[CES ER High Measure Gas Site Fuel Savings (1,000 cu.ft gas/year)]],"-")</f>
        <v>-11.00083126305516</v>
      </c>
      <c r="HD14" s="315">
        <f ca="1">Tbl_MeasureList[[#This Row],[ROF Low Measure Electric Annual Consumption Savings (kWh/yr)]]*COAL_BTU_PER_SITE_KWH_CES/Btu_per_MMBtu</f>
        <v>-1.4864080775034261</v>
      </c>
      <c r="HE14" s="316">
        <f ca="1">Tbl_MeasureList[[#This Row],[ROF Low Measure Electric Annual Consumption Savings (kWh/yr)]]*COAL_LBS_PER_SITE_KWH_CES</f>
        <v>-134.9807553126976</v>
      </c>
      <c r="HF14" s="317">
        <f ca="1">Tbl_MeasureList[[#This Row],[ROF Low Measure Electric Annual Consumption Savings (kWh/yr)]]*OIL_BTU_PER_SITE_KWH_CES/Btu_per_MMBtu</f>
        <v>-0.45752529401645403</v>
      </c>
      <c r="HG14" s="316">
        <f ca="1">Tbl_MeasureList[[#This Row],[ROF Low Measure Electric Annual Consumption Savings (kWh/yr)]]*OIL_GAL_PER_SITE_KWH_CES</f>
        <v>-3.0867153363588491</v>
      </c>
      <c r="HH14" s="317">
        <f ca="1">Tbl_MeasureList[[#This Row],[ROF Low Measure Oil Annual Consumption Savings (MMBtu/yr)]]*Btu_per_MMBtu/OIL_BTU_PER_GAL_CES</f>
        <v>555.98039827704611</v>
      </c>
      <c r="HI14" s="316">
        <f ca="1">Tbl_MeasureList[[#This Row],[CES ROF Low Measure Oil Source Fuel Savings (gallons oil/year)]]+Tbl_MeasureList[[#This Row],[CES ROF Low Measure Oil Site Fuel Savings (gallons oil/year)]]</f>
        <v>552.89368294068731</v>
      </c>
      <c r="HJ14" s="317">
        <f ca="1">Tbl_MeasureList[[#This Row],[ROF Low Measure Electric Annual Consumption Savings (kWh/yr)]]*GAS_BTU_PER_SITE_KWH_CES/Btu_per_MMBtu</f>
        <v>-13.532950998655098</v>
      </c>
      <c r="HK14" s="316">
        <f ca="1">Tbl_MeasureList[[#This Row],[ROF Low Measure Electric Annual Consumption Savings (kWh/yr)]]*GAS_CUFT_PER_SITE_KWH_CES/1000</f>
        <v>-13.138787377335047</v>
      </c>
      <c r="HL14" s="317">
        <f ca="1">Tbl_MeasureList[[#This Row],[ROF Low Measure Natural Gas Annual Consumption Savings (therms/yr)]]*Btu_per_MMBtu/(GAS_BTU_PER_CUFT_CES*Therm_per_MMBtu*1000)</f>
        <v>0</v>
      </c>
      <c r="HM14" s="318">
        <f ca="1">Tbl_MeasureList[[#This Row],[CES ROF Low Measure Gas Source Fuel Savings (1,000 cu.ft. gas/year)]]+Tbl_MeasureList[[#This Row],[CES ROF Low Measure Gas Site Fuel Savings (1,000 cu.ft gas/year)]]</f>
        <v>-13.138787377335047</v>
      </c>
      <c r="HN14" s="315">
        <f ca="1">IFERROR(Tbl_MeasureList[[#This Row],[ROF High Measure Electric Annual Consumption Savings (kWh/yr)]]*COAL_BTU_PER_SITE_KWH_CES/Btu_per_MMBtu,"-")</f>
        <v>-1.2999786024583171</v>
      </c>
      <c r="HO14" s="316">
        <f ca="1">IFERROR(Tbl_MeasureList[[#This Row],[ROF High Measure Electric Annual Consumption Savings (kWh/yr)]]*COAL_LBS_PER_SITE_KWH_CES,"-")</f>
        <v>-118.05108994354497</v>
      </c>
      <c r="HP14" s="317">
        <f ca="1">IFERROR(Tbl_MeasureList[[#This Row],[ROF High Measure Electric Annual Consumption Savings (kWh/yr)]]*OIL_BTU_PER_SITE_KWH_CES/Btu_per_MMBtu,"-")</f>
        <v>-0.40014118686963984</v>
      </c>
      <c r="HQ14" s="316">
        <f ca="1">IFERROR(Tbl_MeasureList[[#This Row],[ROF High Measure Electric Annual Consumption Savings (kWh/yr)]]*OIL_GAL_PER_SITE_KWH_CES,"-")</f>
        <v>-2.6995708311045439</v>
      </c>
      <c r="HR14" s="317">
        <f ca="1">IFERROR(Tbl_MeasureList[[#This Row],[ROF High Measure Oil Annual Consumption Savings (MMBtu/yr)]]*Btu_per_MMBtu/OIL_BTU_PER_GAL_CES,"-")</f>
        <v>555.98039827704611</v>
      </c>
      <c r="HS14" s="316">
        <f ca="1">IFERROR(Tbl_MeasureList[[#This Row],[CES ROF High Measure Oil Source Fuel Savings (gallons oil/year)]]+Tbl_MeasureList[[#This Row],[CES ROF High Measure Oil Site Fuel Savings (gallons oil/year)]],"-")</f>
        <v>553.28082744594155</v>
      </c>
      <c r="HT14" s="317">
        <f ca="1">IFERROR(Tbl_MeasureList[[#This Row],[ROF High Measure Electric Annual Consumption Savings (kWh/yr)]]*GAS_BTU_PER_SITE_KWH_CES/Btu_per_MMBtu,"-")</f>
        <v>-11.835610282686986</v>
      </c>
      <c r="HU14" s="316">
        <f ca="1">IFERROR(Tbl_MeasureList[[#This Row],[ROF High Measure Electric Annual Consumption Savings (kWh/yr)]]*GAS_CUFT_PER_SITE_KWH_CES/1000,"-")</f>
        <v>-11.490883769599016</v>
      </c>
      <c r="HV14" s="317">
        <f ca="1">IFERROR(Tbl_MeasureList[[#This Row],[ROF High Measure Natural Gas Annual Consumption Savings (therms/yr)]]*Btu_per_MMBtu/(GAS_BTU_PER_CUFT_CES*Therm_per_MMBtu*1000),"-")</f>
        <v>0</v>
      </c>
      <c r="HW14" s="318">
        <f ca="1">IFERROR(Tbl_MeasureList[[#This Row],[CES ROF High Measure Gas Source Fuel Savings (1,000 cu.ft. gas/year)]]+Tbl_MeasureList[[#This Row],[CES ROF High Measure Gas Site Fuel Savings (1,000 cu.ft gas/year)]],"-")</f>
        <v>-11.490883769599016</v>
      </c>
      <c r="HX14" s="248">
        <f>Tbl_MeasureList[[#This Row],[Baseline Energy Cost (USD/yr)]]-Tbl_MeasureList[[#This Row],[Code (old fuel) Energy Cost (USD/yr)]]</f>
        <v>154.78623864886549</v>
      </c>
      <c r="HY14" s="201">
        <f>0</f>
        <v>0</v>
      </c>
      <c r="HZ14" s="86">
        <f>Tbl_MeasureList[[#This Row],[Baseline Electric Annual Consumption (kWh/yr)]]-Tbl_MeasureList[[#This Row],[Code (old fuel) Electric Annual Consumption (kWh/yr)]]</f>
        <v>296.27584000000002</v>
      </c>
      <c r="IA14" s="86">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2.0500000000000114</v>
      </c>
      <c r="IB14" s="86">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294.22584000000006</v>
      </c>
      <c r="IC14" s="152">
        <f>Tbl_MeasureList[[#This Row],[Baseline Electric Winter Peak Demand (kW)]]-Tbl_MeasureList[[#This Row],[Code (old fuel) Electric Winter Peak Demand (kW)]]</f>
        <v>3.1447746883989103E-4</v>
      </c>
      <c r="ID14" s="152">
        <f>Tbl_MeasureList[[#This Row],[Baseline Electric Summer Peak Demand (kW)]]-Tbl_MeasureList[[#This Row],[Code (old fuel) Electric Summer Peak Demand (kW)]]</f>
        <v>0.39502639572192488</v>
      </c>
      <c r="IE14" s="251">
        <f>Tbl_MeasureList[[#This Row],[Baseline Natural Gas Annual Consumption (therms/yr)]]-Tbl_MeasureList[[#This Row],[Code (old fuel) Natural Gas Annual Consumption (therms/yr)]]</f>
        <v>0</v>
      </c>
      <c r="IF14" s="252">
        <f>Tbl_MeasureList[[#This Row],[Baseline Propane Annual Consumption (MMBtu/yr)]]-Tbl_MeasureList[[#This Row],[Code (old fuel) Propane Annual Consumption (MMBtu/yr)]]</f>
        <v>0</v>
      </c>
      <c r="IG14" s="253">
        <f>Tbl_MeasureList[[#This Row],[Baseline Oil Annual Consumption (MMBtu/yr)]]-Tbl_MeasureList[[#This Row],[Code (old fuel) Oil Annual Consumption (MMBtu/yr)]]</f>
        <v>4.2823766549085889</v>
      </c>
      <c r="IH14" s="371">
        <f>Tbl_MeasureList[[#This Row],[Baseline Energy Consumption on MMBtu Basis (MMBtu/yr)]]-Tbl_MeasureList[[#This Row],[Code (old fuel) Energy Consumption on MMBtu Basis (MMBtu/yr)]]</f>
        <v>5.2932698209885842</v>
      </c>
      <c r="II14" s="371">
        <f>Tbl_MeasureList[[#This Row],[Baseline Carbon Emissions, Site (tons CO2/yr)]]-Tbl_MeasureList[[#This Row],[Code (old fuel) Carbon Emissions, Site (tons CO2/yr)]]</f>
        <v>0.34537367721837775</v>
      </c>
      <c r="IJ14" s="279">
        <f>Tbl_MeasureList[[#This Row],[Baseline Carbon Emissions, Source (tons CO2/yr)]]-Tbl_MeasureList[[#This Row],[Code (old fuel) Carbon Emissions, Source (tons CO2/yr)]]</f>
        <v>0.45000645287277852</v>
      </c>
      <c r="IK14" s="273">
        <f ca="1">Tbl_MeasureList[[#This Row],[Code (new fuel) Energy Cost (USD/yr)]]-Tbl_MeasureList[[#This Row],[Low Measure Energy Cost (USD/yr)]]</f>
        <v>80.27531463669834</v>
      </c>
      <c r="IL14"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13144.179769142622</v>
      </c>
      <c r="IM14" s="85">
        <f ca="1">Tbl_MeasureList[[#This Row],[Code (old fuel) Electric Annual Consumption (kWh/yr)]]-Tbl_MeasureList[[#This Row],[Low Measure Electric Annual Consumption (kWh/yr)]]</f>
        <v>-7943.4452733545249</v>
      </c>
      <c r="IN14" s="85">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-8236.3256733545259</v>
      </c>
      <c r="IO14" s="85">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292.88040000000012</v>
      </c>
      <c r="IP14" s="152">
        <f ca="1">Tbl_MeasureList[[#This Row],[Code (old fuel) Electric Winter Peak Demand (kW)]]-Tbl_MeasureList[[#This Row],[Low Measure Electric Winter Peak Demand (kW)]]</f>
        <v>-1.6934453781512604</v>
      </c>
      <c r="IQ14" s="152">
        <f ca="1">Tbl_MeasureList[[#This Row],[Code (old fuel) Electric Summer Peak Demand (kW)]]-Tbl_MeasureList[[#This Row],[Low Measure Electric Summer Peak Demand (kW)]]</f>
        <v>-0.55451550582750575</v>
      </c>
      <c r="IR14" s="204">
        <f ca="1">Tbl_MeasureList[[#This Row],[Code (old fuel) Natural Gas Annual Consumption (therms/yr)]]-Tbl_MeasureList[[#This Row],[Low Measure Natural Gas Annual Consumption (therms/yr)]]</f>
        <v>0</v>
      </c>
      <c r="IS14" s="153">
        <f ca="1">Tbl_MeasureList[[#This Row],[Code (old fuel) Propane Annual Consumption (MMBtu/yr)]]-Tbl_MeasureList[[#This Row],[Low Measure Propane Annual Consumption (MMBtu/yr)]]</f>
        <v>0</v>
      </c>
      <c r="IT14" s="204">
        <f ca="1">Tbl_MeasureList[[#This Row],[Code (old fuel) Oil Annual Consumption (MMBtu/yr)]]-Tbl_MeasureList[[#This Row],[Low Measure Oil Annual Consumption (MMBtu/yr)]]</f>
        <v>82.409638554216883</v>
      </c>
      <c r="IU14" s="204">
        <f ca="1">Tbl_MeasureList[[#This Row],[Code (old fuel) Energy Consumption on MMBtu Basis (MMBtu/yr)]]-Tbl_MeasureList[[#This Row],[Low Measure Energy Consumption on MMBtu Basis (MMBtu/yr)]]</f>
        <v>55.306603281531245</v>
      </c>
      <c r="IV14" s="204">
        <f ca="1">Tbl_MeasureList[[#This Row],[Code (old fuel) Carbon Emissions, Site (tons CO2/yr)]]-Tbl_MeasureList[[#This Row],[Low Measure Carbon Emissions, Site (tons CO2/yr)]]</f>
        <v>6.6463373493975926</v>
      </c>
      <c r="IW14" s="260">
        <f ca="1">Tbl_MeasureList[[#This Row],[Code (old fuel) Carbon Emissions, Source (tons CO2/yr)]]-Tbl_MeasureList[[#This Row],[Low Measure Carbon Emissions, Source (tons CO2/yr)]]</f>
        <v>3.8410302166597075</v>
      </c>
      <c r="IX14" s="27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476.78644193365949</v>
      </c>
      <c r="IY14" s="20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14536.179769142622</v>
      </c>
      <c r="IZ14"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-6947.156061277351</v>
      </c>
      <c r="JA14"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-7330.8197946106839</v>
      </c>
      <c r="JB14"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383.66373333333343</v>
      </c>
      <c r="JC14"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-2.6428571428571432</v>
      </c>
      <c r="JD14"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-0.55451550582750575</v>
      </c>
      <c r="JE14"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0</v>
      </c>
      <c r="JF14" s="1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0</v>
      </c>
      <c r="JG14"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82.409638554216883</v>
      </c>
      <c r="JH14"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58.705942073138566</v>
      </c>
      <c r="JI14"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6.6463373493975926</v>
      </c>
      <c r="JJ14"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4.1928797147968826</v>
      </c>
      <c r="JK14" s="432">
        <f>Tbl_MeasureList[[#This Row],[ER (Retire) Electric Annual Consumption Savings (kWh/yr)]]*COAL_BTU_PER_SITE_KWH/Btu_per_MMBtu</f>
        <v>3.2611927310562151E-2</v>
      </c>
      <c r="JL14" s="428">
        <f>Tbl_MeasureList[[#This Row],[ER (Retire) Electric Annual Consumption Savings (kWh/yr)]]*COAL_LBS_PER_SITE_KWH</f>
        <v>2.860695378119487</v>
      </c>
      <c r="JM14" s="427">
        <f>Tbl_MeasureList[[#This Row],[ER (Retire) Electric Annual Consumption Savings (kWh/yr)]]*OIL_BTU_PER_SITE_KWH/Btu_per_MMBtu</f>
        <v>3.7542666879506345E-2</v>
      </c>
      <c r="JN14" s="428">
        <f>Tbl_MeasureList[[#This Row],[ER (Retire) Electric Annual Consumption Savings (kWh/yr)]]*OIL_GAL_PER_SITE_KWH</f>
        <v>0.27215677900254698</v>
      </c>
      <c r="JO14" s="427">
        <f>Tbl_MeasureList[[#This Row],[ER (Retire) Oil Annual Consumption Savings (MMBtu/yr)]]*Btu_per_MMBtu/OIL_BTU_PER_GAL</f>
        <v>31.044087534224431</v>
      </c>
      <c r="JP14" s="428">
        <f ca="1">Tbl_MeasureList[[#This Row],[Current ER (Retire) Oil Source Fuel Savings (gallons oil/year)]]+Tbl_MeasureList[[#This Row],[Current ER Total Low Measure Oil Site Fuel Savings (gallons oil/year)]]</f>
        <v>628.72563613037789</v>
      </c>
      <c r="JQ14" s="427">
        <f>Tbl_MeasureList[[#This Row],[ER (Retire) Electric Annual Consumption Savings (kWh/yr)]]*GAS_BTU_PER_SITE_KWH/Btu_per_MMBtu</f>
        <v>1.2123995100621796</v>
      </c>
      <c r="JR14" s="429">
        <f>Tbl_MeasureList[[#This Row],[ER (Retire) Electric Annual Consumption Savings (kWh/yr)]]*GAS_CUFT_PER_SITE_KWH/1000</f>
        <v>1.1782308163869577</v>
      </c>
      <c r="JS14" s="430">
        <f>Tbl_MeasureList[[#This Row],[ER (Retire) Natural Gas Annual Consumption Savings (therms/yr)]]*Btu_per_MMBtu/(GAS_BTU_PER_CUFT*Therm_per_MMBtu*1000)</f>
        <v>0</v>
      </c>
      <c r="JT14" s="431">
        <f ca="1">Tbl_MeasureList[[#This Row],[Current ER (Retire) Gas Source Fuel Savings (1,000 cu.ft. gas/year)]]+Tbl_MeasureList[[#This Row],[Current ER Total Low Measure Gas Site Fuel Savings (1,000 cu.ft gas/year)]]</f>
        <v>1.1782308163869577</v>
      </c>
      <c r="JU14" s="432">
        <f ca="1">Tbl_MeasureList[[#This Row],[ER (EE) Low Measure Electric Annual Consumption Savings (kWh/yr)]]*COAL_BTU_PER_SITE_KWH/Btu_per_MMBtu</f>
        <v>-0.87435769264907426</v>
      </c>
      <c r="JV14" s="428">
        <f ca="1">Tbl_MeasureList[[#This Row],[ER (EE) Low Measure Electric Annual Consumption Savings (kWh/yr)]]*COAL_LBS_PER_SITE_KWH</f>
        <v>-76.698043214831074</v>
      </c>
      <c r="JW14" s="427">
        <f ca="1">Tbl_MeasureList[[#This Row],[ER (EE) Low Measure Electric Annual Consumption Savings (kWh/yr)]]*OIL_BTU_PER_SITE_KWH/Btu_per_MMBtu</f>
        <v>-1.0065556468361987</v>
      </c>
      <c r="JX14" s="428">
        <f ca="1">Tbl_MeasureList[[#This Row],[ER (EE) Low Measure Electric Annual Consumption Savings (kWh/yr)]]*OIL_GAL_PER_SITE_KWH</f>
        <v>-7.29678963961143</v>
      </c>
      <c r="JY14" s="427">
        <f ca="1">Tbl_MeasureList[[#This Row],[ER (EE) Low Measure Oil Annual Consumption Savings (MMBtu/yr)]]*Btu_per_MMBtu/OIL_BTU_PER_GAL</f>
        <v>597.40939181715089</v>
      </c>
      <c r="JZ14" s="428">
        <f ca="1">Tbl_MeasureList[[#This Row],[Current ER (EE) Low Measure Oil Source Fuel Savings (gallons oil/year)]]+Tbl_MeasureList[[#This Row],[Current ER (EE) Low Measure Oil Site Fuel Savings (gallons oil/year)]]</f>
        <v>590.11260217753943</v>
      </c>
      <c r="KA14" s="427">
        <f ca="1">Tbl_MeasureList[[#This Row],[ER (EE) Low Measure Electric Annual Consumption Savings (kWh/yr)]]*GAS_BTU_PER_SITE_KWH/Btu_per_MMBtu</f>
        <v>-32.505617594808811</v>
      </c>
      <c r="KB14" s="429">
        <f ca="1">Tbl_MeasureList[[#This Row],[ER (EE) Low Measure Electric Annual Consumption Savings (kWh/yr)]]*GAS_CUFT_PER_SITE_KWH/1000</f>
        <v>-31.589521472117404</v>
      </c>
      <c r="KC14" s="430">
        <f ca="1">Tbl_MeasureList[[#This Row],[ER (EE) Low Measure Natural Gas Annual Consumption Savings (therms/yr)]]*Btu_per_MMBtu/(GAS_BTU_PER_CUFT*Therm_per_MMBtu*1000)</f>
        <v>0</v>
      </c>
      <c r="KD14" s="431">
        <f ca="1">Tbl_MeasureList[[#This Row],[Current ER (EE) Low Measure Gas Source Fuel Savings (1,000 cu.ft. gas/year)]]+Tbl_MeasureList[[#This Row],[Current ER (EE) Low Measure Gas Site Fuel Savings (1,000 cu.ft gas/year)]]</f>
        <v>-31.589521472117404</v>
      </c>
      <c r="KE14" s="432">
        <f ca="1">IFERROR(Tbl_MeasureList[[#This Row],[ER (EE) High Measure Electric Annual Consumption Savings (kWh/yr)]]*COAL_BTU_PER_SITE_KWH/Btu_per_MMBtu,"-")</f>
        <v>-0.76469329556371612</v>
      </c>
      <c r="KF14" s="428">
        <f ca="1">IFERROR(Tbl_MeasureList[[#This Row],[ER (EE) High Measure Electric Annual Consumption Savings (kWh/yr)]]*COAL_LBS_PER_SITE_KWH,"-")</f>
        <v>-67.078359259975088</v>
      </c>
      <c r="KG14" s="427">
        <f ca="1">IFERROR(Tbl_MeasureList[[#This Row],[ER (EE) High Measure Electric Annual Consumption Savings (kWh/yr)]]*OIL_BTU_PER_SITE_KWH/Btu_per_MMBtu,"-")</f>
        <v>-0.88031061111320763</v>
      </c>
      <c r="KH14" s="428">
        <f ca="1">IFERROR(Tbl_MeasureList[[#This Row],[ER (EE) High Measure Electric Annual Consumption Savings (kWh/yr)]]*OIL_GAL_PER_SITE_KWH,"-")</f>
        <v>-6.3816057929842156</v>
      </c>
      <c r="KI14" s="427">
        <f ca="1">IFERROR(Tbl_MeasureList[[#This Row],[ER (EE) High Measure Oil Annual Consumption Savings (MMBtu/yr)]]*Btu_per_MMBtu/OIL_BTU_PER_GAL,"-")</f>
        <v>597.40939181715089</v>
      </c>
      <c r="KJ14" s="428">
        <f ca="1">IFERROR(Tbl_MeasureList[[#This Row],[Current ER (EE) High Measure Oil Source Fuel Savings (gallons oil/year)]]+Tbl_MeasureList[[#This Row],[Current ER (EE) High Measure Oil Site Fuel Savings (gallons oil/year)]],"-")</f>
        <v>591.02778602416663</v>
      </c>
      <c r="KK14" s="427">
        <f ca="1">IFERROR(Tbl_MeasureList[[#This Row],[ER (EE) High Measure Electric Annual Consumption Savings (kWh/yr)]]*GAS_BTU_PER_SITE_KWH/Btu_per_MMBtu,"-")</f>
        <v>-28.428671757434422</v>
      </c>
      <c r="KL14" s="429">
        <f ca="1">IFERROR(Tbl_MeasureList[[#This Row],[ER (EE) High Measure Electric Annual Consumption Savings (kWh/yr)]]*GAS_CUFT_PER_SITE_KWH/1000,"-")</f>
        <v>-27.627474982929467</v>
      </c>
      <c r="KM14" s="430">
        <f ca="1">IFERROR(Tbl_MeasureList[[#This Row],[ER (EE) High Measure Natural Gas Annual Consumption Savings (therms/yr)]]*Btu_per_MMBtu/(GAS_BTU_PER_CUFT*Therm_per_MMBtu*1000),"-")</f>
        <v>0</v>
      </c>
      <c r="KN14" s="431">
        <f ca="1">IFERROR(Tbl_MeasureList[[#This Row],[Current ER (EE) High Measure Gas Source Fuel Savings (1,000 cu.ft. gas/year)]]+Tbl_MeasureList[[#This Row],[Current ER (EE) High Measure Gas Site Fuel Savings (1,000 cu.ft gas/year)]],"-")</f>
        <v>-27.627474982929467</v>
      </c>
    </row>
    <row r="15" spans="1:300" x14ac:dyDescent="0.2">
      <c r="B15" s="16"/>
      <c r="C15" s="2" t="s">
        <v>87</v>
      </c>
      <c r="D15" s="12" t="str">
        <f>INDEX(Tbl_BaselineSummary[Equipment ID],MATCH(Tbl_MeasureList[[#This Row],[Baseline ID]],Tbl_BaselineSummary[Baseline ID],0))</f>
        <v>EQUI002</v>
      </c>
      <c r="E15" s="11" t="str">
        <f>INDEX(Tbl_EquipmentDefinitions[Equipment Name],MATCH('Measure List'!$D15,Tbl_EquipmentDefinitions[Equipment ID],0))</f>
        <v>Baseline A/C Blend+Propane Furnace</v>
      </c>
      <c r="F15" s="3" t="s">
        <v>228</v>
      </c>
      <c r="G15" s="11" t="str">
        <f>INDEX(Tbl_EquipmentDefinitions[Function],MATCH('Measure List'!$D15,Tbl_EquipmentDefinitions[Equipment ID],0))</f>
        <v>Cool+Heat</v>
      </c>
      <c r="H15" s="3" t="s">
        <v>6</v>
      </c>
      <c r="I15" s="3" t="s">
        <v>13</v>
      </c>
      <c r="J15" s="11" t="str">
        <f>INDEX(Tbl_EquipmentDefinitions[Equipment Name],MATCH('Measure List'!$I15,Tbl_EquipmentDefinitions[Equipment ID],0))</f>
        <v>Central HP</v>
      </c>
      <c r="K15" s="11">
        <f>INDEX(Tbl_EquipmentDefinitions[],MATCH(Tbl_MeasureList[[#This Row],[Replacement ID]],Tbl_EquipmentDefinitions[[Equipment ID]:[Equipment ID]],0),MATCH(Tbl_MeasureList[[#Headers],[New Unit Equipment Life (years)]],Tbl_EquipmentDefinitions[#Headers],0))</f>
        <v>17</v>
      </c>
      <c r="L15" s="11">
        <f>INDEX(Tbl_EquipmentDefinitions[],MATCH(Tbl_MeasureList[[#This Row],[Baseline Equipment ID]],Tbl_EquipmentDefinitions[[Equipment ID]:[Equipment ID]],0),MATCH(Tbl_MeasureList[[#Headers],[Remaining Life for Early Replacement (years)]],Tbl_EquipmentDefinitions[#Headers],0))</f>
        <v>6</v>
      </c>
      <c r="M15" s="12" t="str">
        <f>INDEX(Tbl_EquipmentDefinitions[Function],MATCH('Measure List'!$I15,Tbl_EquipmentDefinitions[Equipment ID],0))</f>
        <v>Cool+Heat</v>
      </c>
      <c r="N15" s="368" t="s">
        <v>118</v>
      </c>
      <c r="O15" s="14" t="str">
        <f t="shared" si="0"/>
        <v>OK</v>
      </c>
      <c r="P15" s="12" t="str">
        <f ca="1">IFERROR(INDIRECT(Tbl_MeasureList[[#This Row],[Measure ID]]&amp;"!D5"),"No tab")</f>
        <v>3. Ready</v>
      </c>
      <c r="Q15" s="11"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Electric</v>
      </c>
      <c r="R15" s="12"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Propane</v>
      </c>
      <c r="S15" s="11"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Electric</v>
      </c>
      <c r="T15" s="247"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v>
      </c>
      <c r="U15" s="248">
        <f>INDEX(Tbl_BaselineSummary[Baseline Annual Energy Cost (USD)],MATCH(Tbl_MeasureList[[#This Row],[Baseline ID]],Tbl_BaselineSummary[Baseline ID],0))</f>
        <v>3468.0061014715766</v>
      </c>
      <c r="V15" s="249">
        <f>INDEX(Tbl_BaselineSummary[Baseline Electric Annual Consumption  (kWh)],MATCH(Tbl_MeasureList[[#This Row],[Baseline ID]],Tbl_BaselineSummary[Baseline ID],0))</f>
        <v>1778.7062400000002</v>
      </c>
      <c r="W15" s="249">
        <f>INDEX(Tbl_BaselineSummary[Baseline Electric Winter Consumption (kWh)],MATCH(Tbl_MeasureList[[#This Row],[Baseline ID]],Tbl_BaselineSummary[Baseline ID],0))</f>
        <v>374.55</v>
      </c>
      <c r="X15" s="249">
        <f>INDEX(Tbl_BaselineSummary[Baseline Electric Summer Consumption (kWh)],MATCH(Tbl_MeasureList[[#This Row],[Baseline ID]],Tbl_BaselineSummary[Baseline ID],0))</f>
        <v>1404.1562400000003</v>
      </c>
      <c r="Y15" s="250">
        <f>INDEX(Tbl_BaselineSummary[Baseline Electric Baseline Winter Peak Demand (kW)],MATCH(Tbl_MeasureList[[#This Row],[Baseline ID]],Tbl_BaselineSummary[Baseline ID],0))</f>
        <v>5.7457334611697032E-2</v>
      </c>
      <c r="Z15" s="452">
        <f>INDEX(Tbl_BaselineSummary[Baseline Electric Baseline Summer Peak Demand (kW)],MATCH(Tbl_MeasureList[[#This Row],[Baseline ID]],Tbl_BaselineSummary[Baseline ID],0))</f>
        <v>1.8917929411764707</v>
      </c>
      <c r="AA15" s="458">
        <f>INDEX(Tbl_BaselineSummary[Baseline Natural Gas Annual Consumption  (therms)],MATCH(Tbl_MeasureList[[#This Row],[Baseline ID]],Tbl_BaselineSummary[Baseline ID],0))</f>
        <v>0</v>
      </c>
      <c r="AB15" s="455">
        <f>INDEX(Tbl_BaselineSummary[Baseline Propane Annual Consumption  (MMBtu)],MATCH(Tbl_MeasureList[[#This Row],[Baseline ID]],Tbl_BaselineSummary[Baseline ID],0))</f>
        <v>86.692015209125472</v>
      </c>
      <c r="AC15" s="252">
        <f>INDEX(Tbl_BaselineSummary[Baseline Oil Annual Consumption  (MMBtu)],MATCH(Tbl_MeasureList[[#This Row],[Baseline ID]],Tbl_BaselineSummary[Baseline ID],0))</f>
        <v>0</v>
      </c>
      <c r="AD15" s="371">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92.760960900005472</v>
      </c>
      <c r="AE15" s="460">
        <f>(lbCO2_per_Therm_Gas*Tbl_MeasureList[[#This Row],[Baseline Natural Gas Annual Consumption (therms/yr)]]+lbCO2_per_MMBtu_Prop*Tbl_MeasureList[[#This Row],[Baseline Propane Annual Consumption (MMBtu/yr)]]+lbCO2_per_MMBtu_Oil*Tbl_MeasureList[[#This Row],[Baseline Oil Annual Consumption (MMBtu/yr)]])*Lbs_per_ShortTon</f>
        <v>6.0250950570342203</v>
      </c>
      <c r="AF15" s="463">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6.6532629527526206</v>
      </c>
      <c r="AG15" s="465">
        <f>INDEX(Tbl_BaselineSummary[Code Annual Energy Cost (USD)],MATCH(Tbl_MeasureList[[#This Row],[Baseline ID]],Tbl_BaselineSummary[Baseline ID],0))</f>
        <v>3185.573342155843</v>
      </c>
      <c r="AH15" s="468">
        <f>INDEX(Tbl_BaselineSummary[Deferred Replacement Credit (USD)],MATCH(Tbl_MeasureList[[#This Row],[Baseline ID]],Tbl_BaselineSummary[Baseline ID],0))</f>
        <v>5466.0259667378614</v>
      </c>
      <c r="AI15" s="201">
        <f>INDEX(Tbl_BaselineSummary[A/C-only Deferred Replacement Credit (USD)],MATCH(Tbl_MeasureList[[#This Row],[Baseline ID]],Tbl_BaselineSummary[Baseline ID],0))</f>
        <v>2736.686075169398</v>
      </c>
      <c r="AJ15" s="468">
        <f>INDEX(Tbl_BaselineSummary[Code Installed Costs (USD)],MATCH(Tbl_MeasureList[[#This Row],[Baseline ID]],Tbl_BaselineSummary[Baseline ID],0))</f>
        <v>8970.0691999999999</v>
      </c>
      <c r="AK15" s="201">
        <f>INDEX(Tbl_BaselineSummary[Code A/C-only Installed Cost (USD)],MATCH(Tbl_MeasureList[[#This Row],[Baseline ID]],Tbl_BaselineSummary[Baseline ID],0))</f>
        <v>4084.0691999999995</v>
      </c>
      <c r="AL15" s="86">
        <f>INDEX(Tbl_BaselineSummary[Code Electric Annual Consumption (kWh)],MATCH(Tbl_MeasureList[[#This Row],[Baseline ID]],Tbl_BaselineSummary[Baseline ID],0))</f>
        <v>1481.4304000000002</v>
      </c>
      <c r="AM15" s="86">
        <f>INDEX(Tbl_BaselineSummary[Code Electric Winter Consumption (kWh)],MATCH(Tbl_MeasureList[[#This Row],[Baseline ID]],Tbl_BaselineSummary[Baseline ID],0))</f>
        <v>371.5</v>
      </c>
      <c r="AN15" s="86">
        <f>INDEX(Tbl_BaselineSummary[Code Electric Summer Consumption (kWh)],MATCH(Tbl_MeasureList[[#This Row],[Baseline ID]],Tbl_BaselineSummary[Baseline ID],0))</f>
        <v>1109.9304000000002</v>
      </c>
      <c r="AO15" s="152">
        <f>INDEX(Tbl_BaselineSummary[Code Electric Winter Peak Demand (kW)],MATCH(Tbl_MeasureList[[#This Row],[Baseline ID]],Tbl_BaselineSummary[Baseline ID],0))</f>
        <v>5.6989453499520615E-2</v>
      </c>
      <c r="AP15" s="470">
        <f>INDEX(Tbl_BaselineSummary[Code Electric Summer Peak Demand (kW)],MATCH(Tbl_MeasureList[[#This Row],[Baseline ID]],Tbl_BaselineSummary[Baseline ID],0))</f>
        <v>1.4967665454545458</v>
      </c>
      <c r="AQ15" s="467">
        <f>INDEX(Tbl_BaselineSummary[Code Natural Gas Annual Consumption (therms)],MATCH(Tbl_MeasureList[[#This Row],[Baseline ID]],Tbl_BaselineSummary[Baseline ID],0))</f>
        <v>0</v>
      </c>
      <c r="AR15" s="472">
        <f>INDEX(Tbl_BaselineSummary[Code Propane Annual Consumption (MMBtu)],MATCH(Tbl_MeasureList[[#This Row],[Baseline ID]],Tbl_BaselineSummary[Baseline ID],0))</f>
        <v>80.47058823529413</v>
      </c>
      <c r="AS15" s="467">
        <f>INDEX(Tbl_BaselineSummary[Code Oil Annual Consumption (MMBtu)],MATCH(Tbl_MeasureList[[#This Row],[Baseline ID]],Tbl_BaselineSummary[Baseline ID],0))</f>
        <v>0</v>
      </c>
      <c r="AT15" s="204">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85.525228760094137</v>
      </c>
      <c r="AU15" s="467">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5.5927058823529423</v>
      </c>
      <c r="AV15" s="474">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6.1158878424169423</v>
      </c>
      <c r="AW15" s="248">
        <f ca="1">INDIRECT(Tbl_MeasureList[[#This Row],[Measure ID]]&amp;"!L26")</f>
        <v>1944.7135228262234</v>
      </c>
      <c r="AX15" s="477">
        <f ca="1">INDIRECT(Tbl_MeasureList[[#This Row],[Measure ID]]&amp;"!M26")</f>
        <v>17348</v>
      </c>
      <c r="AY15" s="481">
        <f ca="1">INDIRECT(Tbl_MeasureList[[#This Row],[Measure ID]]&amp;"!D26")</f>
        <v>9831.7164955825247</v>
      </c>
      <c r="AZ15" s="481">
        <f ca="1">INDIRECT(Tbl_MeasureList[[#This Row],[Measure ID]]&amp;"!J26")</f>
        <v>8897.9450670110964</v>
      </c>
      <c r="BA15" s="481">
        <f ca="1">INDIRECT(Tbl_MeasureList[[#This Row],[Measure ID]]&amp;"!I26")</f>
        <v>933.7714285714286</v>
      </c>
      <c r="BB15" s="479">
        <f ca="1">INDIRECT(Tbl_MeasureList[[#This Row],[Measure ID]]&amp;"!E26")</f>
        <v>1.8146341463414635</v>
      </c>
      <c r="BC15" s="268">
        <f ca="1">INDIRECT(Tbl_MeasureList[[#This Row],[Measure ID]]&amp;"!H26")</f>
        <v>2.0512820512820515</v>
      </c>
      <c r="BD15" s="253">
        <f ca="1">INDIRECT(Tbl_MeasureList[[#This Row],[Measure ID]]&amp;"!D32")</f>
        <v>0</v>
      </c>
      <c r="BE15" s="270">
        <f ca="1">INDIRECT(Tbl_MeasureList[[#This Row],[Measure ID]]&amp;"!D38")</f>
        <v>0</v>
      </c>
      <c r="BF15" s="253">
        <f ca="1">INDIRECT(Tbl_MeasureList[[#This Row],[Measure ID]]&amp;"!D44")</f>
        <v>0</v>
      </c>
      <c r="BG15" s="460">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33.545816682927573</v>
      </c>
      <c r="BH15" s="371">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0</v>
      </c>
      <c r="BI15" s="272">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3.4721689975799253</v>
      </c>
      <c r="BJ15" s="273">
        <f ca="1">INDIRECT(Tbl_MeasureList[[#This Row],[Measure ID]]&amp;"!L27")</f>
        <v>1864.4382081895251</v>
      </c>
      <c r="BK15" s="201">
        <f ca="1">INDIRECT(Tbl_MeasureList[[#This Row],[Measure ID]]&amp;"!M27")</f>
        <v>18740</v>
      </c>
      <c r="BL15" s="85">
        <f ca="1">INDIRECT(Tbl_MeasureList[[#This Row],[Measure ID]]&amp;"!D27")</f>
        <v>9425.8756733545251</v>
      </c>
      <c r="BM15" s="85">
        <f ca="1">INDIRECT(Tbl_MeasureList[[#This Row],[Measure ID]]&amp;"!J27")</f>
        <v>8608.8256733545259</v>
      </c>
      <c r="BN15" s="85">
        <f ca="1">INDIRECT(Tbl_MeasureList[[#This Row],[Measure ID]]&amp;"!I27")</f>
        <v>817.05000000000007</v>
      </c>
      <c r="BO15" s="152">
        <f ca="1">INDIRECT(Tbl_MeasureList[[#This Row],[Measure ID]]&amp;"!E27")</f>
        <v>1.7505882352941176</v>
      </c>
      <c r="BP15" s="470">
        <f ca="1">INDIRECT(Tbl_MeasureList[[#This Row],[Measure ID]]&amp;"!H27")</f>
        <v>2.0512820512820515</v>
      </c>
      <c r="BQ15" s="467">
        <f ca="1">INDIRECT(Tbl_MeasureList[[#This Row],[Measure ID]]&amp;"!D33")</f>
        <v>0</v>
      </c>
      <c r="BR15" s="472">
        <f ca="1">INDIRECT(Tbl_MeasureList[[#This Row],[Measure ID]]&amp;"!D39")</f>
        <v>0</v>
      </c>
      <c r="BS15" s="467">
        <f ca="1">INDIRECT(Tbl_MeasureList[[#This Row],[Measure ID]]&amp;"!D45")</f>
        <v>0</v>
      </c>
      <c r="BT15" s="204">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32.161087797485642</v>
      </c>
      <c r="BU15" s="467">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0</v>
      </c>
      <c r="BV15" s="260">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3.3288422528018846</v>
      </c>
      <c r="BW15" s="24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1667.3722020406601</v>
      </c>
      <c r="BX15" s="26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20132</v>
      </c>
      <c r="BY15"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8429.5864612773512</v>
      </c>
      <c r="BZ15"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7703.3197946106839</v>
      </c>
      <c r="CA15"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726.26666666666677</v>
      </c>
      <c r="CB15"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2.7</v>
      </c>
      <c r="CC15"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2.0512820512820515</v>
      </c>
      <c r="CD15"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0</v>
      </c>
      <c r="CE15"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0</v>
      </c>
      <c r="CF15"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0</v>
      </c>
      <c r="CG15" s="460">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28.761749005878322</v>
      </c>
      <c r="CH15" s="37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0</v>
      </c>
      <c r="CI15" s="26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2.9769927546647095</v>
      </c>
      <c r="CJ15" s="320">
        <f ca="1">-Tbl_MeasureList[[#This Row],[Low Measure Energy Cost (USD/yr)]]+Tbl_MeasureList[[#This Row],[Baseline Energy Cost (USD/yr)]]</f>
        <v>1603.5678932820515</v>
      </c>
      <c r="CK15"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13273.974033262139</v>
      </c>
      <c r="CL15" s="249">
        <f ca="1">-Tbl_MeasureList[[#This Row],[Low Measure Electric Annual Consumption (kWh/yr)]]+Tbl_MeasureList[[#This Row],[Baseline Electric Annual Consumption (kWh/yr)]]</f>
        <v>-7647.1694333545247</v>
      </c>
      <c r="CM15" s="249">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-8234.2756733545266</v>
      </c>
      <c r="CN15" s="249">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587.10624000000018</v>
      </c>
      <c r="CO15" s="268">
        <f ca="1">-Tbl_MeasureList[[#This Row],[Low Measure Electric Winter Peak Demand (kW)]]+Tbl_MeasureList[[#This Row],[Baseline Electric Winter Peak Demand (kW)]]</f>
        <v>-1.6931309006824204</v>
      </c>
      <c r="CP15" s="479">
        <f ca="1">-Tbl_MeasureList[[#This Row],[Low Measure Electric Summer Peak Demand (kW)]]+Tbl_MeasureList[[#This Row],[Baseline Electric Summer Peak Demand (kW)]]</f>
        <v>-0.15948911010558087</v>
      </c>
      <c r="CQ15" s="481">
        <f ca="1">-Tbl_MeasureList[[#This Row],[Low Measure Natural Gas Annual Consumption (therms/yr)]]+Tbl_MeasureList[[#This Row],[Baseline Natural Gas Annual Consumption (therms/yr)]]</f>
        <v>0</v>
      </c>
      <c r="CR15" s="490">
        <f ca="1">-Tbl_MeasureList[[#This Row],[Low Measure Propane Annual Consumption (MMBtu/yr)]]+Tbl_MeasureList[[#This Row],[Baseline Propane Annual Consumption (MMBtu/yr)]]</f>
        <v>86.692015209125472</v>
      </c>
      <c r="CS15" s="252">
        <f ca="1">-Tbl_MeasureList[[#This Row],[Low Measure Oil Annual Consumption (MMBtu/yr)]]+Tbl_MeasureList[[#This Row],[Baseline Oil Annual Consumption (MMBtu/yr)]]</f>
        <v>0</v>
      </c>
      <c r="CT15"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60.599873102519837</v>
      </c>
      <c r="CU15" s="487">
        <f ca="1">-Tbl_MeasureList[[#This Row],[Low Measure Carbon Emissions, Site (tons CO2/yr)]]+Tbl_MeasureList[[#This Row],[Baseline Carbon Emissions, Site (tons CO2/yr)]]</f>
        <v>6.0250950570342203</v>
      </c>
      <c r="CV15" s="491">
        <f ca="1">-Tbl_MeasureList[[#This Row],[Low Measure Carbon Emissions, Source (tons CO2/yr)]]+Tbl_MeasureList[[#This Row],[Baseline Carbon Emissions, Source (tons CO2/yr)]]</f>
        <v>3.324420699950736</v>
      </c>
      <c r="CW15"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1800.6338994309165</v>
      </c>
      <c r="CX15"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14665.974033262139</v>
      </c>
      <c r="CY15"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-6650.8802212773508</v>
      </c>
      <c r="CZ15"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-7328.7697946106837</v>
      </c>
      <c r="DA15"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677.88957333333349</v>
      </c>
      <c r="DB15"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-2.6425426653883033</v>
      </c>
      <c r="DC15"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-0.15948911010558087</v>
      </c>
      <c r="DD15"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0</v>
      </c>
      <c r="DE15"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86.692015209125472</v>
      </c>
      <c r="DF15"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0</v>
      </c>
      <c r="DG15" s="270">
        <f ca="1">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63.99921189412715</v>
      </c>
      <c r="DH15"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6.0250950570342203</v>
      </c>
      <c r="DI15"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3.6762701980879111</v>
      </c>
      <c r="DJ15" s="320">
        <f ca="1">-Tbl_MeasureList[[#This Row],[Low Measure Energy Cost (USD/yr)]]+Tbl_MeasureList[[#This Row],[Code (old fuel) Energy Cost (USD/yr)]]</f>
        <v>1321.1351339663179</v>
      </c>
      <c r="DK15" s="267">
        <f ca="1">Tbl_MeasureList[[#This Row],[Low Measure Installed Costs (USD)]]-Tbl_MeasureList[[#This Row],[Code (old fuel) Installed Costs (USD)]]</f>
        <v>9769.9308000000001</v>
      </c>
      <c r="DL15" s="249">
        <f ca="1">-Tbl_MeasureList[[#This Row],[Low Measure Electric Annual Consumption (kWh/yr)]]+Tbl_MeasureList[[#This Row],[Code (old fuel) Electric Annual Consumption (kWh/yr)]]</f>
        <v>-7944.4452733545249</v>
      </c>
      <c r="DM15" s="249">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-8237.3256733545259</v>
      </c>
      <c r="DN15" s="249">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292.88040000000012</v>
      </c>
      <c r="DO15" s="268">
        <f ca="1">-Tbl_MeasureList[[#This Row],[Low Measure Electric Winter Peak Demand (kW)]]+Tbl_MeasureList[[#This Row],[Code (old fuel) Electric Winter Peak Demand (kW)]]</f>
        <v>-1.693598781794597</v>
      </c>
      <c r="DP15" s="479">
        <f ca="1">-Tbl_MeasureList[[#This Row],[Low Measure Electric Summer Peak Demand (kW)]]+Tbl_MeasureList[[#This Row],[Code (old fuel) Electric Summer Peak Demand (kW)]]</f>
        <v>-0.55451550582750575</v>
      </c>
      <c r="DQ15" s="481">
        <f ca="1">-Tbl_MeasureList[[#This Row],[Low Measure Natural Gas Annual Consumption (therms/yr)]]+Tbl_MeasureList[[#This Row],[Code (old fuel) Natural Gas Annual Consumption (therms/yr)]]</f>
        <v>0</v>
      </c>
      <c r="DR15" s="490">
        <f ca="1">-Tbl_MeasureList[[#This Row],[Low Measure Propane Annual Consumption (MMBtu/yr)]]+Tbl_MeasureList[[#This Row],[Code (old fuel) Propane Annual Consumption (MMBtu/yr)]]</f>
        <v>80.47058823529413</v>
      </c>
      <c r="DS15" s="252">
        <f ca="1">-Tbl_MeasureList[[#This Row],[Low Measure Oil Annual Consumption (MMBtu/yr)]]+Tbl_MeasureList[[#This Row],[Code (old fuel) Oil Annual Consumption (MMBtu/yr)]]</f>
        <v>0</v>
      </c>
      <c r="DT15"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53.364140962608488</v>
      </c>
      <c r="DU15" s="487">
        <f ca="1">-Tbl_MeasureList[[#This Row],[Low Measure Carbon Emissions, Site (tons CO2/yr)]]+Tbl_MeasureList[[#This Row],[Code (old fuel) Carbon Emissions, Site (tons CO2/yr)]]</f>
        <v>5.5927058823529423</v>
      </c>
      <c r="DV15" s="491">
        <f ca="1">-Tbl_MeasureList[[#This Row],[Low Measure Carbon Emissions, Source (tons CO2/yr)]]+Tbl_MeasureList[[#This Row],[Code (old fuel) Carbon Emissions, Source (tons CO2/yr)]]</f>
        <v>2.7870455896150577</v>
      </c>
      <c r="DW15"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(old fuel) Energy Cost (USD/yr)]],
        "-")</f>
        <v>1518.2011401151829</v>
      </c>
      <c r="DX15"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11161.9308</v>
      </c>
      <c r="DY15"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-6948.156061277351</v>
      </c>
      <c r="DZ15"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-7331.8197946106839</v>
      </c>
      <c r="EA15"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383.66373333333343</v>
      </c>
      <c r="EB15"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-2.6430105465004794</v>
      </c>
      <c r="EC15"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-0.55451550582750575</v>
      </c>
      <c r="ED15"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0</v>
      </c>
      <c r="EE15"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80.47058823529413</v>
      </c>
      <c r="EF15"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0</v>
      </c>
      <c r="EG15" s="270">
        <f ca="1">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56.763479754215808</v>
      </c>
      <c r="EH15"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5.5927058823529423</v>
      </c>
      <c r="EI15"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3.1388950877522328</v>
      </c>
      <c r="EJ15" s="477">
        <f ca="1">Tbl_MeasureList[[#This Row],[Code (old fuel) Energy Cost (USD/yr)]]-Tbl_MeasureList[[#This Row],[Code (new fuel) Energy Cost (USD/yr)]]</f>
        <v>1240.8598193296195</v>
      </c>
      <c r="EK15" s="496">
        <f ca="1">Tbl_MeasureList[[#This Row],[Code (old fuel) Electric Annual Consumption (kWh/yr)]]-Tbl_MeasureList[[#This Row],[Code (new fuel) Electric Annual Consumption (kWh/yr)]]</f>
        <v>-8350.2860955825236</v>
      </c>
      <c r="EL15" s="496">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-8526.4450670110964</v>
      </c>
      <c r="EM15" s="496">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176.15897142857159</v>
      </c>
      <c r="EN15" s="500">
        <f ca="1">Tbl_MeasureList[[#This Row],[Code (old fuel) Electric Winter Peak Demand (kW)]]-Tbl_MeasureList[[#This Row],[Code (new fuel) Electric Winter Peak Demand (kW)]]</f>
        <v>-1.7576446928419429</v>
      </c>
      <c r="EO15" s="493">
        <f ca="1">Tbl_MeasureList[[#This Row],[Code (old fuel) Electric Summer Peak Demand (kW)]]-Tbl_MeasureList[[#This Row],[Code (new fuel) Electric Summer Peak Demand (kW)]]</f>
        <v>-0.55451550582750575</v>
      </c>
      <c r="EP15" s="502">
        <f ca="1">Tbl_MeasureList[[#This Row],[Code (old fuel) Natural Gas Annual Consumption (therms/yr)]]-Tbl_MeasureList[[#This Row],[Code (new fuel) Natural Gas Annual Consumption (therms/yr)]]</f>
        <v>0</v>
      </c>
      <c r="EQ15" s="215">
        <f ca="1">Tbl_MeasureList[[#This Row],[Code (old fuel) Propane Annual Consumption (MMBtu/yr)]]-Tbl_MeasureList[[#This Row],[Code (new fuel) Propane Annual Consumption (MMBtu/yr)]]</f>
        <v>80.47058823529413</v>
      </c>
      <c r="ER15" s="502">
        <f ca="1">Tbl_MeasureList[[#This Row],[Code (old fuel) Oil Annual Consumption (MMBtu/yr)]]-Tbl_MeasureList[[#This Row],[Code (new fuel) Oil Annual Consumption (MMBtu/yr)]]</f>
        <v>0</v>
      </c>
      <c r="ES15" s="215">
        <f ca="1">Tbl_MeasureList[[#This Row],[Code (old fuel) Energy Consumption on MMBtu Basis (MMBtu/yr)]]-Tbl_MeasureList[[#This Row],[Code (new fuel) Energy Consumption on MMBtu Basis (MMBtu/yr)]]</f>
        <v>51.979412077166565</v>
      </c>
      <c r="ET15" s="502">
        <f ca="1">Tbl_MeasureList[[#This Row],[Code (old fuel) Carbon Emissions, Site (tons CO2/yr)]]-Tbl_MeasureList[[#This Row],[Code (new fuel) Carbon Emissions, Site (tons CO2/yr)]]</f>
        <v>5.5927058823529423</v>
      </c>
      <c r="EU15" s="498">
        <f ca="1">Tbl_MeasureList[[#This Row],[Code (old fuel) Carbon Emissions, Source (tons CO2/yr)]]-Tbl_MeasureList[[#This Row],[Code (new fuel) Carbon Emissions, Source (tons CO2/yr)]]</f>
        <v>2.643718844837017</v>
      </c>
      <c r="EV15" s="450">
        <f ca="1">Tbl_MeasureList[[#This Row],[ER Total Low Measure Electric Annual Consumption Savings (kWh/yr)]]*COAL_BTU_PER_SITE_KWH/Btu_per_MMBtu</f>
        <v>-0.84174576533851198</v>
      </c>
      <c r="EW15" s="411">
        <f ca="1">Tbl_MeasureList[[#This Row],[ER Total Low Measure Electric Annual Consumption Savings (kWh/yr)]]*COAL_LBS_PER_SITE_KWH</f>
        <v>-73.837347836711572</v>
      </c>
      <c r="EX15" s="326">
        <f ca="1">Tbl_MeasureList[[#This Row],[ER Total Low Measure Electric Annual Consumption Savings (kWh/yr)]]*OIL_BTU_PER_SITE_KWH/Btu_per_MMBtu</f>
        <v>-0.96901297995669244</v>
      </c>
      <c r="EY15" s="325">
        <f ca="1">Tbl_MeasureList[[#This Row],[ER Total Low Measure Electric Annual Consumption Savings (kWh/yr)]]*OIL_GAL_PER_SITE_KWH</f>
        <v>-7.0246328606088824</v>
      </c>
      <c r="EZ15" s="326">
        <f ca="1">Tbl_MeasureList[[#This Row],[ER Total Low Measure Oil Annual Consumption Savings (MMBtu/yr)]]*Btu_per_MMBtu/OIL_BTU_PER_GAL</f>
        <v>0</v>
      </c>
      <c r="FA15" s="325">
        <f ca="1">Tbl_MeasureList[[#This Row],[Current ER Total Low Measure Oil Source Fuel Savings (gallons oil/year)]]+Tbl_MeasureList[[#This Row],[Current ER Total Low Measure Oil Site Fuel Savings (gallons oil/year)]]</f>
        <v>-7.0246328606088824</v>
      </c>
      <c r="FB15" s="326">
        <f ca="1">Tbl_MeasureList[[#This Row],[ER Total Low Measure Electric Annual Consumption Savings (kWh/yr)]]*GAS_BTU_PER_SITE_KWH/Btu_per_MMBtu</f>
        <v>-31.293218084746634</v>
      </c>
      <c r="FC15" s="327">
        <f ca="1">Tbl_MeasureList[[#This Row],[ER Total Low Measure Electric Annual Consumption Savings (kWh/yr)]]*GAS_CUFT_PER_SITE_KWH/1000</f>
        <v>-30.411290655730447</v>
      </c>
      <c r="FD15" s="328">
        <f ca="1">Tbl_MeasureList[[#This Row],[ER Total Low Measure Natural Gas Annual Consumption Savings (therms/yr)]]*Btu_per_MMBtu/(GAS_BTU_PER_CUFT*Therm_per_MMBtu*1000)</f>
        <v>0</v>
      </c>
      <c r="FE15" s="329">
        <f ca="1">Tbl_MeasureList[[#This Row],[Current ER Total Low Measure Gas Source Fuel Savings (1,000 cu.ft. gas/year)]]+Tbl_MeasureList[[#This Row],[Current ER Total Low Measure Gas Site Fuel Savings (1,000 cu.ft gas/year)]]</f>
        <v>-30.411290655730447</v>
      </c>
      <c r="FF15" s="324">
        <f ca="1">IFERROR(Tbl_MeasureList[[#This Row],[ER Total High Measure Electric Annual Consumption Savings (kWh/yr)]]*COAL_BTU_PER_SITE_KWH/Btu_per_MMBtu,"-")</f>
        <v>-0.73208136825315384</v>
      </c>
      <c r="FG15" s="325">
        <f ca="1">IFERROR(Tbl_MeasureList[[#This Row],[ER Total High Measure Electric Annual Consumption Savings (kWh/yr)]]*COAL_LBS_PER_SITE_KWH,"-")</f>
        <v>-64.2176638818556</v>
      </c>
      <c r="FH15" s="326">
        <f ca="1">IFERROR(Tbl_MeasureList[[#This Row],[ER Total High Measure Electric Annual Consumption Savings (kWh/yr)]]*OIL_BTU_PER_SITE_KWH/Btu_per_MMBtu,"-")</f>
        <v>-0.84276794423370138</v>
      </c>
      <c r="FI15" s="325">
        <f ca="1">IFERROR(Tbl_MeasureList[[#This Row],[ER Total High Measure Electric Annual Consumption Savings (kWh/yr)]]*OIL_GAL_PER_SITE_KWH,"-")</f>
        <v>-6.1094490139816688</v>
      </c>
      <c r="FJ15" s="326">
        <f ca="1">IFERROR(Tbl_MeasureList[[#This Row],[ER Total High Measure Oil Annual Consumption Savings (MMBtu/yr)]]*Btu_per_MMBtu/OIL_BTU_PER_GAL,"-")</f>
        <v>0</v>
      </c>
      <c r="FK15" s="325">
        <f ca="1">IFERROR(Tbl_MeasureList[[#This Row],[Current ER Total High Measure Oil Source Fuel Savings (gallons oil/year)]]+Tbl_MeasureList[[#This Row],[Current ER Total High Measure Oil Site Fuel Savings (gallons oil/year)]],"-")</f>
        <v>-6.1094490139816688</v>
      </c>
      <c r="FL15" s="326">
        <f ca="1">IFERROR(Tbl_MeasureList[[#This Row],[ER Total High Measure Electric Annual Consumption Savings (kWh/yr)]]*GAS_BTU_PER_SITE_KWH/Btu_per_MMBtu,"-")</f>
        <v>-27.216272247372242</v>
      </c>
      <c r="FM15" s="327">
        <f ca="1">IFERROR(Tbl_MeasureList[[#This Row],[ER Total High Measure Electric Annual Consumption Savings (kWh/yr)]]*GAS_CUFT_PER_SITE_KWH/1000,"-")</f>
        <v>-26.44924416654251</v>
      </c>
      <c r="FN15" s="328">
        <f ca="1">IFERROR(Tbl_MeasureList[[#This Row],[ER Total High Measure Natural Gas Annual Consumption Savings (therms/yr)]]*Btu_per_MMBtu/(GAS_BTU_PER_CUFT*Therm_per_MMBtu*1000),"-")</f>
        <v>0</v>
      </c>
      <c r="FO15" s="329">
        <f ca="1">IFERROR(Tbl_MeasureList[[#This Row],[Current ER Total High Measure Gas Source Fuel Savings (1,000 cu.ft. gas/year)]]+Tbl_MeasureList[[#This Row],[Current ER Total High Measure Gas Site Fuel Savings (1,000 cu.ft gas/year)]],"-")</f>
        <v>-26.44924416654251</v>
      </c>
      <c r="FP15" s="412">
        <f ca="1">Tbl_MeasureList[[#This Row],[ROF Low Measure Electric Annual Consumption Savings (kWh/yr)]]*COAL_BTU_PER_SITE_KWH/Btu_per_MMBtu</f>
        <v>-0.87446776550317717</v>
      </c>
      <c r="FQ15" s="327">
        <f ca="1">Tbl_MeasureList[[#This Row],[ROF Low Measure Electric Annual Consumption Savings (kWh/yr)]]*COAL_LBS_PER_SITE_KWH</f>
        <v>-76.707698728348873</v>
      </c>
      <c r="FR15" s="412">
        <f ca="1">Tbl_MeasureList[[#This Row],[ROF Low Measure Electric Annual Consumption Savings (kWh/yr)]]*OIL_BTU_PER_SITE_KWH/Btu_per_MMBtu</f>
        <v>-1.0066823620853378</v>
      </c>
      <c r="FS15" s="327">
        <f ca="1">Tbl_MeasureList[[#This Row],[ROF Low Measure Electric Annual Consumption Savings (kWh/yr)]]*OIL_GAL_PER_SITE_KWH</f>
        <v>-7.2977082321601934</v>
      </c>
      <c r="FT15" s="412">
        <f ca="1">Tbl_MeasureList[[#This Row],[ROF Low Measure Oil Annual Consumption Savings (MMBtu/yr)]]*Btu_per_MMBtu/OIL_BTU_PER_GAL</f>
        <v>0</v>
      </c>
      <c r="FU15" s="327">
        <f ca="1">Tbl_MeasureList[[#This Row],[Current ROF Low Measure Oil Source Fuel Savings (gallons oil/year)]]+Tbl_MeasureList[[#This Row],[Current ROF Low Measure Oil Site Fuel Savings (gallons oil/year)]]</f>
        <v>-7.2977082321601934</v>
      </c>
      <c r="FV15" s="412">
        <f ca="1">Tbl_MeasureList[[#This Row],[ROF Low Measure Electric Annual Consumption Savings (kWh/yr)]]*GAS_BTU_PER_SITE_KWH/Btu_per_MMBtu</f>
        <v>-32.509709725675989</v>
      </c>
      <c r="FW15" s="327">
        <f ca="1">Tbl_MeasureList[[#This Row],[ROF Low Measure Electric Annual Consumption Savings (kWh/yr)]]*GAS_CUFT_PER_SITE_KWH/1000</f>
        <v>-31.593498275681231</v>
      </c>
      <c r="FX15" s="412">
        <f ca="1">Tbl_MeasureList[[#This Row],[ROF Low Measure Natural Gas Annual Consumption Savings (therms/yr)]]*Btu_per_MMBtu/(GAS_BTU_PER_CUFT*Therm_per_MMBtu*1000)</f>
        <v>0</v>
      </c>
      <c r="FY15" s="327">
        <f ca="1">Tbl_MeasureList[[#This Row],[Current ROF Low Measure Gas Source Fuel Savings (1,000 cu.ft. gas/year)]]+Tbl_MeasureList[[#This Row],[Current ROF Low Measure Gas Site Fuel Savings (1,000 cu.ft gas/year)]]</f>
        <v>-31.593498275681231</v>
      </c>
      <c r="FZ15" s="414">
        <f ca="1">IFERROR(Tbl_MeasureList[[#This Row],[ROF High Measure Electric Annual Consumption Savings (kWh/yr)]]*COAL_BTU_PER_SITE_KWH/Btu_per_MMBtu,"-")</f>
        <v>-0.76480336841781904</v>
      </c>
      <c r="GA15" s="327">
        <f ca="1">IFERROR(Tbl_MeasureList[[#This Row],[ROF High Measure Electric Annual Consumption Savings (kWh/yr)]]*COAL_LBS_PER_SITE_KWH,"-")</f>
        <v>-67.088014773492901</v>
      </c>
      <c r="GB15" s="412">
        <f ca="1">IFERROR(Tbl_MeasureList[[#This Row],[ROF High Measure Electric Annual Consumption Savings (kWh/yr)]]*OIL_BTU_PER_SITE_KWH/Btu_per_MMBtu,"-")</f>
        <v>-0.88043732636234673</v>
      </c>
      <c r="GC15" s="327">
        <f ca="1">IFERROR(Tbl_MeasureList[[#This Row],[ROF High Measure Electric Annual Consumption Savings (kWh/yr)]]*OIL_GAL_PER_SITE_KWH,"-")</f>
        <v>-6.382524385532979</v>
      </c>
      <c r="GD15" s="412">
        <f ca="1">IFERROR(Tbl_MeasureList[[#This Row],[ROF High Measure Oil Annual Consumption Savings (MMBtu/yr)]]*Btu_per_MMBtu/OIL_BTU_PER_GAL,"-")</f>
        <v>0</v>
      </c>
      <c r="GE15" s="327">
        <f ca="1">IFERROR(Tbl_MeasureList[[#This Row],[Current ROF High Measure Oil Source Fuel Savings (gallons oil/year)]]+Tbl_MeasureList[[#This Row],[Current ROF High Measure Oil Site Fuel Savings (gallons oil/year)]],"-")</f>
        <v>-6.382524385532979</v>
      </c>
      <c r="GF15" s="412">
        <f ca="1">IFERROR(Tbl_MeasureList[[#This Row],[ROF High Measure Electric Annual Consumption Savings (kWh/yr)]]*GAS_BTU_PER_SITE_KWH/Btu_per_MMBtu,"-")</f>
        <v>-28.432763888301601</v>
      </c>
      <c r="GG15" s="327">
        <f ca="1">IFERROR(Tbl_MeasureList[[#This Row],[ROF High Measure Electric Annual Consumption Savings (kWh/yr)]]*GAS_CUFT_PER_SITE_KWH/1000,"-")</f>
        <v>-27.631451786493294</v>
      </c>
      <c r="GH15" s="412">
        <f ca="1">IFERROR(Tbl_MeasureList[[#This Row],[ROF High Measure Natural Gas Annual Consumption Savings (therms/yr)]]*Btu_per_MMBtu/(GAS_BTU_PER_CUFT*Therm_per_MMBtu*1000),"-")</f>
        <v>0</v>
      </c>
      <c r="GI15" s="327">
        <f ca="1">IFERROR(Tbl_MeasureList[[#This Row],[Current ROF High Measure Gas Source Fuel Savings (1,000 cu.ft. gas/year)]]+Tbl_MeasureList[[#This Row],[Current ROF High Measure Gas Site Fuel Savings (1,000 cu.ft gas/year)]],"-")</f>
        <v>-27.631451786493294</v>
      </c>
      <c r="GJ15" s="324">
        <f ca="1">Tbl_MeasureList[[#This Row],[ER Total Low Measure Electric Annual Consumption Savings (kWh/yr)]]*COAL_BTU_PER_SITE_KWH_CES/Btu_per_MMBtu</f>
        <v>-1.4309678010754705</v>
      </c>
      <c r="GK15" s="325">
        <f ca="1">Tbl_MeasureList[[#This Row],[ER Total Low Measure Electric Annual Consumption Savings (kWh/yr)]]*COAL_LBS_PER_SITE_KWH_CES</f>
        <v>-129.94622240060573</v>
      </c>
      <c r="GL15" s="326">
        <f ca="1">Tbl_MeasureList[[#This Row],[ER Total Low Measure Electric Annual Consumption Savings (kWh/yr)]]*OIL_BTU_PER_SITE_KWH_CES/Btu_per_MMBtu</f>
        <v>-0.44046044543486018</v>
      </c>
      <c r="GM15" s="325">
        <f ca="1">Tbl_MeasureList[[#This Row],[ER Total Low Measure Electric Annual Consumption Savings (kWh/yr)]]*OIL_GAL_PER_SITE_KWH_CES</f>
        <v>-2.9715865543694693</v>
      </c>
      <c r="GN15" s="326">
        <f ca="1">Tbl_MeasureList[[#This Row],[ER Total Low Measure Oil Annual Consumption Savings (MMBtu/yr)]]*Btu_per_MMBtu/OIL_BTU_PER_GAL_CES</f>
        <v>0</v>
      </c>
      <c r="GO15" s="325">
        <f ca="1">Tbl_MeasureList[[#This Row],[CES ER Low Measure Oil Source Fuel Savings (gallons oil/year)]]+Tbl_MeasureList[[#This Row],[CES ER Low Measure Oil Site Fuel Savings (gallons oil/year)]]</f>
        <v>-2.9715865543694693</v>
      </c>
      <c r="GP15" s="326">
        <f ca="1">Tbl_MeasureList[[#This Row],[ER Total Low Measure Electric Annual Consumption Savings (kWh/yr)]]*GAS_BTU_PER_SITE_KWH_CES/Btu_per_MMBtu</f>
        <v>-13.028196916914926</v>
      </c>
      <c r="GQ15" s="327">
        <f ca="1">Tbl_MeasureList[[#This Row],[ER Total Low Measure Electric Annual Consumption Savings (kWh/yr)]]*GAS_CUFT_PER_SITE_KWH_CES/1000</f>
        <v>-12.64873487079119</v>
      </c>
      <c r="GR15" s="328">
        <f ca="1">Tbl_MeasureList[[#This Row],[ER Total Low Measure Natural Gas Annual Consumption Savings (therms/yr)]]*Btu_per_MMBtu/(GAS_BTU_PER_CUFT_CES*Therm_per_MMBtu*1000)</f>
        <v>0</v>
      </c>
      <c r="GS15" s="329">
        <f ca="1">Tbl_MeasureList[[#This Row],[CES ER Low Measure Gas Source Fuel Savings (1,000 cu.ft. gas/year)]]+Tbl_MeasureList[[#This Row],[CES ER Low Measure Gas Site Fuel Savings (1,000 cu.ft gas/year)]]</f>
        <v>-12.64873487079119</v>
      </c>
      <c r="GT15" s="324">
        <f ca="1">IFERROR(Tbl_MeasureList[[#This Row],[ER Total High Measure Electric Annual Consumption Savings (kWh/yr)]]*COAL_BTU_PER_SITE_KWH_CES/Btu_per_MMBtu,"-")</f>
        <v>-1.2445383260303615</v>
      </c>
      <c r="GU15" s="325">
        <f ca="1">IFERROR(Tbl_MeasureList[[#This Row],[ER Total High Measure Electric Annual Consumption Savings (kWh/yr)]]*COAL_LBS_PER_SITE_KWH_CES,"-")</f>
        <v>-113.0165570314531</v>
      </c>
      <c r="GV15" s="326">
        <f ca="1">IFERROR(Tbl_MeasureList[[#This Row],[ER Total High Measure Electric Annual Consumption Savings (kWh/yr)]]*OIL_BTU_PER_SITE_KWH_CES/Btu_per_MMBtu,"-")</f>
        <v>-0.38307633828804605</v>
      </c>
      <c r="GW15" s="325">
        <f ca="1">IFERROR(Tbl_MeasureList[[#This Row],[ER Total High Measure Electric Annual Consumption Savings (kWh/yr)]]*OIL_GAL_PER_SITE_KWH_CES,"-")</f>
        <v>-2.5844420491151641</v>
      </c>
      <c r="GX15" s="326">
        <f ca="1">IFERROR(Tbl_MeasureList[[#This Row],[ER Total High Measure Oil Annual Consumption Savings (MMBtu/yr)]]*Btu_per_MMBtu/OIL_BTU_PER_GAL_CES,"-")</f>
        <v>0</v>
      </c>
      <c r="GY15" s="325">
        <f ca="1">IFERROR(Tbl_MeasureList[[#This Row],[CES ER High Measure Oil Source Fuel Savings (gallons oil/year)]]+Tbl_MeasureList[[#This Row],[CES ER High Measure Oil Site Fuel Savings (gallons oil/year)]],"-")</f>
        <v>-2.5844420491151641</v>
      </c>
      <c r="GZ15" s="326">
        <f ca="1">IFERROR(Tbl_MeasureList[[#This Row],[ER Total High Measure Electric Annual Consumption Savings (kWh/yr)]]*GAS_BTU_PER_SITE_KWH_CES/Btu_per_MMBtu,"-")</f>
        <v>-11.330856200946812</v>
      </c>
      <c r="HA15" s="327">
        <f ca="1">IFERROR(Tbl_MeasureList[[#This Row],[ER Total High Measure Electric Annual Consumption Savings (kWh/yr)]]*GAS_CUFT_PER_SITE_KWH_CES/1000,"-")</f>
        <v>-11.00083126305516</v>
      </c>
      <c r="HB15" s="328">
        <f ca="1">IFERROR(Tbl_MeasureList[[#This Row],[ER Total High Measure Natural Gas Annual Consumption Savings (therms/yr)]]*Btu_per_MMBtu/(GAS_BTU_PER_CUFT_CES*Therm_per_MMBtu*1000),"-")</f>
        <v>0</v>
      </c>
      <c r="HC15" s="329">
        <f ca="1">IFERROR(Tbl_MeasureList[[#This Row],[CES ER High Measure Gas Source Fuel Savings (1,000 cu.ft. gas/year)]]+Tbl_MeasureList[[#This Row],[CES ER High Measure Gas Site Fuel Savings (1,000 cu.ft gas/year)]],"-")</f>
        <v>-11.00083126305516</v>
      </c>
      <c r="HD15" s="315">
        <f ca="1">Tbl_MeasureList[[#This Row],[ROF Low Measure Electric Annual Consumption Savings (kWh/yr)]]*COAL_BTU_PER_SITE_KWH_CES/Btu_per_MMBtu</f>
        <v>-1.4865952013554011</v>
      </c>
      <c r="HE15" s="316">
        <f ca="1">Tbl_MeasureList[[#This Row],[ROF Low Measure Electric Annual Consumption Savings (kWh/yr)]]*COAL_LBS_PER_SITE_KWH_CES</f>
        <v>-134.99774803445342</v>
      </c>
      <c r="HF15" s="317">
        <f ca="1">Tbl_MeasureList[[#This Row],[ROF Low Measure Electric Annual Consumption Savings (kWh/yr)]]*OIL_BTU_PER_SITE_KWH_CES/Btu_per_MMBtu</f>
        <v>-0.45758289185697176</v>
      </c>
      <c r="HG15" s="316">
        <f ca="1">Tbl_MeasureList[[#This Row],[ROF Low Measure Electric Annual Consumption Savings (kWh/yr)]]*OIL_GAL_PER_SITE_KWH_CES</f>
        <v>-3.0871039228260728</v>
      </c>
      <c r="HH15" s="317">
        <f ca="1">Tbl_MeasureList[[#This Row],[ROF Low Measure Oil Annual Consumption Savings (MMBtu/yr)]]*Btu_per_MMBtu/OIL_BTU_PER_GAL_CES</f>
        <v>0</v>
      </c>
      <c r="HI15" s="316">
        <f ca="1">Tbl_MeasureList[[#This Row],[CES ROF Low Measure Oil Source Fuel Savings (gallons oil/year)]]+Tbl_MeasureList[[#This Row],[CES ROF Low Measure Oil Site Fuel Savings (gallons oil/year)]]</f>
        <v>-3.0871039228260728</v>
      </c>
      <c r="HJ15" s="317">
        <f ca="1">Tbl_MeasureList[[#This Row],[ROF Low Measure Electric Annual Consumption Savings (kWh/yr)]]*GAS_BTU_PER_SITE_KWH_CES/Btu_per_MMBtu</f>
        <v>-13.53465466130184</v>
      </c>
      <c r="HK15" s="316">
        <f ca="1">Tbl_MeasureList[[#This Row],[ROF Low Measure Electric Annual Consumption Savings (kWh/yr)]]*GAS_CUFT_PER_SITE_KWH_CES/1000</f>
        <v>-13.140441418739652</v>
      </c>
      <c r="HL15" s="317">
        <f ca="1">Tbl_MeasureList[[#This Row],[ROF Low Measure Natural Gas Annual Consumption Savings (therms/yr)]]*Btu_per_MMBtu/(GAS_BTU_PER_CUFT_CES*Therm_per_MMBtu*1000)</f>
        <v>0</v>
      </c>
      <c r="HM15" s="318">
        <f ca="1">Tbl_MeasureList[[#This Row],[CES ROF Low Measure Gas Source Fuel Savings (1,000 cu.ft. gas/year)]]+Tbl_MeasureList[[#This Row],[CES ROF Low Measure Gas Site Fuel Savings (1,000 cu.ft gas/year)]]</f>
        <v>-13.140441418739652</v>
      </c>
      <c r="HN15" s="315">
        <f ca="1">IFERROR(Tbl_MeasureList[[#This Row],[ROF High Measure Electric Annual Consumption Savings (kWh/yr)]]*COAL_BTU_PER_SITE_KWH_CES/Btu_per_MMBtu,"-")</f>
        <v>-1.3001657263102924</v>
      </c>
      <c r="HO15" s="316">
        <f ca="1">IFERROR(Tbl_MeasureList[[#This Row],[ROF High Measure Electric Annual Consumption Savings (kWh/yr)]]*COAL_LBS_PER_SITE_KWH_CES,"-")</f>
        <v>-118.06808266530079</v>
      </c>
      <c r="HP15" s="317">
        <f ca="1">IFERROR(Tbl_MeasureList[[#This Row],[ROF High Measure Electric Annual Consumption Savings (kWh/yr)]]*OIL_BTU_PER_SITE_KWH_CES/Btu_per_MMBtu,"-")</f>
        <v>-0.40019878471015768</v>
      </c>
      <c r="HQ15" s="316">
        <f ca="1">IFERROR(Tbl_MeasureList[[#This Row],[ROF High Measure Electric Annual Consumption Savings (kWh/yr)]]*OIL_GAL_PER_SITE_KWH_CES,"-")</f>
        <v>-2.6999594175717676</v>
      </c>
      <c r="HR15" s="317">
        <f ca="1">IFERROR(Tbl_MeasureList[[#This Row],[ROF High Measure Oil Annual Consumption Savings (MMBtu/yr)]]*Btu_per_MMBtu/OIL_BTU_PER_GAL_CES,"-")</f>
        <v>0</v>
      </c>
      <c r="HS15" s="316">
        <f ca="1">IFERROR(Tbl_MeasureList[[#This Row],[CES ROF High Measure Oil Source Fuel Savings (gallons oil/year)]]+Tbl_MeasureList[[#This Row],[CES ROF High Measure Oil Site Fuel Savings (gallons oil/year)]],"-")</f>
        <v>-2.6999594175717676</v>
      </c>
      <c r="HT15" s="317">
        <f ca="1">IFERROR(Tbl_MeasureList[[#This Row],[ROF High Measure Electric Annual Consumption Savings (kWh/yr)]]*GAS_BTU_PER_SITE_KWH_CES/Btu_per_MMBtu,"-")</f>
        <v>-11.837313945333726</v>
      </c>
      <c r="HU15" s="316">
        <f ca="1">IFERROR(Tbl_MeasureList[[#This Row],[ROF High Measure Electric Annual Consumption Savings (kWh/yr)]]*GAS_CUFT_PER_SITE_KWH_CES/1000,"-")</f>
        <v>-11.49253781100362</v>
      </c>
      <c r="HV15" s="317">
        <f ca="1">IFERROR(Tbl_MeasureList[[#This Row],[ROF High Measure Natural Gas Annual Consumption Savings (therms/yr)]]*Btu_per_MMBtu/(GAS_BTU_PER_CUFT_CES*Therm_per_MMBtu*1000),"-")</f>
        <v>0</v>
      </c>
      <c r="HW15" s="318">
        <f ca="1">IFERROR(Tbl_MeasureList[[#This Row],[CES ROF High Measure Gas Source Fuel Savings (1,000 cu.ft. gas/year)]]+Tbl_MeasureList[[#This Row],[CES ROF High Measure Gas Site Fuel Savings (1,000 cu.ft gas/year)]],"-")</f>
        <v>-11.49253781100362</v>
      </c>
      <c r="HX15" s="248">
        <f>Tbl_MeasureList[[#This Row],[Baseline Energy Cost (USD/yr)]]-Tbl_MeasureList[[#This Row],[Code (old fuel) Energy Cost (USD/yr)]]</f>
        <v>282.43275931573362</v>
      </c>
      <c r="HY15" s="201">
        <f>0</f>
        <v>0</v>
      </c>
      <c r="HZ15" s="86">
        <f>Tbl_MeasureList[[#This Row],[Baseline Electric Annual Consumption (kWh/yr)]]-Tbl_MeasureList[[#This Row],[Code (old fuel) Electric Annual Consumption (kWh/yr)]]</f>
        <v>297.27584000000002</v>
      </c>
      <c r="IA15" s="86">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3.0500000000000114</v>
      </c>
      <c r="IB15" s="86">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294.22584000000006</v>
      </c>
      <c r="IC15" s="152">
        <f>Tbl_MeasureList[[#This Row],[Baseline Electric Winter Peak Demand (kW)]]-Tbl_MeasureList[[#This Row],[Code (old fuel) Electric Winter Peak Demand (kW)]]</f>
        <v>4.6788111217641731E-4</v>
      </c>
      <c r="ID15" s="152">
        <f>Tbl_MeasureList[[#This Row],[Baseline Electric Summer Peak Demand (kW)]]-Tbl_MeasureList[[#This Row],[Code (old fuel) Electric Summer Peak Demand (kW)]]</f>
        <v>0.39502639572192488</v>
      </c>
      <c r="IE15" s="251">
        <f>Tbl_MeasureList[[#This Row],[Baseline Natural Gas Annual Consumption (therms/yr)]]-Tbl_MeasureList[[#This Row],[Code (old fuel) Natural Gas Annual Consumption (therms/yr)]]</f>
        <v>0</v>
      </c>
      <c r="IF15" s="252">
        <f>Tbl_MeasureList[[#This Row],[Baseline Propane Annual Consumption (MMBtu/yr)]]-Tbl_MeasureList[[#This Row],[Code (old fuel) Propane Annual Consumption (MMBtu/yr)]]</f>
        <v>6.2214269738313419</v>
      </c>
      <c r="IG15" s="253">
        <f>Tbl_MeasureList[[#This Row],[Baseline Oil Annual Consumption (MMBtu/yr)]]-Tbl_MeasureList[[#This Row],[Code (old fuel) Oil Annual Consumption (MMBtu/yr)]]</f>
        <v>0</v>
      </c>
      <c r="IH15" s="371">
        <f>Tbl_MeasureList[[#This Row],[Baseline Energy Consumption on MMBtu Basis (MMBtu/yr)]]-Tbl_MeasureList[[#This Row],[Code (old fuel) Energy Consumption on MMBtu Basis (MMBtu/yr)]]</f>
        <v>7.2357321399113346</v>
      </c>
      <c r="II15" s="371">
        <f>Tbl_MeasureList[[#This Row],[Baseline Carbon Emissions, Site (tons CO2/yr)]]-Tbl_MeasureList[[#This Row],[Code (old fuel) Carbon Emissions, Site (tons CO2/yr)]]</f>
        <v>0.43238917468127802</v>
      </c>
      <c r="IJ15" s="279">
        <f>Tbl_MeasureList[[#This Row],[Baseline Carbon Emissions, Source (tons CO2/yr)]]-Tbl_MeasureList[[#This Row],[Code (old fuel) Carbon Emissions, Source (tons CO2/yr)]]</f>
        <v>0.53737511033567831</v>
      </c>
      <c r="IK15" s="273">
        <f ca="1">Tbl_MeasureList[[#This Row],[Code (new fuel) Energy Cost (USD/yr)]]-Tbl_MeasureList[[#This Row],[Low Measure Energy Cost (USD/yr)]]</f>
        <v>80.27531463669834</v>
      </c>
      <c r="IL15"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13273.974033262139</v>
      </c>
      <c r="IM15" s="85">
        <f ca="1">Tbl_MeasureList[[#This Row],[Code (old fuel) Electric Annual Consumption (kWh/yr)]]-Tbl_MeasureList[[#This Row],[Low Measure Electric Annual Consumption (kWh/yr)]]</f>
        <v>-7944.4452733545249</v>
      </c>
      <c r="IN15" s="85">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-8237.3256733545259</v>
      </c>
      <c r="IO15" s="85">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292.88040000000012</v>
      </c>
      <c r="IP15" s="152">
        <f ca="1">Tbl_MeasureList[[#This Row],[Code (old fuel) Electric Winter Peak Demand (kW)]]-Tbl_MeasureList[[#This Row],[Low Measure Electric Winter Peak Demand (kW)]]</f>
        <v>-1.693598781794597</v>
      </c>
      <c r="IQ15" s="152">
        <f ca="1">Tbl_MeasureList[[#This Row],[Code (old fuel) Electric Summer Peak Demand (kW)]]-Tbl_MeasureList[[#This Row],[Low Measure Electric Summer Peak Demand (kW)]]</f>
        <v>-0.55451550582750575</v>
      </c>
      <c r="IR15" s="204">
        <f ca="1">Tbl_MeasureList[[#This Row],[Code (old fuel) Natural Gas Annual Consumption (therms/yr)]]-Tbl_MeasureList[[#This Row],[Low Measure Natural Gas Annual Consumption (therms/yr)]]</f>
        <v>0</v>
      </c>
      <c r="IS15" s="153">
        <f ca="1">Tbl_MeasureList[[#This Row],[Code (old fuel) Propane Annual Consumption (MMBtu/yr)]]-Tbl_MeasureList[[#This Row],[Low Measure Propane Annual Consumption (MMBtu/yr)]]</f>
        <v>80.47058823529413</v>
      </c>
      <c r="IT15" s="204">
        <f ca="1">Tbl_MeasureList[[#This Row],[Code (old fuel) Oil Annual Consumption (MMBtu/yr)]]-Tbl_MeasureList[[#This Row],[Low Measure Oil Annual Consumption (MMBtu/yr)]]</f>
        <v>0</v>
      </c>
      <c r="IU15" s="204">
        <f ca="1">Tbl_MeasureList[[#This Row],[Code (old fuel) Energy Consumption on MMBtu Basis (MMBtu/yr)]]-Tbl_MeasureList[[#This Row],[Low Measure Energy Consumption on MMBtu Basis (MMBtu/yr)]]</f>
        <v>53.364140962608495</v>
      </c>
      <c r="IV15" s="204">
        <f ca="1">Tbl_MeasureList[[#This Row],[Code (old fuel) Carbon Emissions, Site (tons CO2/yr)]]-Tbl_MeasureList[[#This Row],[Low Measure Carbon Emissions, Site (tons CO2/yr)]]</f>
        <v>5.5927058823529423</v>
      </c>
      <c r="IW15" s="260">
        <f ca="1">Tbl_MeasureList[[#This Row],[Code (old fuel) Carbon Emissions, Source (tons CO2/yr)]]-Tbl_MeasureList[[#This Row],[Low Measure Carbon Emissions, Source (tons CO2/yr)]]</f>
        <v>2.7870455896150577</v>
      </c>
      <c r="IX15" s="27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1518.2011401151829</v>
      </c>
      <c r="IY15" s="20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14665.974033262139</v>
      </c>
      <c r="IZ15"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-6948.156061277351</v>
      </c>
      <c r="JA15"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-7331.8197946106839</v>
      </c>
      <c r="JB15"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383.66373333333343</v>
      </c>
      <c r="JC15"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-2.6430105465004794</v>
      </c>
      <c r="JD15"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-0.55451550582750575</v>
      </c>
      <c r="JE15"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0</v>
      </c>
      <c r="JF15" s="1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80.47058823529413</v>
      </c>
      <c r="JG15"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0</v>
      </c>
      <c r="JH15"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56.763479754215815</v>
      </c>
      <c r="JI15"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5.5927058823529423</v>
      </c>
      <c r="JJ15"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3.1388950877522328</v>
      </c>
      <c r="JK15" s="432">
        <f>Tbl_MeasureList[[#This Row],[ER (Retire) Electric Annual Consumption Savings (kWh/yr)]]*COAL_BTU_PER_SITE_KWH/Btu_per_MMBtu</f>
        <v>3.2722000164665151E-2</v>
      </c>
      <c r="JL15" s="428">
        <f>Tbl_MeasureList[[#This Row],[ER (Retire) Electric Annual Consumption Savings (kWh/yr)]]*COAL_LBS_PER_SITE_KWH</f>
        <v>2.870350891637294</v>
      </c>
      <c r="JM15" s="427">
        <f>Tbl_MeasureList[[#This Row],[ER (Retire) Electric Annual Consumption Savings (kWh/yr)]]*OIL_BTU_PER_SITE_KWH/Btu_per_MMBtu</f>
        <v>3.7669382128645477E-2</v>
      </c>
      <c r="JN15" s="428">
        <f>Tbl_MeasureList[[#This Row],[ER (Retire) Electric Annual Consumption Savings (kWh/yr)]]*OIL_GAL_PER_SITE_KWH</f>
        <v>0.27307537155131012</v>
      </c>
      <c r="JO15" s="427">
        <f>Tbl_MeasureList[[#This Row],[ER (Retire) Oil Annual Consumption Savings (MMBtu/yr)]]*Btu_per_MMBtu/OIL_BTU_PER_GAL</f>
        <v>0</v>
      </c>
      <c r="JP15" s="428">
        <f ca="1">Tbl_MeasureList[[#This Row],[Current ER (Retire) Oil Source Fuel Savings (gallons oil/year)]]+Tbl_MeasureList[[#This Row],[Current ER Total Low Measure Oil Site Fuel Savings (gallons oil/year)]]</f>
        <v>0.27307537155131012</v>
      </c>
      <c r="JQ15" s="427">
        <f>Tbl_MeasureList[[#This Row],[ER (Retire) Electric Annual Consumption Savings (kWh/yr)]]*GAS_BTU_PER_SITE_KWH/Btu_per_MMBtu</f>
        <v>1.2164916409293542</v>
      </c>
      <c r="JR15" s="429">
        <f>Tbl_MeasureList[[#This Row],[ER (Retire) Electric Annual Consumption Savings (kWh/yr)]]*GAS_CUFT_PER_SITE_KWH/1000</f>
        <v>1.1822076199507816</v>
      </c>
      <c r="JS15" s="430">
        <f>Tbl_MeasureList[[#This Row],[ER (Retire) Natural Gas Annual Consumption Savings (therms/yr)]]*Btu_per_MMBtu/(GAS_BTU_PER_CUFT*Therm_per_MMBtu*1000)</f>
        <v>0</v>
      </c>
      <c r="JT15" s="431">
        <f ca="1">Tbl_MeasureList[[#This Row],[Current ER (Retire) Gas Source Fuel Savings (1,000 cu.ft. gas/year)]]+Tbl_MeasureList[[#This Row],[Current ER Total Low Measure Gas Site Fuel Savings (1,000 cu.ft gas/year)]]</f>
        <v>1.1822076199507816</v>
      </c>
      <c r="JU15" s="432">
        <f ca="1">Tbl_MeasureList[[#This Row],[ER (EE) Low Measure Electric Annual Consumption Savings (kWh/yr)]]*COAL_BTU_PER_SITE_KWH/Btu_per_MMBtu</f>
        <v>-0.87446776550317717</v>
      </c>
      <c r="JV15" s="428">
        <f ca="1">Tbl_MeasureList[[#This Row],[ER (EE) Low Measure Electric Annual Consumption Savings (kWh/yr)]]*COAL_LBS_PER_SITE_KWH</f>
        <v>-76.707698728348873</v>
      </c>
      <c r="JW15" s="427">
        <f ca="1">Tbl_MeasureList[[#This Row],[ER (EE) Low Measure Electric Annual Consumption Savings (kWh/yr)]]*OIL_BTU_PER_SITE_KWH/Btu_per_MMBtu</f>
        <v>-1.0066823620853378</v>
      </c>
      <c r="JX15" s="428">
        <f ca="1">Tbl_MeasureList[[#This Row],[ER (EE) Low Measure Electric Annual Consumption Savings (kWh/yr)]]*OIL_GAL_PER_SITE_KWH</f>
        <v>-7.2977082321601934</v>
      </c>
      <c r="JY15" s="427">
        <f ca="1">Tbl_MeasureList[[#This Row],[ER (EE) Low Measure Oil Annual Consumption Savings (MMBtu/yr)]]*Btu_per_MMBtu/OIL_BTU_PER_GAL</f>
        <v>0</v>
      </c>
      <c r="JZ15" s="428">
        <f ca="1">Tbl_MeasureList[[#This Row],[Current ER (EE) Low Measure Oil Source Fuel Savings (gallons oil/year)]]+Tbl_MeasureList[[#This Row],[Current ER (EE) Low Measure Oil Site Fuel Savings (gallons oil/year)]]</f>
        <v>-7.2977082321601934</v>
      </c>
      <c r="KA15" s="427">
        <f ca="1">Tbl_MeasureList[[#This Row],[ER (EE) Low Measure Electric Annual Consumption Savings (kWh/yr)]]*GAS_BTU_PER_SITE_KWH/Btu_per_MMBtu</f>
        <v>-32.509709725675989</v>
      </c>
      <c r="KB15" s="429">
        <f ca="1">Tbl_MeasureList[[#This Row],[ER (EE) Low Measure Electric Annual Consumption Savings (kWh/yr)]]*GAS_CUFT_PER_SITE_KWH/1000</f>
        <v>-31.593498275681231</v>
      </c>
      <c r="KC15" s="430">
        <f ca="1">Tbl_MeasureList[[#This Row],[ER (EE) Low Measure Natural Gas Annual Consumption Savings (therms/yr)]]*Btu_per_MMBtu/(GAS_BTU_PER_CUFT*Therm_per_MMBtu*1000)</f>
        <v>0</v>
      </c>
      <c r="KD15" s="431">
        <f ca="1">Tbl_MeasureList[[#This Row],[Current ER (EE) Low Measure Gas Source Fuel Savings (1,000 cu.ft. gas/year)]]+Tbl_MeasureList[[#This Row],[Current ER (EE) Low Measure Gas Site Fuel Savings (1,000 cu.ft gas/year)]]</f>
        <v>-31.593498275681231</v>
      </c>
      <c r="KE15" s="432">
        <f ca="1">IFERROR(Tbl_MeasureList[[#This Row],[ER (EE) High Measure Electric Annual Consumption Savings (kWh/yr)]]*COAL_BTU_PER_SITE_KWH/Btu_per_MMBtu,"-")</f>
        <v>-0.76480336841781904</v>
      </c>
      <c r="KF15" s="428">
        <f ca="1">IFERROR(Tbl_MeasureList[[#This Row],[ER (EE) High Measure Electric Annual Consumption Savings (kWh/yr)]]*COAL_LBS_PER_SITE_KWH,"-")</f>
        <v>-67.088014773492901</v>
      </c>
      <c r="KG15" s="427">
        <f ca="1">IFERROR(Tbl_MeasureList[[#This Row],[ER (EE) High Measure Electric Annual Consumption Savings (kWh/yr)]]*OIL_BTU_PER_SITE_KWH/Btu_per_MMBtu,"-")</f>
        <v>-0.88043732636234673</v>
      </c>
      <c r="KH15" s="428">
        <f ca="1">IFERROR(Tbl_MeasureList[[#This Row],[ER (EE) High Measure Electric Annual Consumption Savings (kWh/yr)]]*OIL_GAL_PER_SITE_KWH,"-")</f>
        <v>-6.382524385532979</v>
      </c>
      <c r="KI15" s="427">
        <f ca="1">IFERROR(Tbl_MeasureList[[#This Row],[ER (EE) High Measure Oil Annual Consumption Savings (MMBtu/yr)]]*Btu_per_MMBtu/OIL_BTU_PER_GAL,"-")</f>
        <v>0</v>
      </c>
      <c r="KJ15" s="428">
        <f ca="1">IFERROR(Tbl_MeasureList[[#This Row],[Current ER (EE) High Measure Oil Source Fuel Savings (gallons oil/year)]]+Tbl_MeasureList[[#This Row],[Current ER (EE) High Measure Oil Site Fuel Savings (gallons oil/year)]],"-")</f>
        <v>-6.382524385532979</v>
      </c>
      <c r="KK15" s="427">
        <f ca="1">IFERROR(Tbl_MeasureList[[#This Row],[ER (EE) High Measure Electric Annual Consumption Savings (kWh/yr)]]*GAS_BTU_PER_SITE_KWH/Btu_per_MMBtu,"-")</f>
        <v>-28.432763888301601</v>
      </c>
      <c r="KL15" s="429">
        <f ca="1">IFERROR(Tbl_MeasureList[[#This Row],[ER (EE) High Measure Electric Annual Consumption Savings (kWh/yr)]]*GAS_CUFT_PER_SITE_KWH/1000,"-")</f>
        <v>-27.631451786493294</v>
      </c>
      <c r="KM15" s="430">
        <f ca="1">IFERROR(Tbl_MeasureList[[#This Row],[ER (EE) High Measure Natural Gas Annual Consumption Savings (therms/yr)]]*Btu_per_MMBtu/(GAS_BTU_PER_CUFT*Therm_per_MMBtu*1000),"-")</f>
        <v>0</v>
      </c>
      <c r="KN15" s="431">
        <f ca="1">IFERROR(Tbl_MeasureList[[#This Row],[Current ER (EE) High Measure Gas Source Fuel Savings (1,000 cu.ft. gas/year)]]+Tbl_MeasureList[[#This Row],[Current ER (EE) High Measure Gas Site Fuel Savings (1,000 cu.ft gas/year)]],"-")</f>
        <v>-27.631451786493294</v>
      </c>
    </row>
    <row r="16" spans="1:300" x14ac:dyDescent="0.2">
      <c r="B16" s="16"/>
      <c r="C16" s="2" t="s">
        <v>90</v>
      </c>
      <c r="D16" s="12" t="str">
        <f>INDEX(Tbl_BaselineSummary[Equipment ID],MATCH(Tbl_MeasureList[[#This Row],[Baseline ID]],Tbl_BaselineSummary[Baseline ID],0))</f>
        <v>EQUI036</v>
      </c>
      <c r="E16" s="11" t="str">
        <f>INDEX(Tbl_EquipmentDefinitions[Equipment Name],MATCH('Measure List'!$D16,Tbl_EquipmentDefinitions[Equipment ID],0))</f>
        <v>Room AC/No AC Blend+Oil Boiler</v>
      </c>
      <c r="F16" s="3" t="s">
        <v>936</v>
      </c>
      <c r="G16" s="11" t="str">
        <f>INDEX(Tbl_EquipmentDefinitions[Function],MATCH('Measure List'!$D16,Tbl_EquipmentDefinitions[Equipment ID],0))</f>
        <v>Cool+Heat</v>
      </c>
      <c r="H16" s="3" t="s">
        <v>111</v>
      </c>
      <c r="I16" s="3" t="s">
        <v>16</v>
      </c>
      <c r="J16" s="11" t="str">
        <f>INDEX(Tbl_EquipmentDefinitions[Equipment Name],MATCH('Measure List'!$I16,Tbl_EquipmentDefinitions[Equipment ID],0))</f>
        <v>DMSHP+Oil Boiler</v>
      </c>
      <c r="K16" s="11">
        <f>INDEX(Tbl_EquipmentDefinitions[],MATCH(Tbl_MeasureList[[#This Row],[Replacement ID]],Tbl_EquipmentDefinitions[[Equipment ID]:[Equipment ID]],0),MATCH(Tbl_MeasureList[[#Headers],[New Unit Equipment Life (years)]],Tbl_EquipmentDefinitions[#Headers],0))</f>
        <v>18</v>
      </c>
      <c r="L16" s="11">
        <f>INDEX(Tbl_EquipmentDefinitions[],MATCH(Tbl_MeasureList[[#This Row],[Baseline Equipment ID]],Tbl_EquipmentDefinitions[[Equipment ID]:[Equipment ID]],0),MATCH(Tbl_MeasureList[[#Headers],[Remaining Life for Early Replacement (years)]],Tbl_EquipmentDefinitions[#Headers],0))</f>
        <v>10</v>
      </c>
      <c r="M16" s="12" t="str">
        <f>INDEX(Tbl_EquipmentDefinitions[Function],MATCH('Measure List'!$I16,Tbl_EquipmentDefinitions[Equipment ID],0))</f>
        <v>Cool+Heat</v>
      </c>
      <c r="N16" s="368" t="s">
        <v>750</v>
      </c>
      <c r="O16" s="14" t="str">
        <f t="shared" si="0"/>
        <v>OK</v>
      </c>
      <c r="P16" s="12" t="str">
        <f ca="1">IFERROR(INDIRECT(Tbl_MeasureList[[#This Row],[Measure ID]]&amp;"!D5"),"No tab")</f>
        <v>3. Ready</v>
      </c>
      <c r="Q16" s="11"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Electric</v>
      </c>
      <c r="R16" s="12"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Oil</v>
      </c>
      <c r="S16" s="11"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Electric</v>
      </c>
      <c r="T16" s="247"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Oil</v>
      </c>
      <c r="U16" s="248">
        <f>INDEX(Tbl_BaselineSummary[Baseline Annual Energy Cost (USD)],MATCH(Tbl_MeasureList[[#This Row],[Baseline ID]],Tbl_BaselineSummary[Baseline ID],0))</f>
        <v>2629.7287980291785</v>
      </c>
      <c r="V16" s="249">
        <f>INDEX(Tbl_BaselineSummary[Baseline Electric Annual Consumption  (kWh)],MATCH(Tbl_MeasureList[[#This Row],[Baseline ID]],Tbl_BaselineSummary[Baseline ID],0))</f>
        <v>1682.521739130435</v>
      </c>
      <c r="W16" s="249">
        <f>INDEX(Tbl_BaselineSummary[Baseline Electric Winter Consumption (kWh)],MATCH(Tbl_MeasureList[[#This Row],[Baseline ID]],Tbl_BaselineSummary[Baseline ID],0))</f>
        <v>230</v>
      </c>
      <c r="X16" s="249">
        <f>INDEX(Tbl_BaselineSummary[Baseline Electric Summer Consumption (kWh)],MATCH(Tbl_MeasureList[[#This Row],[Baseline ID]],Tbl_BaselineSummary[Baseline ID],0))</f>
        <v>1452.521739130435</v>
      </c>
      <c r="Y16" s="250">
        <f>INDEX(Tbl_BaselineSummary[Baseline Electric Baseline Winter Peak Demand (kW)],MATCH(Tbl_MeasureList[[#This Row],[Baseline ID]],Tbl_BaselineSummary[Baseline ID],0))</f>
        <v>3.5282837967401733E-2</v>
      </c>
      <c r="Z16" s="452">
        <f>INDEX(Tbl_BaselineSummary[Baseline Electric Baseline Summer Peak Demand (kW)],MATCH(Tbl_MeasureList[[#This Row],[Baseline ID]],Tbl_BaselineSummary[Baseline ID],0))</f>
        <v>1.9200000000000002</v>
      </c>
      <c r="AA16" s="458">
        <f>INDEX(Tbl_BaselineSummary[Baseline Natural Gas Annual Consumption  (therms)],MATCH(Tbl_MeasureList[[#This Row],[Baseline ID]],Tbl_BaselineSummary[Baseline ID],0))</f>
        <v>0</v>
      </c>
      <c r="AB16" s="455">
        <f>INDEX(Tbl_BaselineSummary[Baseline Propane Annual Consumption  (MMBtu)],MATCH(Tbl_MeasureList[[#This Row],[Baseline ID]],Tbl_BaselineSummary[Baseline ID],0))</f>
        <v>0</v>
      </c>
      <c r="AC16" s="252">
        <f>INDEX(Tbl_BaselineSummary[Baseline Oil Annual Consumption  (MMBtu)],MATCH(Tbl_MeasureList[[#This Row],[Baseline ID]],Tbl_BaselineSummary[Baseline ID],0))</f>
        <v>102.26666666666667</v>
      </c>
      <c r="AD16" s="371">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108.00743084057972</v>
      </c>
      <c r="AE16" s="460">
        <f>(lbCO2_per_Therm_Gas*Tbl_MeasureList[[#This Row],[Baseline Natural Gas Annual Consumption (therms/yr)]]+lbCO2_per_MMBtu_Prop*Tbl_MeasureList[[#This Row],[Baseline Propane Annual Consumption (MMBtu/yr)]]+lbCO2_per_MMBtu_Oil*Tbl_MeasureList[[#This Row],[Baseline Oil Annual Consumption (MMBtu/yr)]])*Lbs_per_ShortTon</f>
        <v>8.2478066666666674</v>
      </c>
      <c r="AF16" s="463">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8.8420060440579711</v>
      </c>
      <c r="AG16" s="465">
        <f>INDEX(Tbl_BaselineSummary[Code Annual Energy Cost (USD)],MATCH(Tbl_MeasureList[[#This Row],[Baseline ID]],Tbl_BaselineSummary[Baseline ID],0))</f>
        <v>2326.1678239546236</v>
      </c>
      <c r="AH16" s="468">
        <f>INDEX(Tbl_BaselineSummary[Deferred Replacement Credit (USD)],MATCH(Tbl_MeasureList[[#This Row],[Baseline ID]],Tbl_BaselineSummary[Baseline ID],0))</f>
        <v>3496.2245592483241</v>
      </c>
      <c r="AI16" s="201">
        <f>INDEX(Tbl_BaselineSummary[A/C-only Deferred Replacement Credit (USD)],MATCH(Tbl_MeasureList[[#This Row],[Baseline ID]],Tbl_BaselineSummary[Baseline ID],0))</f>
        <v>540.79957040967588</v>
      </c>
      <c r="AJ16" s="468">
        <f>INDEX(Tbl_BaselineSummary[Code Installed Costs (USD)],MATCH(Tbl_MeasureList[[#This Row],[Baseline ID]],Tbl_BaselineSummary[Baseline ID],0))</f>
        <v>7700.782608695652</v>
      </c>
      <c r="AK16" s="201">
        <f>INDEX(Tbl_BaselineSummary[Code A/C-only Installed Cost (USD)],MATCH(Tbl_MeasureList[[#This Row],[Baseline ID]],Tbl_BaselineSummary[Baseline ID],0))</f>
        <v>834.78260869565224</v>
      </c>
      <c r="AL16" s="86">
        <f>INDEX(Tbl_BaselineSummary[Code Electric Annual Consumption (kWh)],MATCH(Tbl_MeasureList[[#This Row],[Baseline ID]],Tbl_BaselineSummary[Baseline ID],0))</f>
        <v>1392.0173913043479</v>
      </c>
      <c r="AM16" s="86">
        <f>INDEX(Tbl_BaselineSummary[Code Electric Winter Consumption (kWh)],MATCH(Tbl_MeasureList[[#This Row],[Baseline ID]],Tbl_BaselineSummary[Baseline ID],0))</f>
        <v>230</v>
      </c>
      <c r="AN16" s="86">
        <f>INDEX(Tbl_BaselineSummary[Code Electric Summer Consumption (kWh)],MATCH(Tbl_MeasureList[[#This Row],[Baseline ID]],Tbl_BaselineSummary[Baseline ID],0))</f>
        <v>1162.0173913043479</v>
      </c>
      <c r="AO16" s="152">
        <f>INDEX(Tbl_BaselineSummary[Code Electric Winter Peak Demand (kW)],MATCH(Tbl_MeasureList[[#This Row],[Baseline ID]],Tbl_BaselineSummary[Baseline ID],0))</f>
        <v>3.5282837967401733E-2</v>
      </c>
      <c r="AP16" s="470">
        <f>INDEX(Tbl_BaselineSummary[Code Electric Summer Peak Demand (kW)],MATCH(Tbl_MeasureList[[#This Row],[Baseline ID]],Tbl_BaselineSummary[Baseline ID],0))</f>
        <v>1.5360000000000005</v>
      </c>
      <c r="AQ16" s="467">
        <f>INDEX(Tbl_BaselineSummary[Code Natural Gas Annual Consumption (therms)],MATCH(Tbl_MeasureList[[#This Row],[Baseline ID]],Tbl_BaselineSummary[Baseline ID],0))</f>
        <v>0</v>
      </c>
      <c r="AR16" s="472">
        <f>INDEX(Tbl_BaselineSummary[Code Propane Annual Consumption (MMBtu)],MATCH(Tbl_MeasureList[[#This Row],[Baseline ID]],Tbl_BaselineSummary[Baseline ID],0))</f>
        <v>0</v>
      </c>
      <c r="AS16" s="467">
        <f>INDEX(Tbl_BaselineSummary[Code Oil Annual Consumption (MMBtu)],MATCH(Tbl_MeasureList[[#This Row],[Baseline ID]],Tbl_BaselineSummary[Baseline ID],0))</f>
        <v>91.30952380952381</v>
      </c>
      <c r="AT16" s="204">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96.059087148654243</v>
      </c>
      <c r="AU16" s="467">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7.3641130952380953</v>
      </c>
      <c r="AV16" s="474">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7.8557179571511391</v>
      </c>
      <c r="AW16" s="248">
        <f ca="1">INDIRECT(Tbl_MeasureList[[#This Row],[Measure ID]]&amp;"!L26")</f>
        <v>2453.8613050812787</v>
      </c>
      <c r="AX16" s="477">
        <f ca="1">INDIRECT(Tbl_MeasureList[[#This Row],[Measure ID]]&amp;"!M26")</f>
        <v>10810.099999999999</v>
      </c>
      <c r="AY16" s="481">
        <f ca="1">INDIRECT(Tbl_MeasureList[[#This Row],[Measure ID]]&amp;"!D26")</f>
        <v>7359.150629403608</v>
      </c>
      <c r="AZ16" s="481">
        <f ca="1">INDIRECT(Tbl_MeasureList[[#This Row],[Measure ID]]&amp;"!J26")</f>
        <v>6487.6306294036076</v>
      </c>
      <c r="BA16" s="481">
        <f ca="1">INDIRECT(Tbl_MeasureList[[#This Row],[Measure ID]]&amp;"!I26")</f>
        <v>871.5200000000001</v>
      </c>
      <c r="BB16" s="479">
        <f ca="1">INDIRECT(Tbl_MeasureList[[#This Row],[Measure ID]]&amp;"!E26")</f>
        <v>1.2439024390243905</v>
      </c>
      <c r="BC16" s="268">
        <f ca="1">INDIRECT(Tbl_MeasureList[[#This Row],[Measure ID]]&amp;"!H26")</f>
        <v>0.94999999999999984</v>
      </c>
      <c r="BD16" s="253">
        <f ca="1">INDIRECT(Tbl_MeasureList[[#This Row],[Measure ID]]&amp;"!D32")</f>
        <v>0</v>
      </c>
      <c r="BE16" s="270">
        <f ca="1">INDIRECT(Tbl_MeasureList[[#This Row],[Measure ID]]&amp;"!D38")</f>
        <v>0</v>
      </c>
      <c r="BF16" s="253">
        <f ca="1">INDIRECT(Tbl_MeasureList[[#This Row],[Measure ID]]&amp;"!D44")</f>
        <v>44.444081401305816</v>
      </c>
      <c r="BG16" s="460">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69.55350334883093</v>
      </c>
      <c r="BH16" s="371">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3.5844151650153147</v>
      </c>
      <c r="BI16" s="272">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6.1833728012954925</v>
      </c>
      <c r="BJ16" s="273">
        <f ca="1">INDIRECT(Tbl_MeasureList[[#This Row],[Measure ID]]&amp;"!L27")</f>
        <v>2197.3163291973742</v>
      </c>
      <c r="BK16" s="201">
        <f ca="1">INDIRECT(Tbl_MeasureList[[#This Row],[Measure ID]]&amp;"!M27")</f>
        <v>11746.099999999999</v>
      </c>
      <c r="BL16" s="85">
        <f ca="1">INDIRECT(Tbl_MeasureList[[#This Row],[Measure ID]]&amp;"!D27")</f>
        <v>6062.1588403039905</v>
      </c>
      <c r="BM16" s="85">
        <f ca="1">INDIRECT(Tbl_MeasureList[[#This Row],[Measure ID]]&amp;"!J27")</f>
        <v>5335.892173637324</v>
      </c>
      <c r="BN16" s="85">
        <f ca="1">INDIRECT(Tbl_MeasureList[[#This Row],[Measure ID]]&amp;"!I27")</f>
        <v>726.26666666666677</v>
      </c>
      <c r="BO16" s="152">
        <f ca="1">INDIRECT(Tbl_MeasureList[[#This Row],[Measure ID]]&amp;"!E27")</f>
        <v>1.02</v>
      </c>
      <c r="BP16" s="470">
        <f ca="1">INDIRECT(Tbl_MeasureList[[#This Row],[Measure ID]]&amp;"!H27")</f>
        <v>0.94999999999999984</v>
      </c>
      <c r="BQ16" s="467">
        <f ca="1">INDIRECT(Tbl_MeasureList[[#This Row],[Measure ID]]&amp;"!D33")</f>
        <v>0</v>
      </c>
      <c r="BR16" s="472">
        <f ca="1">INDIRECT(Tbl_MeasureList[[#This Row],[Measure ID]]&amp;"!D39")</f>
        <v>0</v>
      </c>
      <c r="BS16" s="467">
        <f ca="1">INDIRECT(Tbl_MeasureList[[#This Row],[Measure ID]]&amp;"!D45")</f>
        <v>44.444081401305816</v>
      </c>
      <c r="BT16" s="204">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65.128167364423035</v>
      </c>
      <c r="BU16" s="467">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3.5844151650153147</v>
      </c>
      <c r="BV16" s="260">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5.7253271810570716</v>
      </c>
      <c r="BW16" s="24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2009.9809869645337</v>
      </c>
      <c r="BX16" s="26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11958.5</v>
      </c>
      <c r="BY16"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5115.064086851814</v>
      </c>
      <c r="BZ16"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4461.4240868518136</v>
      </c>
      <c r="CA16"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653.6400000000001</v>
      </c>
      <c r="CB16"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1.125</v>
      </c>
      <c r="CC16"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0.94999999999999984</v>
      </c>
      <c r="CD16"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0</v>
      </c>
      <c r="CE16"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0</v>
      </c>
      <c r="CF16"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44.444081401305816</v>
      </c>
      <c r="CG16" s="460">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61.896680065644205</v>
      </c>
      <c r="CH16" s="37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3.5844151650153147</v>
      </c>
      <c r="CI16" s="26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5.3908511979279012</v>
      </c>
      <c r="CJ16" s="320">
        <f ca="1">-Tbl_MeasureList[[#This Row],[Low Measure Energy Cost (USD/yr)]]+Tbl_MeasureList[[#This Row],[Baseline Energy Cost (USD/yr)]]</f>
        <v>432.41246883180429</v>
      </c>
      <c r="CK16"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11205.300429590323</v>
      </c>
      <c r="CL16" s="249">
        <f ca="1">-Tbl_MeasureList[[#This Row],[Low Measure Electric Annual Consumption (kWh/yr)]]+Tbl_MeasureList[[#This Row],[Baseline Electric Annual Consumption (kWh/yr)]]</f>
        <v>-4379.6371011735555</v>
      </c>
      <c r="CM16" s="249">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-5105.892173637324</v>
      </c>
      <c r="CN16" s="249">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726.25507246376822</v>
      </c>
      <c r="CO16" s="268">
        <f ca="1">-Tbl_MeasureList[[#This Row],[Low Measure Electric Winter Peak Demand (kW)]]+Tbl_MeasureList[[#This Row],[Baseline Electric Winter Peak Demand (kW)]]</f>
        <v>-0.98471716203259829</v>
      </c>
      <c r="CP16" s="479">
        <f ca="1">-Tbl_MeasureList[[#This Row],[Low Measure Electric Summer Peak Demand (kW)]]+Tbl_MeasureList[[#This Row],[Baseline Electric Summer Peak Demand (kW)]]</f>
        <v>0.97000000000000031</v>
      </c>
      <c r="CQ16" s="481">
        <f ca="1">-Tbl_MeasureList[[#This Row],[Low Measure Natural Gas Annual Consumption (therms/yr)]]+Tbl_MeasureList[[#This Row],[Baseline Natural Gas Annual Consumption (therms/yr)]]</f>
        <v>0</v>
      </c>
      <c r="CR16" s="490">
        <f ca="1">-Tbl_MeasureList[[#This Row],[Low Measure Propane Annual Consumption (MMBtu/yr)]]+Tbl_MeasureList[[#This Row],[Baseline Propane Annual Consumption (MMBtu/yr)]]</f>
        <v>0</v>
      </c>
      <c r="CS16" s="252">
        <f ca="1">-Tbl_MeasureList[[#This Row],[Low Measure Oil Annual Consumption (MMBtu/yr)]]+Tbl_MeasureList[[#This Row],[Baseline Oil Annual Consumption (MMBtu/yr)]]</f>
        <v>57.82258526536085</v>
      </c>
      <c r="CT16"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42.87926347615668</v>
      </c>
      <c r="CU16" s="487">
        <f ca="1">-Tbl_MeasureList[[#This Row],[Low Measure Carbon Emissions, Site (tons CO2/yr)]]+Tbl_MeasureList[[#This Row],[Baseline Carbon Emissions, Site (tons CO2/yr)]]</f>
        <v>4.6633915016513523</v>
      </c>
      <c r="CV16" s="491">
        <f ca="1">-Tbl_MeasureList[[#This Row],[Low Measure Carbon Emissions, Source (tons CO2/yr)]]+Tbl_MeasureList[[#This Row],[Baseline Carbon Emissions, Source (tons CO2/yr)]]</f>
        <v>3.1166788630008995</v>
      </c>
      <c r="CW16"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619.74781106464479</v>
      </c>
      <c r="CX16"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11417.700429590324</v>
      </c>
      <c r="CY16"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-3432.542347721379</v>
      </c>
      <c r="CZ16"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-4231.4240868518136</v>
      </c>
      <c r="DA16"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798.88173913043488</v>
      </c>
      <c r="DB16"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-1.0897171620325983</v>
      </c>
      <c r="DC16"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0.97000000000000031</v>
      </c>
      <c r="DD16"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0</v>
      </c>
      <c r="DE16"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0</v>
      </c>
      <c r="DF16"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57.82258526536085</v>
      </c>
      <c r="DG16" s="270">
        <f ca="1">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46.110750774935504</v>
      </c>
      <c r="DH16"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4.6633915016513523</v>
      </c>
      <c r="DI16"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3.4511548461300698</v>
      </c>
      <c r="DJ16" s="320">
        <f ca="1">-Tbl_MeasureList[[#This Row],[Low Measure Energy Cost (USD/yr)]]+Tbl_MeasureList[[#This Row],[Code (old fuel) Energy Cost (USD/yr)]]</f>
        <v>128.85149475724938</v>
      </c>
      <c r="DK16" s="267">
        <f ca="1">Tbl_MeasureList[[#This Row],[Low Measure Installed Costs (USD)]]-Tbl_MeasureList[[#This Row],[Code (old fuel) Installed Costs (USD)]]</f>
        <v>4045.3173913043465</v>
      </c>
      <c r="DL16" s="249">
        <f ca="1">-Tbl_MeasureList[[#This Row],[Low Measure Electric Annual Consumption (kWh/yr)]]+Tbl_MeasureList[[#This Row],[Code (old fuel) Electric Annual Consumption (kWh/yr)]]</f>
        <v>-4670.1414489996423</v>
      </c>
      <c r="DM16" s="249">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-5105.892173637324</v>
      </c>
      <c r="DN16" s="249">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435.75072463768117</v>
      </c>
      <c r="DO16" s="268">
        <f ca="1">-Tbl_MeasureList[[#This Row],[Low Measure Electric Winter Peak Demand (kW)]]+Tbl_MeasureList[[#This Row],[Code (old fuel) Electric Winter Peak Demand (kW)]]</f>
        <v>-0.98471716203259829</v>
      </c>
      <c r="DP16" s="479">
        <f ca="1">-Tbl_MeasureList[[#This Row],[Low Measure Electric Summer Peak Demand (kW)]]+Tbl_MeasureList[[#This Row],[Code (old fuel) Electric Summer Peak Demand (kW)]]</f>
        <v>0.58600000000000063</v>
      </c>
      <c r="DQ16" s="481">
        <f ca="1">-Tbl_MeasureList[[#This Row],[Low Measure Natural Gas Annual Consumption (therms/yr)]]+Tbl_MeasureList[[#This Row],[Code (old fuel) Natural Gas Annual Consumption (therms/yr)]]</f>
        <v>0</v>
      </c>
      <c r="DR16" s="490">
        <f ca="1">-Tbl_MeasureList[[#This Row],[Low Measure Propane Annual Consumption (MMBtu/yr)]]+Tbl_MeasureList[[#This Row],[Code (old fuel) Propane Annual Consumption (MMBtu/yr)]]</f>
        <v>0</v>
      </c>
      <c r="DS16" s="252">
        <f ca="1">-Tbl_MeasureList[[#This Row],[Low Measure Oil Annual Consumption (MMBtu/yr)]]+Tbl_MeasureList[[#This Row],[Code (old fuel) Oil Annual Consumption (MMBtu/yr)]]</f>
        <v>46.865442408217994</v>
      </c>
      <c r="DT16"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30.930919784231214</v>
      </c>
      <c r="DU16" s="487">
        <f ca="1">-Tbl_MeasureList[[#This Row],[Low Measure Carbon Emissions, Site (tons CO2/yr)]]+Tbl_MeasureList[[#This Row],[Code (old fuel) Carbon Emissions, Site (tons CO2/yr)]]</f>
        <v>3.7796979302227807</v>
      </c>
      <c r="DV16" s="491">
        <f ca="1">-Tbl_MeasureList[[#This Row],[Low Measure Carbon Emissions, Source (tons CO2/yr)]]+Tbl_MeasureList[[#This Row],[Code (old fuel) Carbon Emissions, Source (tons CO2/yr)]]</f>
        <v>2.1303907760940675</v>
      </c>
      <c r="DW16"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(old fuel) Energy Cost (USD/yr)]],
        "-")</f>
        <v>316.18683699008989</v>
      </c>
      <c r="DX16"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4257.717391304348</v>
      </c>
      <c r="DY16"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-3723.0466955474658</v>
      </c>
      <c r="DZ16"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-4231.4240868518136</v>
      </c>
      <c r="EA16"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508.37739130434784</v>
      </c>
      <c r="EB16"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-1.0897171620325983</v>
      </c>
      <c r="EC16"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0.58600000000000063</v>
      </c>
      <c r="ED16"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0</v>
      </c>
      <c r="EE16"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0</v>
      </c>
      <c r="EF16"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46.865442408217994</v>
      </c>
      <c r="EG16" s="270">
        <f ca="1">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34.162407083010038</v>
      </c>
      <c r="EH16"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3.7796979302227807</v>
      </c>
      <c r="EI16"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2.4648667592232378</v>
      </c>
      <c r="EJ16" s="477">
        <f ca="1">Tbl_MeasureList[[#This Row],[Code (old fuel) Energy Cost (USD/yr)]]-Tbl_MeasureList[[#This Row],[Code (new fuel) Energy Cost (USD/yr)]]</f>
        <v>-127.69348112665512</v>
      </c>
      <c r="EK16" s="496">
        <f ca="1">Tbl_MeasureList[[#This Row],[Code (old fuel) Electric Annual Consumption (kWh/yr)]]-Tbl_MeasureList[[#This Row],[Code (new fuel) Electric Annual Consumption (kWh/yr)]]</f>
        <v>-5967.1332380992599</v>
      </c>
      <c r="EL16" s="496">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-6257.6306294036076</v>
      </c>
      <c r="EM16" s="496">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290.49739130434784</v>
      </c>
      <c r="EN16" s="500">
        <f ca="1">Tbl_MeasureList[[#This Row],[Code (old fuel) Electric Winter Peak Demand (kW)]]-Tbl_MeasureList[[#This Row],[Code (new fuel) Electric Winter Peak Demand (kW)]]</f>
        <v>-1.2086196010569887</v>
      </c>
      <c r="EO16" s="493">
        <f ca="1">Tbl_MeasureList[[#This Row],[Code (old fuel) Electric Summer Peak Demand (kW)]]-Tbl_MeasureList[[#This Row],[Code (new fuel) Electric Summer Peak Demand (kW)]]</f>
        <v>0.58600000000000063</v>
      </c>
      <c r="EP16" s="502">
        <f ca="1">Tbl_MeasureList[[#This Row],[Code (old fuel) Natural Gas Annual Consumption (therms/yr)]]-Tbl_MeasureList[[#This Row],[Code (new fuel) Natural Gas Annual Consumption (therms/yr)]]</f>
        <v>0</v>
      </c>
      <c r="EQ16" s="215">
        <f ca="1">Tbl_MeasureList[[#This Row],[Code (old fuel) Propane Annual Consumption (MMBtu/yr)]]-Tbl_MeasureList[[#This Row],[Code (new fuel) Propane Annual Consumption (MMBtu/yr)]]</f>
        <v>0</v>
      </c>
      <c r="ER16" s="502">
        <f ca="1">Tbl_MeasureList[[#This Row],[Code (old fuel) Oil Annual Consumption (MMBtu/yr)]]-Tbl_MeasureList[[#This Row],[Code (new fuel) Oil Annual Consumption (MMBtu/yr)]]</f>
        <v>46.865442408217994</v>
      </c>
      <c r="ES16" s="215">
        <f ca="1">Tbl_MeasureList[[#This Row],[Code (old fuel) Energy Consumption on MMBtu Basis (MMBtu/yr)]]-Tbl_MeasureList[[#This Row],[Code (new fuel) Energy Consumption on MMBtu Basis (MMBtu/yr)]]</f>
        <v>26.505583799823313</v>
      </c>
      <c r="ET16" s="502">
        <f ca="1">Tbl_MeasureList[[#This Row],[Code (old fuel) Carbon Emissions, Site (tons CO2/yr)]]-Tbl_MeasureList[[#This Row],[Code (new fuel) Carbon Emissions, Site (tons CO2/yr)]]</f>
        <v>3.7796979302227807</v>
      </c>
      <c r="EU16" s="498">
        <f ca="1">Tbl_MeasureList[[#This Row],[Code (old fuel) Carbon Emissions, Source (tons CO2/yr)]]-Tbl_MeasureList[[#This Row],[Code (new fuel) Carbon Emissions, Source (tons CO2/yr)]]</f>
        <v>1.6723451558556466</v>
      </c>
      <c r="EV16" s="450">
        <f ca="1">Tbl_MeasureList[[#This Row],[ER Total Low Measure Electric Annual Consumption Savings (kWh/yr)]]*COAL_BTU_PER_SITE_KWH/Btu_per_MMBtu</f>
        <v>-0.48207915566153869</v>
      </c>
      <c r="EW16" s="411">
        <f ca="1">Tbl_MeasureList[[#This Row],[ER Total Low Measure Electric Annual Consumption Savings (kWh/yr)]]*COAL_LBS_PER_SITE_KWH</f>
        <v>-42.287645233468304</v>
      </c>
      <c r="EX16" s="326">
        <f ca="1">Tbl_MeasureList[[#This Row],[ER Total Low Measure Electric Annual Consumption Savings (kWh/yr)]]*OIL_BTU_PER_SITE_KWH/Btu_per_MMBtu</f>
        <v>-0.55496680641420371</v>
      </c>
      <c r="EY16" s="325">
        <f ca="1">Tbl_MeasureList[[#This Row],[ER Total Low Measure Electric Annual Consumption Savings (kWh/yr)]]*OIL_GAL_PER_SITE_KWH</f>
        <v>-4.0231020074247255</v>
      </c>
      <c r="EZ16" s="326">
        <f ca="1">Tbl_MeasureList[[#This Row],[ER Total Low Measure Oil Annual Consumption Savings (MMBtu/yr)]]*Btu_per_MMBtu/OIL_BTU_PER_GAL</f>
        <v>419.17130207953056</v>
      </c>
      <c r="FA16" s="325">
        <f ca="1">Tbl_MeasureList[[#This Row],[Current ER Total Low Measure Oil Source Fuel Savings (gallons oil/year)]]+Tbl_MeasureList[[#This Row],[Current ER Total Low Measure Oil Site Fuel Savings (gallons oil/year)]]</f>
        <v>415.14820007210585</v>
      </c>
      <c r="FB16" s="326">
        <f ca="1">Tbl_MeasureList[[#This Row],[ER Total Low Measure Electric Annual Consumption Savings (kWh/yr)]]*GAS_BTU_PER_SITE_KWH/Btu_per_MMBtu</f>
        <v>-17.922048168736818</v>
      </c>
      <c r="FC16" s="327">
        <f ca="1">Tbl_MeasureList[[#This Row],[ER Total Low Measure Electric Annual Consumption Savings (kWh/yr)]]*GAS_CUFT_PER_SITE_KWH/1000</f>
        <v>-17.416956432202934</v>
      </c>
      <c r="FD16" s="328">
        <f ca="1">Tbl_MeasureList[[#This Row],[ER Total Low Measure Natural Gas Annual Consumption Savings (therms/yr)]]*Btu_per_MMBtu/(GAS_BTU_PER_CUFT*Therm_per_MMBtu*1000)</f>
        <v>0</v>
      </c>
      <c r="FE16" s="329">
        <f ca="1">Tbl_MeasureList[[#This Row],[Current ER Total Low Measure Gas Source Fuel Savings (1,000 cu.ft. gas/year)]]+Tbl_MeasureList[[#This Row],[Current ER Total Low Measure Gas Site Fuel Savings (1,000 cu.ft gas/year)]]</f>
        <v>-17.416956432202934</v>
      </c>
      <c r="FF16" s="324">
        <f ca="1">IFERROR(Tbl_MeasureList[[#This Row],[ER Total High Measure Electric Annual Consumption Savings (kWh/yr)]]*COAL_BTU_PER_SITE_KWH/Btu_per_MMBtu,"-")</f>
        <v>-0.3778297330430857</v>
      </c>
      <c r="FG16" s="325">
        <f ca="1">IFERROR(Tbl_MeasureList[[#This Row],[ER Total High Measure Electric Annual Consumption Savings (kWh/yr)]]*COAL_LBS_PER_SITE_KWH,"-")</f>
        <v>-33.142959038867168</v>
      </c>
      <c r="FH16" s="326">
        <f ca="1">IFERROR(Tbl_MeasureList[[#This Row],[ER Total High Measure Electric Annual Consumption Savings (kWh/yr)]]*OIL_BTU_PER_SITE_KWH/Btu_per_MMBtu,"-")</f>
        <v>-0.43495545877214409</v>
      </c>
      <c r="FI16" s="325">
        <f ca="1">IFERROR(Tbl_MeasureList[[#This Row],[ER Total High Measure Electric Annual Consumption Savings (kWh/yr)]]*OIL_GAL_PER_SITE_KWH,"-")</f>
        <v>-3.1531078239308714</v>
      </c>
      <c r="FJ16" s="326">
        <f ca="1">IFERROR(Tbl_MeasureList[[#This Row],[ER Total High Measure Oil Annual Consumption Savings (MMBtu/yr)]]*Btu_per_MMBtu/OIL_BTU_PER_GAL,"-")</f>
        <v>419.17130207953056</v>
      </c>
      <c r="FK16" s="325">
        <f ca="1">IFERROR(Tbl_MeasureList[[#This Row],[Current ER Total High Measure Oil Source Fuel Savings (gallons oil/year)]]+Tbl_MeasureList[[#This Row],[Current ER Total High Measure Oil Site Fuel Savings (gallons oil/year)]],"-")</f>
        <v>416.01819425559967</v>
      </c>
      <c r="FL16" s="326">
        <f ca="1">IFERROR(Tbl_MeasureList[[#This Row],[ER Total High Measure Electric Annual Consumption Savings (kWh/yr)]]*GAS_BTU_PER_SITE_KWH/Btu_per_MMBtu,"-")</f>
        <v>-14.04641249399574</v>
      </c>
      <c r="FM16" s="327">
        <f ca="1">IFERROR(Tbl_MeasureList[[#This Row],[ER Total High Measure Electric Annual Consumption Savings (kWh/yr)]]*GAS_CUFT_PER_SITE_KWH/1000,"-")</f>
        <v>-13.650546641395277</v>
      </c>
      <c r="FN16" s="328">
        <f ca="1">IFERROR(Tbl_MeasureList[[#This Row],[ER Total High Measure Natural Gas Annual Consumption Savings (therms/yr)]]*Btu_per_MMBtu/(GAS_BTU_PER_CUFT*Therm_per_MMBtu*1000),"-")</f>
        <v>0</v>
      </c>
      <c r="FO16" s="329">
        <f ca="1">IFERROR(Tbl_MeasureList[[#This Row],[Current ER Total High Measure Gas Source Fuel Savings (1,000 cu.ft. gas/year)]]+Tbl_MeasureList[[#This Row],[Current ER Total High Measure Gas Site Fuel Savings (1,000 cu.ft gas/year)]],"-")</f>
        <v>-13.650546641395277</v>
      </c>
      <c r="FP16" s="412">
        <f ca="1">Tbl_MeasureList[[#This Row],[ROF Low Measure Electric Annual Consumption Savings (kWh/yr)]]*COAL_BTU_PER_SITE_KWH/Btu_per_MMBtu</f>
        <v>-0.51405579835608517</v>
      </c>
      <c r="FQ16" s="327">
        <f ca="1">Tbl_MeasureList[[#This Row],[ROF Low Measure Electric Annual Consumption Savings (kWh/yr)]]*COAL_LBS_PER_SITE_KWH</f>
        <v>-45.092613890884657</v>
      </c>
      <c r="FR16" s="412">
        <f ca="1">Tbl_MeasureList[[#This Row],[ROF Low Measure Electric Annual Consumption Savings (kWh/yr)]]*OIL_BTU_PER_SITE_KWH/Btu_per_MMBtu</f>
        <v>-0.59177813722498807</v>
      </c>
      <c r="FS16" s="327">
        <f ca="1">Tbl_MeasureList[[#This Row],[ROF Low Measure Electric Annual Consumption Savings (kWh/yr)]]*OIL_GAL_PER_SITE_KWH</f>
        <v>-4.2899571367210712</v>
      </c>
      <c r="FT16" s="412">
        <f ca="1">Tbl_MeasureList[[#This Row],[ROF Low Measure Oil Annual Consumption Savings (MMBtu/yr)]]*Btu_per_MMBtu/OIL_BTU_PER_GAL</f>
        <v>339.74005877862913</v>
      </c>
      <c r="FU16" s="327">
        <f ca="1">Tbl_MeasureList[[#This Row],[Current ROF Low Measure Oil Source Fuel Savings (gallons oil/year)]]+Tbl_MeasureList[[#This Row],[Current ROF Low Measure Oil Site Fuel Savings (gallons oil/year)]]</f>
        <v>335.45010164190808</v>
      </c>
      <c r="FV16" s="412">
        <f ca="1">Tbl_MeasureList[[#This Row],[ROF Low Measure Electric Annual Consumption Savings (kWh/yr)]]*GAS_BTU_PER_SITE_KWH/Btu_per_MMBtu</f>
        <v>-19.110829977524467</v>
      </c>
      <c r="FW16" s="327">
        <f ca="1">Tbl_MeasureList[[#This Row],[ROF Low Measure Electric Annual Consumption Savings (kWh/yr)]]*GAS_CUFT_PER_SITE_KWH/1000</f>
        <v>-18.572235157944089</v>
      </c>
      <c r="FX16" s="412">
        <f ca="1">Tbl_MeasureList[[#This Row],[ROF Low Measure Natural Gas Annual Consumption Savings (therms/yr)]]*Btu_per_MMBtu/(GAS_BTU_PER_CUFT*Therm_per_MMBtu*1000)</f>
        <v>0</v>
      </c>
      <c r="FY16" s="327">
        <f ca="1">Tbl_MeasureList[[#This Row],[Current ROF Low Measure Gas Source Fuel Savings (1,000 cu.ft. gas/year)]]+Tbl_MeasureList[[#This Row],[Current ROF Low Measure Gas Site Fuel Savings (1,000 cu.ft gas/year)]]</f>
        <v>-18.572235157944089</v>
      </c>
      <c r="FZ16" s="414">
        <f ca="1">IFERROR(Tbl_MeasureList[[#This Row],[ROF High Measure Electric Annual Consumption Savings (kWh/yr)]]*COAL_BTU_PER_SITE_KWH/Btu_per_MMBtu,"-")</f>
        <v>-0.40980637573763218</v>
      </c>
      <c r="GA16" s="327">
        <f ca="1">IFERROR(Tbl_MeasureList[[#This Row],[ROF High Measure Electric Annual Consumption Savings (kWh/yr)]]*COAL_LBS_PER_SITE_KWH,"-")</f>
        <v>-35.947927696283521</v>
      </c>
      <c r="GB16" s="412">
        <f ca="1">IFERROR(Tbl_MeasureList[[#This Row],[ROF High Measure Electric Annual Consumption Savings (kWh/yr)]]*OIL_BTU_PER_SITE_KWH/Btu_per_MMBtu,"-")</f>
        <v>-0.47176678958292845</v>
      </c>
      <c r="GC16" s="327">
        <f ca="1">IFERROR(Tbl_MeasureList[[#This Row],[ROF High Measure Electric Annual Consumption Savings (kWh/yr)]]*OIL_GAL_PER_SITE_KWH,"-")</f>
        <v>-3.4199629532272167</v>
      </c>
      <c r="GD16" s="412">
        <f ca="1">IFERROR(Tbl_MeasureList[[#This Row],[ROF High Measure Oil Annual Consumption Savings (MMBtu/yr)]]*Btu_per_MMBtu/OIL_BTU_PER_GAL,"-")</f>
        <v>339.74005877862913</v>
      </c>
      <c r="GE16" s="327">
        <f ca="1">IFERROR(Tbl_MeasureList[[#This Row],[Current ROF High Measure Oil Source Fuel Savings (gallons oil/year)]]+Tbl_MeasureList[[#This Row],[Current ROF High Measure Oil Site Fuel Savings (gallons oil/year)]],"-")</f>
        <v>336.32009582540189</v>
      </c>
      <c r="GF16" s="412">
        <f ca="1">IFERROR(Tbl_MeasureList[[#This Row],[ROF High Measure Electric Annual Consumption Savings (kWh/yr)]]*GAS_BTU_PER_SITE_KWH/Btu_per_MMBtu,"-")</f>
        <v>-15.235194302783391</v>
      </c>
      <c r="GG16" s="327">
        <f ca="1">IFERROR(Tbl_MeasureList[[#This Row],[ROF High Measure Electric Annual Consumption Savings (kWh/yr)]]*GAS_CUFT_PER_SITE_KWH/1000,"-")</f>
        <v>-14.805825367136434</v>
      </c>
      <c r="GH16" s="412">
        <f ca="1">IFERROR(Tbl_MeasureList[[#This Row],[ROF High Measure Natural Gas Annual Consumption Savings (therms/yr)]]*Btu_per_MMBtu/(GAS_BTU_PER_CUFT*Therm_per_MMBtu*1000),"-")</f>
        <v>0</v>
      </c>
      <c r="GI16" s="327">
        <f ca="1">IFERROR(Tbl_MeasureList[[#This Row],[Current ROF High Measure Gas Source Fuel Savings (1,000 cu.ft. gas/year)]]+Tbl_MeasureList[[#This Row],[Current ROF High Measure Gas Site Fuel Savings (1,000 cu.ft gas/year)]],"-")</f>
        <v>-14.805825367136434</v>
      </c>
      <c r="GJ16" s="324">
        <f ca="1">Tbl_MeasureList[[#This Row],[ER Total Low Measure Electric Annual Consumption Savings (kWh/yr)]]*COAL_BTU_PER_SITE_KWH_CES/Btu_per_MMBtu</f>
        <v>-0.81953456462461571</v>
      </c>
      <c r="GK16" s="325">
        <f ca="1">Tbl_MeasureList[[#This Row],[ER Total Low Measure Electric Annual Consumption Savings (kWh/yr)]]*COAL_LBS_PER_SITE_KWH_CES</f>
        <v>-74.42195465170866</v>
      </c>
      <c r="GL16" s="326">
        <f ca="1">Tbl_MeasureList[[#This Row],[ER Total Low Measure Electric Annual Consumption Savings (kWh/yr)]]*OIL_BTU_PER_SITE_KWH_CES/Btu_per_MMBtu</f>
        <v>-0.25225763927918354</v>
      </c>
      <c r="GM16" s="325">
        <f ca="1">Tbl_MeasureList[[#This Row],[ER Total Low Measure Electric Annual Consumption Savings (kWh/yr)]]*OIL_GAL_PER_SITE_KWH_CES</f>
        <v>-1.7018677088675489</v>
      </c>
      <c r="GN16" s="326">
        <f ca="1">Tbl_MeasureList[[#This Row],[ER Total Low Measure Oil Annual Consumption Savings (MMBtu/yr)]]*Btu_per_MMBtu/OIL_BTU_PER_GAL_CES</f>
        <v>390.1027179495955</v>
      </c>
      <c r="GO16" s="325">
        <f ca="1">Tbl_MeasureList[[#This Row],[CES ER Low Measure Oil Source Fuel Savings (gallons oil/year)]]+Tbl_MeasureList[[#This Row],[CES ER Low Measure Oil Site Fuel Savings (gallons oil/year)]]</f>
        <v>388.40085024072795</v>
      </c>
      <c r="GP16" s="326">
        <f ca="1">Tbl_MeasureList[[#This Row],[ER Total Low Measure Electric Annual Consumption Savings (kWh/yr)]]*GAS_BTU_PER_SITE_KWH_CES/Btu_per_MMBtu</f>
        <v>-7.4614241355557365</v>
      </c>
      <c r="GQ16" s="327">
        <f ca="1">Tbl_MeasureList[[#This Row],[ER Total Low Measure Electric Annual Consumption Savings (kWh/yr)]]*GAS_CUFT_PER_SITE_KWH_CES/1000</f>
        <v>-7.2441011024812978</v>
      </c>
      <c r="GR16" s="328">
        <f ca="1">Tbl_MeasureList[[#This Row],[ER Total Low Measure Natural Gas Annual Consumption Savings (therms/yr)]]*Btu_per_MMBtu/(GAS_BTU_PER_CUFT_CES*Therm_per_MMBtu*1000)</f>
        <v>0</v>
      </c>
      <c r="GS16" s="329">
        <f ca="1">Tbl_MeasureList[[#This Row],[CES ER Low Measure Gas Source Fuel Savings (1,000 cu.ft. gas/year)]]+Tbl_MeasureList[[#This Row],[CES ER Low Measure Gas Site Fuel Savings (1,000 cu.ft gas/year)]]</f>
        <v>-7.2441011024812978</v>
      </c>
      <c r="GT16" s="324">
        <f ca="1">IFERROR(Tbl_MeasureList[[#This Row],[ER Total High Measure Electric Annual Consumption Savings (kWh/yr)]]*COAL_BTU_PER_SITE_KWH_CES/Btu_per_MMBtu,"-")</f>
        <v>-0.64231054617324568</v>
      </c>
      <c r="GU16" s="325">
        <f ca="1">IFERROR(Tbl_MeasureList[[#This Row],[ER Total High Measure Electric Annual Consumption Savings (kWh/yr)]]*COAL_LBS_PER_SITE_KWH_CES,"-")</f>
        <v>-58.328237029898808</v>
      </c>
      <c r="GV16" s="326">
        <f ca="1">IFERROR(Tbl_MeasureList[[#This Row],[ER Total High Measure Electric Annual Consumption Savings (kWh/yr)]]*OIL_BTU_PER_SITE_KWH_CES/Btu_per_MMBtu,"-")</f>
        <v>-0.19770702671461096</v>
      </c>
      <c r="GW16" s="325">
        <f ca="1">IFERROR(Tbl_MeasureList[[#This Row],[ER Total High Measure Electric Annual Consumption Savings (kWh/yr)]]*OIL_GAL_PER_SITE_KWH_CES,"-")</f>
        <v>-1.3338395044973215</v>
      </c>
      <c r="GX16" s="326">
        <f ca="1">IFERROR(Tbl_MeasureList[[#This Row],[ER Total High Measure Oil Annual Consumption Savings (MMBtu/yr)]]*Btu_per_MMBtu/OIL_BTU_PER_GAL_CES,"-")</f>
        <v>390.1027179495955</v>
      </c>
      <c r="GY16" s="325">
        <f ca="1">IFERROR(Tbl_MeasureList[[#This Row],[CES ER High Measure Oil Source Fuel Savings (gallons oil/year)]]+Tbl_MeasureList[[#This Row],[CES ER High Measure Oil Site Fuel Savings (gallons oil/year)]],"-")</f>
        <v>388.76887844509815</v>
      </c>
      <c r="GZ16" s="326">
        <f ca="1">IFERROR(Tbl_MeasureList[[#This Row],[ER Total High Measure Electric Annual Consumption Savings (kWh/yr)]]*GAS_BTU_PER_SITE_KWH_CES/Btu_per_MMBtu,"-")</f>
        <v>-5.8478941811737375</v>
      </c>
      <c r="HA16" s="327">
        <f ca="1">IFERROR(Tbl_MeasureList[[#This Row],[ER Total High Measure Electric Annual Consumption Savings (kWh/yr)]]*GAS_CUFT_PER_SITE_KWH_CES/1000,"-")</f>
        <v>-5.6775671661880942</v>
      </c>
      <c r="HB16" s="328">
        <f ca="1">IFERROR(Tbl_MeasureList[[#This Row],[ER Total High Measure Natural Gas Annual Consumption Savings (therms/yr)]]*Btu_per_MMBtu/(GAS_BTU_PER_CUFT_CES*Therm_per_MMBtu*1000),"-")</f>
        <v>0</v>
      </c>
      <c r="HC16" s="329">
        <f ca="1">IFERROR(Tbl_MeasureList[[#This Row],[CES ER High Measure Gas Source Fuel Savings (1,000 cu.ft. gas/year)]]+Tbl_MeasureList[[#This Row],[CES ER High Measure Gas Site Fuel Savings (1,000 cu.ft gas/year)]],"-")</f>
        <v>-5.6775671661880942</v>
      </c>
      <c r="HD16" s="315">
        <f ca="1">Tbl_MeasureList[[#This Row],[ROF Low Measure Electric Annual Consumption Savings (kWh/yr)]]*COAL_BTU_PER_SITE_KWH_CES/Btu_per_MMBtu</f>
        <v>-0.87389485720534477</v>
      </c>
      <c r="HE16" s="316">
        <f ca="1">Tbl_MeasureList[[#This Row],[ROF Low Measure Electric Annual Consumption Savings (kWh/yr)]]*COAL_LBS_PER_SITE_KWH_CES</f>
        <v>-79.358414203173325</v>
      </c>
      <c r="HF16" s="317">
        <f ca="1">Tbl_MeasureList[[#This Row],[ROF Low Measure Electric Annual Consumption Savings (kWh/yr)]]*OIL_BTU_PER_SITE_KWH_CES/Btu_per_MMBtu</f>
        <v>-0.26899006237499462</v>
      </c>
      <c r="HG16" s="316">
        <f ca="1">Tbl_MeasureList[[#This Row],[ROF Low Measure Electric Annual Consumption Savings (kWh/yr)]]*OIL_GAL_PER_SITE_KWH_CES</f>
        <v>-1.8147537671024574</v>
      </c>
      <c r="HH16" s="317">
        <f ca="1">Tbl_MeasureList[[#This Row],[ROF Low Measure Oil Annual Consumption Savings (MMBtu/yr)]]*Btu_per_MMBtu/OIL_BTU_PER_GAL_CES</f>
        <v>316.17985217115984</v>
      </c>
      <c r="HI16" s="316">
        <f ca="1">Tbl_MeasureList[[#This Row],[CES ROF Low Measure Oil Source Fuel Savings (gallons oil/year)]]+Tbl_MeasureList[[#This Row],[CES ROF Low Measure Oil Site Fuel Savings (gallons oil/year)]]</f>
        <v>314.36509840405739</v>
      </c>
      <c r="HJ16" s="317">
        <f ca="1">Tbl_MeasureList[[#This Row],[ROF Low Measure Electric Annual Consumption Savings (kWh/yr)]]*GAS_BTU_PER_SITE_KWH_CES/Btu_per_MMBtu</f>
        <v>-7.9563455416632483</v>
      </c>
      <c r="HK16" s="316">
        <f ca="1">Tbl_MeasureList[[#This Row],[ROF Low Measure Electric Annual Consumption Savings (kWh/yr)]]*GAS_CUFT_PER_SITE_KWH_CES/1000</f>
        <v>-7.7246073220031537</v>
      </c>
      <c r="HL16" s="317">
        <f ca="1">Tbl_MeasureList[[#This Row],[ROF Low Measure Natural Gas Annual Consumption Savings (therms/yr)]]*Btu_per_MMBtu/(GAS_BTU_PER_CUFT_CES*Therm_per_MMBtu*1000)</f>
        <v>0</v>
      </c>
      <c r="HM16" s="318">
        <f ca="1">Tbl_MeasureList[[#This Row],[CES ROF Low Measure Gas Source Fuel Savings (1,000 cu.ft. gas/year)]]+Tbl_MeasureList[[#This Row],[CES ROF Low Measure Gas Site Fuel Savings (1,000 cu.ft gas/year)]]</f>
        <v>-7.7246073220031537</v>
      </c>
      <c r="HN16" s="315">
        <f ca="1">IFERROR(Tbl_MeasureList[[#This Row],[ROF High Measure Electric Annual Consumption Savings (kWh/yr)]]*COAL_BTU_PER_SITE_KWH_CES/Btu_per_MMBtu,"-")</f>
        <v>-0.69667083875397451</v>
      </c>
      <c r="HO16" s="316">
        <f ca="1">IFERROR(Tbl_MeasureList[[#This Row],[ROF High Measure Electric Annual Consumption Savings (kWh/yr)]]*COAL_LBS_PER_SITE_KWH_CES,"-")</f>
        <v>-63.264696581363474</v>
      </c>
      <c r="HP16" s="317">
        <f ca="1">IFERROR(Tbl_MeasureList[[#This Row],[ROF High Measure Electric Annual Consumption Savings (kWh/yr)]]*OIL_BTU_PER_SITE_KWH_CES/Btu_per_MMBtu,"-")</f>
        <v>-0.21443944981042204</v>
      </c>
      <c r="HQ16" s="316">
        <f ca="1">IFERROR(Tbl_MeasureList[[#This Row],[ROF High Measure Electric Annual Consumption Savings (kWh/yr)]]*OIL_GAL_PER_SITE_KWH_CES,"-")</f>
        <v>-1.44672556273223</v>
      </c>
      <c r="HR16" s="317">
        <f ca="1">IFERROR(Tbl_MeasureList[[#This Row],[ROF High Measure Oil Annual Consumption Savings (MMBtu/yr)]]*Btu_per_MMBtu/OIL_BTU_PER_GAL_CES,"-")</f>
        <v>316.17985217115984</v>
      </c>
      <c r="HS16" s="316">
        <f ca="1">IFERROR(Tbl_MeasureList[[#This Row],[CES ROF High Measure Oil Source Fuel Savings (gallons oil/year)]]+Tbl_MeasureList[[#This Row],[CES ROF High Measure Oil Site Fuel Savings (gallons oil/year)]],"-")</f>
        <v>314.7331266084276</v>
      </c>
      <c r="HT16" s="317">
        <f ca="1">IFERROR(Tbl_MeasureList[[#This Row],[ROF High Measure Electric Annual Consumption Savings (kWh/yr)]]*GAS_BTU_PER_SITE_KWH_CES/Btu_per_MMBtu,"-")</f>
        <v>-6.3428155872812484</v>
      </c>
      <c r="HU16" s="316">
        <f ca="1">IFERROR(Tbl_MeasureList[[#This Row],[ROF High Measure Electric Annual Consumption Savings (kWh/yr)]]*GAS_CUFT_PER_SITE_KWH_CES/1000,"-")</f>
        <v>-6.1580733857099501</v>
      </c>
      <c r="HV16" s="317">
        <f ca="1">IFERROR(Tbl_MeasureList[[#This Row],[ROF High Measure Natural Gas Annual Consumption Savings (therms/yr)]]*Btu_per_MMBtu/(GAS_BTU_PER_CUFT_CES*Therm_per_MMBtu*1000),"-")</f>
        <v>0</v>
      </c>
      <c r="HW16" s="318">
        <f ca="1">IFERROR(Tbl_MeasureList[[#This Row],[CES ROF High Measure Gas Source Fuel Savings (1,000 cu.ft. gas/year)]]+Tbl_MeasureList[[#This Row],[CES ROF High Measure Gas Site Fuel Savings (1,000 cu.ft gas/year)]],"-")</f>
        <v>-6.1580733857099501</v>
      </c>
      <c r="HX16" s="248">
        <f>Tbl_MeasureList[[#This Row],[Baseline Energy Cost (USD/yr)]]-Tbl_MeasureList[[#This Row],[Code (old fuel) Energy Cost (USD/yr)]]</f>
        <v>303.56097407455491</v>
      </c>
      <c r="HY16" s="201">
        <f>0</f>
        <v>0</v>
      </c>
      <c r="HZ16" s="86">
        <f>Tbl_MeasureList[[#This Row],[Baseline Electric Annual Consumption (kWh/yr)]]-Tbl_MeasureList[[#This Row],[Code (old fuel) Electric Annual Consumption (kWh/yr)]]</f>
        <v>290.50434782608704</v>
      </c>
      <c r="IA16" s="86">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0</v>
      </c>
      <c r="IB16" s="86">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290.50434782608704</v>
      </c>
      <c r="IC16" s="152">
        <f>Tbl_MeasureList[[#This Row],[Baseline Electric Winter Peak Demand (kW)]]-Tbl_MeasureList[[#This Row],[Code (old fuel) Electric Winter Peak Demand (kW)]]</f>
        <v>0</v>
      </c>
      <c r="ID16" s="152">
        <f>Tbl_MeasureList[[#This Row],[Baseline Electric Summer Peak Demand (kW)]]-Tbl_MeasureList[[#This Row],[Code (old fuel) Electric Summer Peak Demand (kW)]]</f>
        <v>0.38399999999999967</v>
      </c>
      <c r="IE16" s="251">
        <f>Tbl_MeasureList[[#This Row],[Baseline Natural Gas Annual Consumption (therms/yr)]]-Tbl_MeasureList[[#This Row],[Code (old fuel) Natural Gas Annual Consumption (therms/yr)]]</f>
        <v>0</v>
      </c>
      <c r="IF16" s="252">
        <f>Tbl_MeasureList[[#This Row],[Baseline Propane Annual Consumption (MMBtu/yr)]]-Tbl_MeasureList[[#This Row],[Code (old fuel) Propane Annual Consumption (MMBtu/yr)]]</f>
        <v>0</v>
      </c>
      <c r="IG16" s="253">
        <f>Tbl_MeasureList[[#This Row],[Baseline Oil Annual Consumption (MMBtu/yr)]]-Tbl_MeasureList[[#This Row],[Code (old fuel) Oil Annual Consumption (MMBtu/yr)]]</f>
        <v>10.957142857142856</v>
      </c>
      <c r="IH16" s="371">
        <f>Tbl_MeasureList[[#This Row],[Baseline Energy Consumption on MMBtu Basis (MMBtu/yr)]]-Tbl_MeasureList[[#This Row],[Code (old fuel) Energy Consumption on MMBtu Basis (MMBtu/yr)]]</f>
        <v>11.948343691925473</v>
      </c>
      <c r="II16" s="371">
        <f>Tbl_MeasureList[[#This Row],[Baseline Carbon Emissions, Site (tons CO2/yr)]]-Tbl_MeasureList[[#This Row],[Code (old fuel) Carbon Emissions, Site (tons CO2/yr)]]</f>
        <v>0.88369357142857208</v>
      </c>
      <c r="IJ16" s="279">
        <f>Tbl_MeasureList[[#This Row],[Baseline Carbon Emissions, Source (tons CO2/yr)]]-Tbl_MeasureList[[#This Row],[Code (old fuel) Carbon Emissions, Source (tons CO2/yr)]]</f>
        <v>0.98628808690683201</v>
      </c>
      <c r="IK16" s="273">
        <f ca="1">Tbl_MeasureList[[#This Row],[Code (new fuel) Energy Cost (USD/yr)]]-Tbl_MeasureList[[#This Row],[Low Measure Energy Cost (USD/yr)]]</f>
        <v>256.5449758839045</v>
      </c>
      <c r="IL16"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11205.300429590323</v>
      </c>
      <c r="IM16" s="85">
        <f ca="1">Tbl_MeasureList[[#This Row],[Code (old fuel) Electric Annual Consumption (kWh/yr)]]-Tbl_MeasureList[[#This Row],[Low Measure Electric Annual Consumption (kWh/yr)]]</f>
        <v>-4670.1414489996423</v>
      </c>
      <c r="IN16" s="85">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-5105.892173637324</v>
      </c>
      <c r="IO16" s="85">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435.75072463768117</v>
      </c>
      <c r="IP16" s="152">
        <f ca="1">Tbl_MeasureList[[#This Row],[Code (old fuel) Electric Winter Peak Demand (kW)]]-Tbl_MeasureList[[#This Row],[Low Measure Electric Winter Peak Demand (kW)]]</f>
        <v>-0.98471716203259829</v>
      </c>
      <c r="IQ16" s="152">
        <f ca="1">Tbl_MeasureList[[#This Row],[Code (old fuel) Electric Summer Peak Demand (kW)]]-Tbl_MeasureList[[#This Row],[Low Measure Electric Summer Peak Demand (kW)]]</f>
        <v>0.58600000000000063</v>
      </c>
      <c r="IR16" s="204">
        <f ca="1">Tbl_MeasureList[[#This Row],[Code (old fuel) Natural Gas Annual Consumption (therms/yr)]]-Tbl_MeasureList[[#This Row],[Low Measure Natural Gas Annual Consumption (therms/yr)]]</f>
        <v>0</v>
      </c>
      <c r="IS16" s="153">
        <f ca="1">Tbl_MeasureList[[#This Row],[Code (old fuel) Propane Annual Consumption (MMBtu/yr)]]-Tbl_MeasureList[[#This Row],[Low Measure Propane Annual Consumption (MMBtu/yr)]]</f>
        <v>0</v>
      </c>
      <c r="IT16" s="204">
        <f ca="1">Tbl_MeasureList[[#This Row],[Code (old fuel) Oil Annual Consumption (MMBtu/yr)]]-Tbl_MeasureList[[#This Row],[Low Measure Oil Annual Consumption (MMBtu/yr)]]</f>
        <v>46.865442408217994</v>
      </c>
      <c r="IU16" s="204">
        <f ca="1">Tbl_MeasureList[[#This Row],[Code (old fuel) Energy Consumption on MMBtu Basis (MMBtu/yr)]]-Tbl_MeasureList[[#This Row],[Low Measure Energy Consumption on MMBtu Basis (MMBtu/yr)]]</f>
        <v>30.930919784231207</v>
      </c>
      <c r="IV16" s="204">
        <f ca="1">Tbl_MeasureList[[#This Row],[Code (old fuel) Carbon Emissions, Site (tons CO2/yr)]]-Tbl_MeasureList[[#This Row],[Low Measure Carbon Emissions, Site (tons CO2/yr)]]</f>
        <v>3.7796979302227807</v>
      </c>
      <c r="IW16" s="260">
        <f ca="1">Tbl_MeasureList[[#This Row],[Code (old fuel) Carbon Emissions, Source (tons CO2/yr)]]-Tbl_MeasureList[[#This Row],[Low Measure Carbon Emissions, Source (tons CO2/yr)]]</f>
        <v>2.1303907760940675</v>
      </c>
      <c r="IX16" s="27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316.18683699008989</v>
      </c>
      <c r="IY16" s="20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11417.700429590324</v>
      </c>
      <c r="IZ16"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-3723.0466955474658</v>
      </c>
      <c r="JA16"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-4231.4240868518136</v>
      </c>
      <c r="JB16"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508.37739130434784</v>
      </c>
      <c r="JC16"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-1.0897171620325983</v>
      </c>
      <c r="JD16"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0.58600000000000063</v>
      </c>
      <c r="JE16"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0</v>
      </c>
      <c r="JF16" s="1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0</v>
      </c>
      <c r="JG16"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46.865442408217994</v>
      </c>
      <c r="JH16"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34.162407083010038</v>
      </c>
      <c r="JI16"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3.7796979302227807</v>
      </c>
      <c r="JJ16"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2.4648667592232378</v>
      </c>
      <c r="JK16" s="432">
        <f>Tbl_MeasureList[[#This Row],[ER (Retire) Electric Annual Consumption Savings (kWh/yr)]]*COAL_BTU_PER_SITE_KWH/Btu_per_MMBtu</f>
        <v>3.1976642694546462E-2</v>
      </c>
      <c r="JL16" s="428">
        <f>Tbl_MeasureList[[#This Row],[ER (Retire) Electric Annual Consumption Savings (kWh/yr)]]*COAL_LBS_PER_SITE_KWH</f>
        <v>2.8049686574163557</v>
      </c>
      <c r="JM16" s="427">
        <f>Tbl_MeasureList[[#This Row],[ER (Retire) Electric Annual Consumption Savings (kWh/yr)]]*OIL_BTU_PER_SITE_KWH/Btu_per_MMBtu</f>
        <v>3.6811330810784401E-2</v>
      </c>
      <c r="JN16" s="428">
        <f>Tbl_MeasureList[[#This Row],[ER (Retire) Electric Annual Consumption Savings (kWh/yr)]]*OIL_GAL_PER_SITE_KWH</f>
        <v>0.26685512929634558</v>
      </c>
      <c r="JO16" s="427">
        <f>Tbl_MeasureList[[#This Row],[ER (Retire) Oil Annual Consumption Savings (MMBtu/yr)]]*Btu_per_MMBtu/OIL_BTU_PER_GAL</f>
        <v>79.431243300901485</v>
      </c>
      <c r="JP16" s="428">
        <f ca="1">Tbl_MeasureList[[#This Row],[Current ER (Retire) Oil Source Fuel Savings (gallons oil/year)]]+Tbl_MeasureList[[#This Row],[Current ER Total Low Measure Oil Site Fuel Savings (gallons oil/year)]]</f>
        <v>419.43815720882691</v>
      </c>
      <c r="JQ16" s="427">
        <f>Tbl_MeasureList[[#This Row],[ER (Retire) Electric Annual Consumption Savings (kWh/yr)]]*GAS_BTU_PER_SITE_KWH/Btu_per_MMBtu</f>
        <v>1.1887818087876516</v>
      </c>
      <c r="JR16" s="429">
        <f>Tbl_MeasureList[[#This Row],[ER (Retire) Electric Annual Consumption Savings (kWh/yr)]]*GAS_CUFT_PER_SITE_KWH/1000</f>
        <v>1.1552787257411581</v>
      </c>
      <c r="JS16" s="430">
        <f>Tbl_MeasureList[[#This Row],[ER (Retire) Natural Gas Annual Consumption Savings (therms/yr)]]*Btu_per_MMBtu/(GAS_BTU_PER_CUFT*Therm_per_MMBtu*1000)</f>
        <v>0</v>
      </c>
      <c r="JT16" s="431">
        <f ca="1">Tbl_MeasureList[[#This Row],[Current ER (Retire) Gas Source Fuel Savings (1,000 cu.ft. gas/year)]]+Tbl_MeasureList[[#This Row],[Current ER Total Low Measure Gas Site Fuel Savings (1,000 cu.ft gas/year)]]</f>
        <v>1.1552787257411581</v>
      </c>
      <c r="JU16" s="432">
        <f ca="1">Tbl_MeasureList[[#This Row],[ER (EE) Low Measure Electric Annual Consumption Savings (kWh/yr)]]*COAL_BTU_PER_SITE_KWH/Btu_per_MMBtu</f>
        <v>-0.51405579835608517</v>
      </c>
      <c r="JV16" s="428">
        <f ca="1">Tbl_MeasureList[[#This Row],[ER (EE) Low Measure Electric Annual Consumption Savings (kWh/yr)]]*COAL_LBS_PER_SITE_KWH</f>
        <v>-45.092613890884657</v>
      </c>
      <c r="JW16" s="427">
        <f ca="1">Tbl_MeasureList[[#This Row],[ER (EE) Low Measure Electric Annual Consumption Savings (kWh/yr)]]*OIL_BTU_PER_SITE_KWH/Btu_per_MMBtu</f>
        <v>-0.59177813722498807</v>
      </c>
      <c r="JX16" s="428">
        <f ca="1">Tbl_MeasureList[[#This Row],[ER (EE) Low Measure Electric Annual Consumption Savings (kWh/yr)]]*OIL_GAL_PER_SITE_KWH</f>
        <v>-4.2899571367210712</v>
      </c>
      <c r="JY16" s="427">
        <f ca="1">Tbl_MeasureList[[#This Row],[ER (EE) Low Measure Oil Annual Consumption Savings (MMBtu/yr)]]*Btu_per_MMBtu/OIL_BTU_PER_GAL</f>
        <v>339.74005877862913</v>
      </c>
      <c r="JZ16" s="428">
        <f ca="1">Tbl_MeasureList[[#This Row],[Current ER (EE) Low Measure Oil Source Fuel Savings (gallons oil/year)]]+Tbl_MeasureList[[#This Row],[Current ER (EE) Low Measure Oil Site Fuel Savings (gallons oil/year)]]</f>
        <v>335.45010164190808</v>
      </c>
      <c r="KA16" s="427">
        <f ca="1">Tbl_MeasureList[[#This Row],[ER (EE) Low Measure Electric Annual Consumption Savings (kWh/yr)]]*GAS_BTU_PER_SITE_KWH/Btu_per_MMBtu</f>
        <v>-19.110829977524467</v>
      </c>
      <c r="KB16" s="429">
        <f ca="1">Tbl_MeasureList[[#This Row],[ER (EE) Low Measure Electric Annual Consumption Savings (kWh/yr)]]*GAS_CUFT_PER_SITE_KWH/1000</f>
        <v>-18.572235157944089</v>
      </c>
      <c r="KC16" s="430">
        <f ca="1">Tbl_MeasureList[[#This Row],[ER (EE) Low Measure Natural Gas Annual Consumption Savings (therms/yr)]]*Btu_per_MMBtu/(GAS_BTU_PER_CUFT*Therm_per_MMBtu*1000)</f>
        <v>0</v>
      </c>
      <c r="KD16" s="431">
        <f ca="1">Tbl_MeasureList[[#This Row],[Current ER (EE) Low Measure Gas Source Fuel Savings (1,000 cu.ft. gas/year)]]+Tbl_MeasureList[[#This Row],[Current ER (EE) Low Measure Gas Site Fuel Savings (1,000 cu.ft gas/year)]]</f>
        <v>-18.572235157944089</v>
      </c>
      <c r="KE16" s="432">
        <f ca="1">IFERROR(Tbl_MeasureList[[#This Row],[ER (EE) High Measure Electric Annual Consumption Savings (kWh/yr)]]*COAL_BTU_PER_SITE_KWH/Btu_per_MMBtu,"-")</f>
        <v>-0.40980637573763218</v>
      </c>
      <c r="KF16" s="428">
        <f ca="1">IFERROR(Tbl_MeasureList[[#This Row],[ER (EE) High Measure Electric Annual Consumption Savings (kWh/yr)]]*COAL_LBS_PER_SITE_KWH,"-")</f>
        <v>-35.947927696283521</v>
      </c>
      <c r="KG16" s="427">
        <f ca="1">IFERROR(Tbl_MeasureList[[#This Row],[ER (EE) High Measure Electric Annual Consumption Savings (kWh/yr)]]*OIL_BTU_PER_SITE_KWH/Btu_per_MMBtu,"-")</f>
        <v>-0.47176678958292845</v>
      </c>
      <c r="KH16" s="428">
        <f ca="1">IFERROR(Tbl_MeasureList[[#This Row],[ER (EE) High Measure Electric Annual Consumption Savings (kWh/yr)]]*OIL_GAL_PER_SITE_KWH,"-")</f>
        <v>-3.4199629532272167</v>
      </c>
      <c r="KI16" s="427">
        <f ca="1">IFERROR(Tbl_MeasureList[[#This Row],[ER (EE) High Measure Oil Annual Consumption Savings (MMBtu/yr)]]*Btu_per_MMBtu/OIL_BTU_PER_GAL,"-")</f>
        <v>339.74005877862913</v>
      </c>
      <c r="KJ16" s="428">
        <f ca="1">IFERROR(Tbl_MeasureList[[#This Row],[Current ER (EE) High Measure Oil Source Fuel Savings (gallons oil/year)]]+Tbl_MeasureList[[#This Row],[Current ER (EE) High Measure Oil Site Fuel Savings (gallons oil/year)]],"-")</f>
        <v>336.32009582540189</v>
      </c>
      <c r="KK16" s="427">
        <f ca="1">IFERROR(Tbl_MeasureList[[#This Row],[ER (EE) High Measure Electric Annual Consumption Savings (kWh/yr)]]*GAS_BTU_PER_SITE_KWH/Btu_per_MMBtu,"-")</f>
        <v>-15.235194302783391</v>
      </c>
      <c r="KL16" s="429">
        <f ca="1">IFERROR(Tbl_MeasureList[[#This Row],[ER (EE) High Measure Electric Annual Consumption Savings (kWh/yr)]]*GAS_CUFT_PER_SITE_KWH/1000,"-")</f>
        <v>-14.805825367136434</v>
      </c>
      <c r="KM16" s="430">
        <f ca="1">IFERROR(Tbl_MeasureList[[#This Row],[ER (EE) High Measure Natural Gas Annual Consumption Savings (therms/yr)]]*Btu_per_MMBtu/(GAS_BTU_PER_CUFT*Therm_per_MMBtu*1000),"-")</f>
        <v>0</v>
      </c>
      <c r="KN16" s="431">
        <f ca="1">IFERROR(Tbl_MeasureList[[#This Row],[Current ER (EE) High Measure Gas Source Fuel Savings (1,000 cu.ft. gas/year)]]+Tbl_MeasureList[[#This Row],[Current ER (EE) High Measure Gas Site Fuel Savings (1,000 cu.ft gas/year)]],"-")</f>
        <v>-14.805825367136434</v>
      </c>
    </row>
    <row r="17" spans="2:300" x14ac:dyDescent="0.2">
      <c r="B17" s="16"/>
      <c r="C17" s="2" t="s">
        <v>91</v>
      </c>
      <c r="D17" s="12" t="str">
        <f>INDEX(Tbl_BaselineSummary[Equipment ID],MATCH(Tbl_MeasureList[[#This Row],[Baseline ID]],Tbl_BaselineSummary[Baseline ID],0))</f>
        <v>EQUI037</v>
      </c>
      <c r="E17" s="11" t="str">
        <f>INDEX(Tbl_EquipmentDefinitions[Equipment Name],MATCH('Measure List'!$D17,Tbl_EquipmentDefinitions[Equipment ID],0))</f>
        <v>Room AC/No AC Blend+Propane Boiler</v>
      </c>
      <c r="F17" s="3" t="s">
        <v>937</v>
      </c>
      <c r="G17" s="11" t="str">
        <f>INDEX(Tbl_EquipmentDefinitions[Function],MATCH('Measure List'!$D17,Tbl_EquipmentDefinitions[Equipment ID],0))</f>
        <v>Cool+Heat</v>
      </c>
      <c r="H17" s="3" t="s">
        <v>111</v>
      </c>
      <c r="I17" s="3" t="s">
        <v>17</v>
      </c>
      <c r="J17" s="11" t="str">
        <f>INDEX(Tbl_EquipmentDefinitions[Equipment Name],MATCH('Measure List'!$I17,Tbl_EquipmentDefinitions[Equipment ID],0))</f>
        <v>DMSHP+Propane Boiler</v>
      </c>
      <c r="K17" s="11">
        <f>INDEX(Tbl_EquipmentDefinitions[],MATCH(Tbl_MeasureList[[#This Row],[Replacement ID]],Tbl_EquipmentDefinitions[[Equipment ID]:[Equipment ID]],0),MATCH(Tbl_MeasureList[[#Headers],[New Unit Equipment Life (years)]],Tbl_EquipmentDefinitions[#Headers],0))</f>
        <v>18</v>
      </c>
      <c r="L17" s="11">
        <f>INDEX(Tbl_EquipmentDefinitions[],MATCH(Tbl_MeasureList[[#This Row],[Baseline Equipment ID]],Tbl_EquipmentDefinitions[[Equipment ID]:[Equipment ID]],0),MATCH(Tbl_MeasureList[[#Headers],[Remaining Life for Early Replacement (years)]],Tbl_EquipmentDefinitions[#Headers],0))</f>
        <v>10</v>
      </c>
      <c r="M17" s="12" t="str">
        <f>INDEX(Tbl_EquipmentDefinitions[Function],MATCH('Measure List'!$I17,Tbl_EquipmentDefinitions[Equipment ID],0))</f>
        <v>Cool+Heat</v>
      </c>
      <c r="N17" s="368" t="s">
        <v>750</v>
      </c>
      <c r="O17" s="14" t="str">
        <f t="shared" si="0"/>
        <v>OK</v>
      </c>
      <c r="P17" s="12" t="str">
        <f ca="1">IFERROR(INDIRECT(Tbl_MeasureList[[#This Row],[Measure ID]]&amp;"!D5"),"No tab")</f>
        <v>3. Ready</v>
      </c>
      <c r="Q17" s="11"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Electric</v>
      </c>
      <c r="R17" s="12"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Propane</v>
      </c>
      <c r="S17" s="11"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Electric</v>
      </c>
      <c r="T17" s="247"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Propane</v>
      </c>
      <c r="U17" s="248">
        <f>INDEX(Tbl_BaselineSummary[Baseline Annual Energy Cost (USD)],MATCH(Tbl_MeasureList[[#This Row],[Baseline ID]],Tbl_BaselineSummary[Baseline ID],0))</f>
        <v>4002.2902759667004</v>
      </c>
      <c r="V17" s="249">
        <f>INDEX(Tbl_BaselineSummary[Baseline Electric Annual Consumption  (kWh)],MATCH(Tbl_MeasureList[[#This Row],[Baseline ID]],Tbl_BaselineSummary[Baseline ID],0))</f>
        <v>1649.521739130435</v>
      </c>
      <c r="W17" s="249">
        <f>INDEX(Tbl_BaselineSummary[Baseline Electric Winter Consumption (kWh)],MATCH(Tbl_MeasureList[[#This Row],[Baseline ID]],Tbl_BaselineSummary[Baseline ID],0))</f>
        <v>197</v>
      </c>
      <c r="X17" s="249">
        <f>INDEX(Tbl_BaselineSummary[Baseline Electric Summer Consumption (kWh)],MATCH(Tbl_MeasureList[[#This Row],[Baseline ID]],Tbl_BaselineSummary[Baseline ID],0))</f>
        <v>1452.521739130435</v>
      </c>
      <c r="Y17" s="250">
        <f>INDEX(Tbl_BaselineSummary[Baseline Electric Baseline Winter Peak Demand (kW)],MATCH(Tbl_MeasureList[[#This Row],[Baseline ID]],Tbl_BaselineSummary[Baseline ID],0))</f>
        <v>3.0220517737296261E-2</v>
      </c>
      <c r="Z17" s="452">
        <f>INDEX(Tbl_BaselineSummary[Baseline Electric Baseline Summer Peak Demand (kW)],MATCH(Tbl_MeasureList[[#This Row],[Baseline ID]],Tbl_BaselineSummary[Baseline ID],0))</f>
        <v>1.9200000000000002</v>
      </c>
      <c r="AA17" s="458">
        <f>INDEX(Tbl_BaselineSummary[Baseline Natural Gas Annual Consumption  (therms)],MATCH(Tbl_MeasureList[[#This Row],[Baseline ID]],Tbl_BaselineSummary[Baseline ID],0))</f>
        <v>0</v>
      </c>
      <c r="AB17" s="455">
        <f>INDEX(Tbl_BaselineSummary[Baseline Propane Annual Consumption  (MMBtu)],MATCH(Tbl_MeasureList[[#This Row],[Baseline ID]],Tbl_BaselineSummary[Baseline ID],0))</f>
        <v>102.26666666666667</v>
      </c>
      <c r="AC17" s="252">
        <f>INDEX(Tbl_BaselineSummary[Baseline Oil Annual Consumption  (MMBtu)],MATCH(Tbl_MeasureList[[#This Row],[Baseline ID]],Tbl_BaselineSummary[Baseline ID],0))</f>
        <v>0</v>
      </c>
      <c r="AD17" s="371">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107.8948348405797</v>
      </c>
      <c r="AE17" s="460">
        <f>(lbCO2_per_Therm_Gas*Tbl_MeasureList[[#This Row],[Baseline Natural Gas Annual Consumption (therms/yr)]]+lbCO2_per_MMBtu_Prop*Tbl_MeasureList[[#This Row],[Baseline Propane Annual Consumption (MMBtu/yr)]]+lbCO2_per_MMBtu_Oil*Tbl_MeasureList[[#This Row],[Baseline Oil Annual Consumption (MMBtu/yr)]])*Lbs_per_ShortTon</f>
        <v>7.1075333333333326</v>
      </c>
      <c r="AF17" s="463">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7.6900784307246379</v>
      </c>
      <c r="AG17" s="465">
        <f>INDEX(Tbl_BaselineSummary[Code Annual Energy Cost (USD)],MATCH(Tbl_MeasureList[[#This Row],[Baseline ID]],Tbl_BaselineSummary[Baseline ID],0))</f>
        <v>3745.4985794388722</v>
      </c>
      <c r="AH17" s="468">
        <f>INDEX(Tbl_BaselineSummary[Deferred Replacement Credit (USD)],MATCH(Tbl_MeasureList[[#This Row],[Baseline ID]],Tbl_BaselineSummary[Baseline ID],0))</f>
        <v>3379.5743739912205</v>
      </c>
      <c r="AI17" s="201">
        <f>INDEX(Tbl_BaselineSummary[A/C-only Deferred Replacement Credit (USD)],MATCH(Tbl_MeasureList[[#This Row],[Baseline ID]],Tbl_BaselineSummary[Baseline ID],0))</f>
        <v>540.79957040967588</v>
      </c>
      <c r="AJ17" s="468">
        <f>INDEX(Tbl_BaselineSummary[Code Installed Costs (USD)],MATCH(Tbl_MeasureList[[#This Row],[Baseline ID]],Tbl_BaselineSummary[Baseline ID],0))</f>
        <v>7429.782608695652</v>
      </c>
      <c r="AK17" s="201">
        <f>INDEX(Tbl_BaselineSummary[Code A/C-only Installed Cost (USD)],MATCH(Tbl_MeasureList[[#This Row],[Baseline ID]],Tbl_BaselineSummary[Baseline ID],0))</f>
        <v>834.78260869565224</v>
      </c>
      <c r="AL17" s="86">
        <f>INDEX(Tbl_BaselineSummary[Code Electric Annual Consumption (kWh)],MATCH(Tbl_MeasureList[[#This Row],[Baseline ID]],Tbl_BaselineSummary[Baseline ID],0))</f>
        <v>1359.0173913043479</v>
      </c>
      <c r="AM17" s="86">
        <f>INDEX(Tbl_BaselineSummary[Code Electric Winter Consumption (kWh)],MATCH(Tbl_MeasureList[[#This Row],[Baseline ID]],Tbl_BaselineSummary[Baseline ID],0))</f>
        <v>197</v>
      </c>
      <c r="AN17" s="86">
        <f>INDEX(Tbl_BaselineSummary[Code Electric Summer Consumption (kWh)],MATCH(Tbl_MeasureList[[#This Row],[Baseline ID]],Tbl_BaselineSummary[Baseline ID],0))</f>
        <v>1162.0173913043479</v>
      </c>
      <c r="AO17" s="152">
        <f>INDEX(Tbl_BaselineSummary[Code Electric Winter Peak Demand (kW)],MATCH(Tbl_MeasureList[[#This Row],[Baseline ID]],Tbl_BaselineSummary[Baseline ID],0))</f>
        <v>3.0220517737296261E-2</v>
      </c>
      <c r="AP17" s="470">
        <f>INDEX(Tbl_BaselineSummary[Code Electric Summer Peak Demand (kW)],MATCH(Tbl_MeasureList[[#This Row],[Baseline ID]],Tbl_BaselineSummary[Baseline ID],0))</f>
        <v>1.5360000000000005</v>
      </c>
      <c r="AQ17" s="467">
        <f>INDEX(Tbl_BaselineSummary[Code Natural Gas Annual Consumption (therms)],MATCH(Tbl_MeasureList[[#This Row],[Baseline ID]],Tbl_BaselineSummary[Baseline ID],0))</f>
        <v>0</v>
      </c>
      <c r="AR17" s="472">
        <f>INDEX(Tbl_BaselineSummary[Code Propane Annual Consumption (MMBtu)],MATCH(Tbl_MeasureList[[#This Row],[Baseline ID]],Tbl_BaselineSummary[Baseline ID],0))</f>
        <v>96.721311475409834</v>
      </c>
      <c r="AS17" s="467">
        <f>INDEX(Tbl_BaselineSummary[Code Oil Annual Consumption (MMBtu)],MATCH(Tbl_MeasureList[[#This Row],[Baseline ID]],Tbl_BaselineSummary[Baseline ID],0))</f>
        <v>0</v>
      </c>
      <c r="AT17" s="204">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101.35827881454027</v>
      </c>
      <c r="AU17" s="467">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6.722131147540984</v>
      </c>
      <c r="AV17" s="474">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7.2020817294540276</v>
      </c>
      <c r="AW17" s="248">
        <f ca="1">INDIRECT(Tbl_MeasureList[[#This Row],[Measure ID]]&amp;"!L26")</f>
        <v>2713.5945076896542</v>
      </c>
      <c r="AX17" s="477">
        <f ca="1">INDIRECT(Tbl_MeasureList[[#This Row],[Measure ID]]&amp;"!M26")</f>
        <v>10810.099999999999</v>
      </c>
      <c r="AY17" s="481">
        <f ca="1">INDIRECT(Tbl_MeasureList[[#This Row],[Measure ID]]&amp;"!D26")</f>
        <v>9888.6812768120726</v>
      </c>
      <c r="AZ17" s="481">
        <f ca="1">INDIRECT(Tbl_MeasureList[[#This Row],[Measure ID]]&amp;"!J26")</f>
        <v>9017.1612768120722</v>
      </c>
      <c r="BA17" s="481">
        <f ca="1">INDIRECT(Tbl_MeasureList[[#This Row],[Measure ID]]&amp;"!I26")</f>
        <v>871.5200000000001</v>
      </c>
      <c r="BB17" s="479">
        <f ca="1">INDIRECT(Tbl_MeasureList[[#This Row],[Measure ID]]&amp;"!E26")</f>
        <v>1.2439024390243905</v>
      </c>
      <c r="BC17" s="268">
        <f ca="1">INDIRECT(Tbl_MeasureList[[#This Row],[Measure ID]]&amp;"!H26")</f>
        <v>0.94999999999999984</v>
      </c>
      <c r="BD17" s="253">
        <f ca="1">INDIRECT(Tbl_MeasureList[[#This Row],[Measure ID]]&amp;"!D32")</f>
        <v>0</v>
      </c>
      <c r="BE17" s="270">
        <f ca="1">INDIRECT(Tbl_MeasureList[[#This Row],[Measure ID]]&amp;"!D38")</f>
        <v>21.076789582493124</v>
      </c>
      <c r="BF17" s="253">
        <f ca="1">INDIRECT(Tbl_MeasureList[[#This Row],[Measure ID]]&amp;"!D44")</f>
        <v>0</v>
      </c>
      <c r="BG17" s="460">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54.816970098975915</v>
      </c>
      <c r="BH17" s="371">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1.4648368759832722</v>
      </c>
      <c r="BI17" s="272">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4.957123555702224</v>
      </c>
      <c r="BJ17" s="273">
        <f ca="1">INDIRECT(Tbl_MeasureList[[#This Row],[Measure ID]]&amp;"!L27")</f>
        <v>2364.9278329994645</v>
      </c>
      <c r="BK17" s="201">
        <f ca="1">INDIRECT(Tbl_MeasureList[[#This Row],[Measure ID]]&amp;"!M27")</f>
        <v>11746.099999999999</v>
      </c>
      <c r="BL17" s="85">
        <f ca="1">INDIRECT(Tbl_MeasureList[[#This Row],[Measure ID]]&amp;"!D27")</f>
        <v>8125.9579467302256</v>
      </c>
      <c r="BM17" s="85">
        <f ca="1">INDIRECT(Tbl_MeasureList[[#This Row],[Measure ID]]&amp;"!J27")</f>
        <v>7399.6912800635591</v>
      </c>
      <c r="BN17" s="85">
        <f ca="1">INDIRECT(Tbl_MeasureList[[#This Row],[Measure ID]]&amp;"!I27")</f>
        <v>726.26666666666677</v>
      </c>
      <c r="BO17" s="152">
        <f ca="1">INDIRECT(Tbl_MeasureList[[#This Row],[Measure ID]]&amp;"!E27")</f>
        <v>1.02</v>
      </c>
      <c r="BP17" s="470">
        <f ca="1">INDIRECT(Tbl_MeasureList[[#This Row],[Measure ID]]&amp;"!H27")</f>
        <v>0.94999999999999984</v>
      </c>
      <c r="BQ17" s="467">
        <f ca="1">INDIRECT(Tbl_MeasureList[[#This Row],[Measure ID]]&amp;"!D33")</f>
        <v>0</v>
      </c>
      <c r="BR17" s="472">
        <f ca="1">INDIRECT(Tbl_MeasureList[[#This Row],[Measure ID]]&amp;"!D39")</f>
        <v>21.076789582493124</v>
      </c>
      <c r="BS17" s="467">
        <f ca="1">INDIRECT(Tbl_MeasureList[[#This Row],[Measure ID]]&amp;"!D45")</f>
        <v>0</v>
      </c>
      <c r="BT17" s="204">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48.802558096736654</v>
      </c>
      <c r="BU17" s="467">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1.4648368759832722</v>
      </c>
      <c r="BV17" s="260">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4.3346001844505189</v>
      </c>
      <c r="BW17" s="24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2107.6482379692598</v>
      </c>
      <c r="BX17" s="26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11958.5</v>
      </c>
      <c r="BY17"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6825.2522084582079</v>
      </c>
      <c r="BZ17"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6171.6122084582075</v>
      </c>
      <c r="CA17"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653.6400000000001</v>
      </c>
      <c r="CB17"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1.125</v>
      </c>
      <c r="CC17"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0.94999999999999984</v>
      </c>
      <c r="CD17"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0</v>
      </c>
      <c r="CE17"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21.076789582493124</v>
      </c>
      <c r="CF17"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0</v>
      </c>
      <c r="CG17" s="460">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44.364550117752529</v>
      </c>
      <c r="CH17" s="37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1.4648368759832722</v>
      </c>
      <c r="CI17" s="26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3.8752429459223734</v>
      </c>
      <c r="CJ17" s="320">
        <f ca="1">-Tbl_MeasureList[[#This Row],[Low Measure Energy Cost (USD/yr)]]+Tbl_MeasureList[[#This Row],[Baseline Energy Cost (USD/yr)]]</f>
        <v>1637.3624429672359</v>
      </c>
      <c r="CK17"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11205.300429590323</v>
      </c>
      <c r="CL17" s="249">
        <f ca="1">-Tbl_MeasureList[[#This Row],[Low Measure Electric Annual Consumption (kWh/yr)]]+Tbl_MeasureList[[#This Row],[Baseline Electric Annual Consumption (kWh/yr)]]</f>
        <v>-6476.4362075997906</v>
      </c>
      <c r="CM17" s="249">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-7202.6912800635591</v>
      </c>
      <c r="CN17" s="249">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726.25507246376822</v>
      </c>
      <c r="CO17" s="268">
        <f ca="1">-Tbl_MeasureList[[#This Row],[Low Measure Electric Winter Peak Demand (kW)]]+Tbl_MeasureList[[#This Row],[Baseline Electric Winter Peak Demand (kW)]]</f>
        <v>-0.98977948226270374</v>
      </c>
      <c r="CP17" s="479">
        <f ca="1">-Tbl_MeasureList[[#This Row],[Low Measure Electric Summer Peak Demand (kW)]]+Tbl_MeasureList[[#This Row],[Baseline Electric Summer Peak Demand (kW)]]</f>
        <v>0.97000000000000031</v>
      </c>
      <c r="CQ17" s="481">
        <f ca="1">-Tbl_MeasureList[[#This Row],[Low Measure Natural Gas Annual Consumption (therms/yr)]]+Tbl_MeasureList[[#This Row],[Baseline Natural Gas Annual Consumption (therms/yr)]]</f>
        <v>0</v>
      </c>
      <c r="CR17" s="490">
        <f ca="1">-Tbl_MeasureList[[#This Row],[Low Measure Propane Annual Consumption (MMBtu/yr)]]+Tbl_MeasureList[[#This Row],[Baseline Propane Annual Consumption (MMBtu/yr)]]</f>
        <v>81.189877084173546</v>
      </c>
      <c r="CS17" s="252">
        <f ca="1">-Tbl_MeasureList[[#This Row],[Low Measure Oil Annual Consumption (MMBtu/yr)]]+Tbl_MeasureList[[#This Row],[Baseline Oil Annual Consumption (MMBtu/yr)]]</f>
        <v>0</v>
      </c>
      <c r="CT17"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59.092276743843058</v>
      </c>
      <c r="CU17" s="487">
        <f ca="1">-Tbl_MeasureList[[#This Row],[Low Measure Carbon Emissions, Site (tons CO2/yr)]]+Tbl_MeasureList[[#This Row],[Baseline Carbon Emissions, Site (tons CO2/yr)]]</f>
        <v>5.6426964573500609</v>
      </c>
      <c r="CV17" s="491">
        <f ca="1">-Tbl_MeasureList[[#This Row],[Low Measure Carbon Emissions, Source (tons CO2/yr)]]+Tbl_MeasureList[[#This Row],[Baseline Carbon Emissions, Source (tons CO2/yr)]]</f>
        <v>3.3554782462741191</v>
      </c>
      <c r="CW17"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1894.6420379974406</v>
      </c>
      <c r="CX17"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11417.700429590324</v>
      </c>
      <c r="CY17"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-5175.7304693277729</v>
      </c>
      <c r="CZ17"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-5974.6122084582075</v>
      </c>
      <c r="DA17"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798.88173913043488</v>
      </c>
      <c r="DB17"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-1.0947794822627037</v>
      </c>
      <c r="DC17"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0.97000000000000031</v>
      </c>
      <c r="DD17"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0</v>
      </c>
      <c r="DE17"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81.189877084173546</v>
      </c>
      <c r="DF17"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0</v>
      </c>
      <c r="DG17" s="270">
        <f ca="1">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63.530284722827183</v>
      </c>
      <c r="DH17"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5.6426964573500609</v>
      </c>
      <c r="DI17"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3.8148354848022645</v>
      </c>
      <c r="DJ17" s="320">
        <f ca="1">-Tbl_MeasureList[[#This Row],[Low Measure Energy Cost (USD/yr)]]+Tbl_MeasureList[[#This Row],[Code (old fuel) Energy Cost (USD/yr)]]</f>
        <v>1380.5707464394077</v>
      </c>
      <c r="DK17" s="267">
        <f ca="1">Tbl_MeasureList[[#This Row],[Low Measure Installed Costs (USD)]]-Tbl_MeasureList[[#This Row],[Code (old fuel) Installed Costs (USD)]]</f>
        <v>4316.3173913043465</v>
      </c>
      <c r="DL17" s="249">
        <f ca="1">-Tbl_MeasureList[[#This Row],[Low Measure Electric Annual Consumption (kWh/yr)]]+Tbl_MeasureList[[#This Row],[Code (old fuel) Electric Annual Consumption (kWh/yr)]]</f>
        <v>-6766.9405554258774</v>
      </c>
      <c r="DM17" s="249">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-7202.6912800635591</v>
      </c>
      <c r="DN17" s="249">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435.75072463768117</v>
      </c>
      <c r="DO17" s="268">
        <f ca="1">-Tbl_MeasureList[[#This Row],[Low Measure Electric Winter Peak Demand (kW)]]+Tbl_MeasureList[[#This Row],[Code (old fuel) Electric Winter Peak Demand (kW)]]</f>
        <v>-0.98977948226270374</v>
      </c>
      <c r="DP17" s="479">
        <f ca="1">-Tbl_MeasureList[[#This Row],[Low Measure Electric Summer Peak Demand (kW)]]+Tbl_MeasureList[[#This Row],[Code (old fuel) Electric Summer Peak Demand (kW)]]</f>
        <v>0.58600000000000063</v>
      </c>
      <c r="DQ17" s="481">
        <f ca="1">-Tbl_MeasureList[[#This Row],[Low Measure Natural Gas Annual Consumption (therms/yr)]]+Tbl_MeasureList[[#This Row],[Code (old fuel) Natural Gas Annual Consumption (therms/yr)]]</f>
        <v>0</v>
      </c>
      <c r="DR17" s="490">
        <f ca="1">-Tbl_MeasureList[[#This Row],[Low Measure Propane Annual Consumption (MMBtu/yr)]]+Tbl_MeasureList[[#This Row],[Code (old fuel) Propane Annual Consumption (MMBtu/yr)]]</f>
        <v>75.644521892916714</v>
      </c>
      <c r="DS17" s="252">
        <f ca="1">-Tbl_MeasureList[[#This Row],[Low Measure Oil Annual Consumption (MMBtu/yr)]]+Tbl_MeasureList[[#This Row],[Code (old fuel) Oil Annual Consumption (MMBtu/yr)]]</f>
        <v>0</v>
      </c>
      <c r="DT17"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52.555720717803624</v>
      </c>
      <c r="DU17" s="487">
        <f ca="1">-Tbl_MeasureList[[#This Row],[Low Measure Carbon Emissions, Site (tons CO2/yr)]]+Tbl_MeasureList[[#This Row],[Code (old fuel) Carbon Emissions, Site (tons CO2/yr)]]</f>
        <v>5.2572942715577113</v>
      </c>
      <c r="DV17" s="491">
        <f ca="1">-Tbl_MeasureList[[#This Row],[Low Measure Carbon Emissions, Source (tons CO2/yr)]]+Tbl_MeasureList[[#This Row],[Code (old fuel) Carbon Emissions, Source (tons CO2/yr)]]</f>
        <v>2.8674815450035087</v>
      </c>
      <c r="DW17"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(old fuel) Energy Cost (USD/yr)]],
        "-")</f>
        <v>1637.8503414696124</v>
      </c>
      <c r="DX17"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4528.717391304348</v>
      </c>
      <c r="DY17"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-5466.2348171538597</v>
      </c>
      <c r="DZ17"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-5974.6122084582075</v>
      </c>
      <c r="EA17"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508.37739130434784</v>
      </c>
      <c r="EB17"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-1.0947794822627037</v>
      </c>
      <c r="EC17"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0.58600000000000063</v>
      </c>
      <c r="ED17"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0</v>
      </c>
      <c r="EE17"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75.644521892916714</v>
      </c>
      <c r="EF17"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0</v>
      </c>
      <c r="EG17" s="270">
        <f ca="1">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56.993728696787741</v>
      </c>
      <c r="EH17"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5.2572942715577113</v>
      </c>
      <c r="EI17"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3.3268387835316542</v>
      </c>
      <c r="EJ17" s="477">
        <f ca="1">Tbl_MeasureList[[#This Row],[Code (old fuel) Energy Cost (USD/yr)]]-Tbl_MeasureList[[#This Row],[Code (new fuel) Energy Cost (USD/yr)]]</f>
        <v>1031.904071749218</v>
      </c>
      <c r="EK17" s="496">
        <f ca="1">Tbl_MeasureList[[#This Row],[Code (old fuel) Electric Annual Consumption (kWh/yr)]]-Tbl_MeasureList[[#This Row],[Code (new fuel) Electric Annual Consumption (kWh/yr)]]</f>
        <v>-8529.6638855077254</v>
      </c>
      <c r="EL17" s="496">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-8820.1612768120722</v>
      </c>
      <c r="EM17" s="496">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290.49739130434784</v>
      </c>
      <c r="EN17" s="500">
        <f ca="1">Tbl_MeasureList[[#This Row],[Code (old fuel) Electric Winter Peak Demand (kW)]]-Tbl_MeasureList[[#This Row],[Code (new fuel) Electric Winter Peak Demand (kW)]]</f>
        <v>-1.2136819212870942</v>
      </c>
      <c r="EO17" s="493">
        <f ca="1">Tbl_MeasureList[[#This Row],[Code (old fuel) Electric Summer Peak Demand (kW)]]-Tbl_MeasureList[[#This Row],[Code (new fuel) Electric Summer Peak Demand (kW)]]</f>
        <v>0.58600000000000063</v>
      </c>
      <c r="EP17" s="502">
        <f ca="1">Tbl_MeasureList[[#This Row],[Code (old fuel) Natural Gas Annual Consumption (therms/yr)]]-Tbl_MeasureList[[#This Row],[Code (new fuel) Natural Gas Annual Consumption (therms/yr)]]</f>
        <v>0</v>
      </c>
      <c r="EQ17" s="215">
        <f ca="1">Tbl_MeasureList[[#This Row],[Code (old fuel) Propane Annual Consumption (MMBtu/yr)]]-Tbl_MeasureList[[#This Row],[Code (new fuel) Propane Annual Consumption (MMBtu/yr)]]</f>
        <v>75.644521892916714</v>
      </c>
      <c r="ER17" s="502">
        <f ca="1">Tbl_MeasureList[[#This Row],[Code (old fuel) Oil Annual Consumption (MMBtu/yr)]]-Tbl_MeasureList[[#This Row],[Code (new fuel) Oil Annual Consumption (MMBtu/yr)]]</f>
        <v>0</v>
      </c>
      <c r="ES17" s="215">
        <f ca="1">Tbl_MeasureList[[#This Row],[Code (old fuel) Energy Consumption on MMBtu Basis (MMBtu/yr)]]-Tbl_MeasureList[[#This Row],[Code (new fuel) Energy Consumption on MMBtu Basis (MMBtu/yr)]]</f>
        <v>46.541308715564355</v>
      </c>
      <c r="ET17" s="502">
        <f ca="1">Tbl_MeasureList[[#This Row],[Code (old fuel) Carbon Emissions, Site (tons CO2/yr)]]-Tbl_MeasureList[[#This Row],[Code (new fuel) Carbon Emissions, Site (tons CO2/yr)]]</f>
        <v>5.2572942715577113</v>
      </c>
      <c r="EU17" s="498">
        <f ca="1">Tbl_MeasureList[[#This Row],[Code (old fuel) Carbon Emissions, Source (tons CO2/yr)]]-Tbl_MeasureList[[#This Row],[Code (new fuel) Carbon Emissions, Source (tons CO2/yr)]]</f>
        <v>2.2449581737518036</v>
      </c>
      <c r="EV17" s="450">
        <f ca="1">Tbl_MeasureList[[#This Row],[ER Total Low Measure Electric Annual Consumption Savings (kWh/yr)]]*COAL_BTU_PER_SITE_KWH/Btu_per_MMBtu</f>
        <v>-0.71287981778648302</v>
      </c>
      <c r="EW17" s="411">
        <f ca="1">Tbl_MeasureList[[#This Row],[ER Total Low Measure Electric Annual Consumption Savings (kWh/yr)]]*COAL_LBS_PER_SITE_KWH</f>
        <v>-62.533317349691487</v>
      </c>
      <c r="EX17" s="326">
        <f ca="1">Tbl_MeasureList[[#This Row],[ER Total Low Measure Electric Annual Consumption Savings (kWh/yr)]]*OIL_BTU_PER_SITE_KWH/Btu_per_MMBtu</f>
        <v>-0.82066322757971866</v>
      </c>
      <c r="EY17" s="325">
        <f ca="1">Tbl_MeasureList[[#This Row],[ER Total Low Measure Electric Annual Consumption Savings (kWh/yr)]]*OIL_GAL_PER_SITE_KWH</f>
        <v>-5.9492060428411229</v>
      </c>
      <c r="EZ17" s="326">
        <f ca="1">Tbl_MeasureList[[#This Row],[ER Total Low Measure Oil Annual Consumption Savings (MMBtu/yr)]]*Btu_per_MMBtu/OIL_BTU_PER_GAL</f>
        <v>0</v>
      </c>
      <c r="FA17" s="325">
        <f ca="1">Tbl_MeasureList[[#This Row],[Current ER Total Low Measure Oil Source Fuel Savings (gallons oil/year)]]+Tbl_MeasureList[[#This Row],[Current ER Total Low Measure Oil Site Fuel Savings (gallons oil/year)]]</f>
        <v>-5.9492060428411229</v>
      </c>
      <c r="FB17" s="326">
        <f ca="1">Tbl_MeasureList[[#This Row],[ER Total Low Measure Electric Annual Consumption Savings (kWh/yr)]]*GAS_BTU_PER_SITE_KWH/Btu_per_MMBtu</f>
        <v>-26.502424514408414</v>
      </c>
      <c r="FC17" s="327">
        <f ca="1">Tbl_MeasureList[[#This Row],[ER Total Low Measure Electric Annual Consumption Savings (kWh/yr)]]*GAS_CUFT_PER_SITE_KWH/1000</f>
        <v>-25.755514591261822</v>
      </c>
      <c r="FD17" s="328">
        <f ca="1">Tbl_MeasureList[[#This Row],[ER Total Low Measure Natural Gas Annual Consumption Savings (therms/yr)]]*Btu_per_MMBtu/(GAS_BTU_PER_CUFT*Therm_per_MMBtu*1000)</f>
        <v>0</v>
      </c>
      <c r="FE17" s="329">
        <f ca="1">Tbl_MeasureList[[#This Row],[Current ER Total Low Measure Gas Source Fuel Savings (1,000 cu.ft. gas/year)]]+Tbl_MeasureList[[#This Row],[Current ER Total Low Measure Gas Site Fuel Savings (1,000 cu.ft gas/year)]]</f>
        <v>-25.755514591261822</v>
      </c>
      <c r="FF17" s="324">
        <f ca="1">IFERROR(Tbl_MeasureList[[#This Row],[ER Total High Measure Electric Annual Consumption Savings (kWh/yr)]]*COAL_BTU_PER_SITE_KWH/Btu_per_MMBtu,"-")</f>
        <v>-0.56970742482673931</v>
      </c>
      <c r="FG17" s="325">
        <f ca="1">IFERROR(Tbl_MeasureList[[#This Row],[ER Total High Measure Electric Annual Consumption Savings (kWh/yr)]]*COAL_LBS_PER_SITE_KWH,"-")</f>
        <v>-49.974335511117488</v>
      </c>
      <c r="FH17" s="326">
        <f ca="1">IFERROR(Tbl_MeasureList[[#This Row],[ER Total High Measure Electric Annual Consumption Savings (kWh/yr)]]*OIL_BTU_PER_SITE_KWH/Btu_per_MMBtu,"-")</f>
        <v>-0.65584397589787813</v>
      </c>
      <c r="FI17" s="325">
        <f ca="1">IFERROR(Tbl_MeasureList[[#This Row],[ER Total High Measure Electric Annual Consumption Savings (kWh/yr)]]*OIL_GAL_PER_SITE_KWH,"-")</f>
        <v>-4.754387443530959</v>
      </c>
      <c r="FJ17" s="326">
        <f ca="1">IFERROR(Tbl_MeasureList[[#This Row],[ER Total High Measure Oil Annual Consumption Savings (MMBtu/yr)]]*Btu_per_MMBtu/OIL_BTU_PER_GAL,"-")</f>
        <v>0</v>
      </c>
      <c r="FK17" s="325">
        <f ca="1">IFERROR(Tbl_MeasureList[[#This Row],[Current ER Total High Measure Oil Source Fuel Savings (gallons oil/year)]]+Tbl_MeasureList[[#This Row],[Current ER Total High Measure Oil Site Fuel Savings (gallons oil/year)]],"-")</f>
        <v>-4.754387443530959</v>
      </c>
      <c r="FL17" s="326">
        <f ca="1">IFERROR(Tbl_MeasureList[[#This Row],[ER Total High Measure Electric Annual Consumption Savings (kWh/yr)]]*GAS_BTU_PER_SITE_KWH/Btu_per_MMBtu,"-")</f>
        <v>-21.179766413713942</v>
      </c>
      <c r="FM17" s="327">
        <f ca="1">IFERROR(Tbl_MeasureList[[#This Row],[ER Total High Measure Electric Annual Consumption Savings (kWh/yr)]]*GAS_CUFT_PER_SITE_KWH/1000,"-")</f>
        <v>-20.582863375815297</v>
      </c>
      <c r="FN17" s="328">
        <f ca="1">IFERROR(Tbl_MeasureList[[#This Row],[ER Total High Measure Natural Gas Annual Consumption Savings (therms/yr)]]*Btu_per_MMBtu/(GAS_BTU_PER_CUFT*Therm_per_MMBtu*1000),"-")</f>
        <v>0</v>
      </c>
      <c r="FO17" s="329">
        <f ca="1">IFERROR(Tbl_MeasureList[[#This Row],[Current ER Total High Measure Gas Source Fuel Savings (1,000 cu.ft. gas/year)]]+Tbl_MeasureList[[#This Row],[Current ER Total High Measure Gas Site Fuel Savings (1,000 cu.ft gas/year)]],"-")</f>
        <v>-20.582863375815297</v>
      </c>
      <c r="FP17" s="412">
        <f ca="1">Tbl_MeasureList[[#This Row],[ROF Low Measure Electric Annual Consumption Savings (kWh/yr)]]*COAL_BTU_PER_SITE_KWH/Btu_per_MMBtu</f>
        <v>-0.74485646048102949</v>
      </c>
      <c r="FQ17" s="327">
        <f ca="1">Tbl_MeasureList[[#This Row],[ROF Low Measure Electric Annual Consumption Savings (kWh/yr)]]*COAL_LBS_PER_SITE_KWH</f>
        <v>-65.33828600710784</v>
      </c>
      <c r="FR17" s="412">
        <f ca="1">Tbl_MeasureList[[#This Row],[ROF Low Measure Electric Annual Consumption Savings (kWh/yr)]]*OIL_BTU_PER_SITE_KWH/Btu_per_MMBtu</f>
        <v>-0.85747455839050302</v>
      </c>
      <c r="FS17" s="327">
        <f ca="1">Tbl_MeasureList[[#This Row],[ROF Low Measure Electric Annual Consumption Savings (kWh/yr)]]*OIL_GAL_PER_SITE_KWH</f>
        <v>-6.2160611721374677</v>
      </c>
      <c r="FT17" s="412">
        <f ca="1">Tbl_MeasureList[[#This Row],[ROF Low Measure Oil Annual Consumption Savings (MMBtu/yr)]]*Btu_per_MMBtu/OIL_BTU_PER_GAL</f>
        <v>0</v>
      </c>
      <c r="FU17" s="327">
        <f ca="1">Tbl_MeasureList[[#This Row],[Current ROF Low Measure Oil Source Fuel Savings (gallons oil/year)]]+Tbl_MeasureList[[#This Row],[Current ROF Low Measure Oil Site Fuel Savings (gallons oil/year)]]</f>
        <v>-6.2160611721374677</v>
      </c>
      <c r="FV17" s="412">
        <f ca="1">Tbl_MeasureList[[#This Row],[ROF Low Measure Electric Annual Consumption Savings (kWh/yr)]]*GAS_BTU_PER_SITE_KWH/Btu_per_MMBtu</f>
        <v>-27.691206323196063</v>
      </c>
      <c r="FW17" s="327">
        <f ca="1">Tbl_MeasureList[[#This Row],[ROF Low Measure Electric Annual Consumption Savings (kWh/yr)]]*GAS_CUFT_PER_SITE_KWH/1000</f>
        <v>-26.91079331700298</v>
      </c>
      <c r="FX17" s="412">
        <f ca="1">Tbl_MeasureList[[#This Row],[ROF Low Measure Natural Gas Annual Consumption Savings (therms/yr)]]*Btu_per_MMBtu/(GAS_BTU_PER_CUFT*Therm_per_MMBtu*1000)</f>
        <v>0</v>
      </c>
      <c r="FY17" s="327">
        <f ca="1">Tbl_MeasureList[[#This Row],[Current ROF Low Measure Gas Source Fuel Savings (1,000 cu.ft. gas/year)]]+Tbl_MeasureList[[#This Row],[Current ROF Low Measure Gas Site Fuel Savings (1,000 cu.ft gas/year)]]</f>
        <v>-26.91079331700298</v>
      </c>
      <c r="FZ17" s="414">
        <f ca="1">IFERROR(Tbl_MeasureList[[#This Row],[ROF High Measure Electric Annual Consumption Savings (kWh/yr)]]*COAL_BTU_PER_SITE_KWH/Btu_per_MMBtu,"-")</f>
        <v>-0.60168406752128589</v>
      </c>
      <c r="GA17" s="327">
        <f ca="1">IFERROR(Tbl_MeasureList[[#This Row],[ROF High Measure Electric Annual Consumption Savings (kWh/yr)]]*COAL_LBS_PER_SITE_KWH,"-")</f>
        <v>-52.779304168533841</v>
      </c>
      <c r="GB17" s="412">
        <f ca="1">IFERROR(Tbl_MeasureList[[#This Row],[ROF High Measure Electric Annual Consumption Savings (kWh/yr)]]*OIL_BTU_PER_SITE_KWH/Btu_per_MMBtu,"-")</f>
        <v>-0.69265530670866249</v>
      </c>
      <c r="GC17" s="327">
        <f ca="1">IFERROR(Tbl_MeasureList[[#This Row],[ROF High Measure Electric Annual Consumption Savings (kWh/yr)]]*OIL_GAL_PER_SITE_KWH,"-")</f>
        <v>-5.0212425728273038</v>
      </c>
      <c r="GD17" s="412">
        <f ca="1">IFERROR(Tbl_MeasureList[[#This Row],[ROF High Measure Oil Annual Consumption Savings (MMBtu/yr)]]*Btu_per_MMBtu/OIL_BTU_PER_GAL,"-")</f>
        <v>0</v>
      </c>
      <c r="GE17" s="327">
        <f ca="1">IFERROR(Tbl_MeasureList[[#This Row],[Current ROF High Measure Oil Source Fuel Savings (gallons oil/year)]]+Tbl_MeasureList[[#This Row],[Current ROF High Measure Oil Site Fuel Savings (gallons oil/year)]],"-")</f>
        <v>-5.0212425728273038</v>
      </c>
      <c r="GF17" s="412">
        <f ca="1">IFERROR(Tbl_MeasureList[[#This Row],[ROF High Measure Electric Annual Consumption Savings (kWh/yr)]]*GAS_BTU_PER_SITE_KWH/Btu_per_MMBtu,"-")</f>
        <v>-22.368548222501595</v>
      </c>
      <c r="GG17" s="327">
        <f ca="1">IFERROR(Tbl_MeasureList[[#This Row],[ROF High Measure Electric Annual Consumption Savings (kWh/yr)]]*GAS_CUFT_PER_SITE_KWH/1000,"-")</f>
        <v>-21.738142101556456</v>
      </c>
      <c r="GH17" s="412">
        <f ca="1">IFERROR(Tbl_MeasureList[[#This Row],[ROF High Measure Natural Gas Annual Consumption Savings (therms/yr)]]*Btu_per_MMBtu/(GAS_BTU_PER_CUFT*Therm_per_MMBtu*1000),"-")</f>
        <v>0</v>
      </c>
      <c r="GI17" s="327">
        <f ca="1">IFERROR(Tbl_MeasureList[[#This Row],[Current ROF High Measure Gas Source Fuel Savings (1,000 cu.ft. gas/year)]]+Tbl_MeasureList[[#This Row],[Current ROF High Measure Gas Site Fuel Savings (1,000 cu.ft gas/year)]],"-")</f>
        <v>-21.738142101556456</v>
      </c>
      <c r="GJ17" s="324">
        <f ca="1">Tbl_MeasureList[[#This Row],[ER Total Low Measure Electric Annual Consumption Savings (kWh/yr)]]*COAL_BTU_PER_SITE_KWH_CES/Btu_per_MMBtu</f>
        <v>-1.211895690237021</v>
      </c>
      <c r="GK17" s="325">
        <f ca="1">Tbl_MeasureList[[#This Row],[ER Total Low Measure Electric Annual Consumption Savings (kWh/yr)]]*COAL_LBS_PER_SITE_KWH_CES</f>
        <v>-110.05227844506184</v>
      </c>
      <c r="GL17" s="326">
        <f ca="1">Tbl_MeasureList[[#This Row],[ER Total Low Measure Electric Annual Consumption Savings (kWh/yr)]]*OIL_BTU_PER_SITE_KWH_CES/Btu_per_MMBtu</f>
        <v>-0.37302873980896301</v>
      </c>
      <c r="GM17" s="325">
        <f ca="1">Tbl_MeasureList[[#This Row],[ER Total Low Measure Electric Annual Consumption Savings (kWh/yr)]]*OIL_GAL_PER_SITE_KWH_CES</f>
        <v>-2.5166554661118514</v>
      </c>
      <c r="GN17" s="326">
        <f ca="1">Tbl_MeasureList[[#This Row],[ER Total Low Measure Oil Annual Consumption Savings (MMBtu/yr)]]*Btu_per_MMBtu/OIL_BTU_PER_GAL_CES</f>
        <v>0</v>
      </c>
      <c r="GO17" s="325">
        <f ca="1">Tbl_MeasureList[[#This Row],[CES ER Low Measure Oil Source Fuel Savings (gallons oil/year)]]+Tbl_MeasureList[[#This Row],[CES ER Low Measure Oil Site Fuel Savings (gallons oil/year)]]</f>
        <v>-2.5166554661118514</v>
      </c>
      <c r="GP17" s="326">
        <f ca="1">Tbl_MeasureList[[#This Row],[ER Total Low Measure Electric Annual Consumption Savings (kWh/yr)]]*GAS_BTU_PER_SITE_KWH_CES/Btu_per_MMBtu</f>
        <v>-11.033662450896564</v>
      </c>
      <c r="GQ17" s="327">
        <f ca="1">Tbl_MeasureList[[#This Row],[ER Total Low Measure Electric Annual Consumption Savings (kWh/yr)]]*GAS_CUFT_PER_SITE_KWH_CES/1000</f>
        <v>-10.71229364164715</v>
      </c>
      <c r="GR17" s="328">
        <f ca="1">Tbl_MeasureList[[#This Row],[ER Total Low Measure Natural Gas Annual Consumption Savings (therms/yr)]]*Btu_per_MMBtu/(GAS_BTU_PER_CUFT_CES*Therm_per_MMBtu*1000)</f>
        <v>0</v>
      </c>
      <c r="GS17" s="329">
        <f ca="1">Tbl_MeasureList[[#This Row],[CES ER Low Measure Gas Source Fuel Savings (1,000 cu.ft. gas/year)]]+Tbl_MeasureList[[#This Row],[CES ER Low Measure Gas Site Fuel Savings (1,000 cu.ft gas/year)]]</f>
        <v>-10.71229364164715</v>
      </c>
      <c r="GT17" s="324">
        <f ca="1">IFERROR(Tbl_MeasureList[[#This Row],[ER Total High Measure Electric Annual Consumption Savings (kWh/yr)]]*COAL_BTU_PER_SITE_KWH_CES/Btu_per_MMBtu,"-")</f>
        <v>-0.96850262220545691</v>
      </c>
      <c r="GU17" s="325">
        <f ca="1">IFERROR(Tbl_MeasureList[[#This Row],[ER Total High Measure Electric Annual Consumption Savings (kWh/yr)]]*COAL_LBS_PER_SITE_KWH_CES,"-")</f>
        <v>-87.949747748406921</v>
      </c>
      <c r="GV17" s="326">
        <f ca="1">IFERROR(Tbl_MeasureList[[#This Row],[ER Total High Measure Electric Annual Consumption Savings (kWh/yr)]]*OIL_BTU_PER_SITE_KWH_CES/Btu_per_MMBtu,"-")</f>
        <v>-0.29811089813539915</v>
      </c>
      <c r="GW17" s="325">
        <f ca="1">IFERROR(Tbl_MeasureList[[#This Row],[ER Total High Measure Electric Annual Consumption Savings (kWh/yr)]]*OIL_GAL_PER_SITE_KWH_CES,"-")</f>
        <v>-2.0112188183789343</v>
      </c>
      <c r="GX17" s="326">
        <f ca="1">IFERROR(Tbl_MeasureList[[#This Row],[ER Total High Measure Oil Annual Consumption Savings (MMBtu/yr)]]*Btu_per_MMBtu/OIL_BTU_PER_GAL_CES,"-")</f>
        <v>0</v>
      </c>
      <c r="GY17" s="325">
        <f ca="1">IFERROR(Tbl_MeasureList[[#This Row],[CES ER High Measure Oil Source Fuel Savings (gallons oil/year)]]+Tbl_MeasureList[[#This Row],[CES ER High Measure Oil Site Fuel Savings (gallons oil/year)]],"-")</f>
        <v>-2.0112188183789343</v>
      </c>
      <c r="GZ17" s="326">
        <f ca="1">IFERROR(Tbl_MeasureList[[#This Row],[ER Total High Measure Electric Annual Consumption Savings (kWh/yr)]]*GAS_BTU_PER_SITE_KWH_CES/Btu_per_MMBtu,"-")</f>
        <v>-8.8176986701992757</v>
      </c>
      <c r="HA17" s="327">
        <f ca="1">IFERROR(Tbl_MeasureList[[#This Row],[ER Total High Measure Electric Annual Consumption Savings (kWh/yr)]]*GAS_CUFT_PER_SITE_KWH_CES/1000,"-")</f>
        <v>-8.5608724953391011</v>
      </c>
      <c r="HB17" s="328">
        <f ca="1">IFERROR(Tbl_MeasureList[[#This Row],[ER Total High Measure Natural Gas Annual Consumption Savings (therms/yr)]]*Btu_per_MMBtu/(GAS_BTU_PER_CUFT_CES*Therm_per_MMBtu*1000),"-")</f>
        <v>0</v>
      </c>
      <c r="HC17" s="329">
        <f ca="1">IFERROR(Tbl_MeasureList[[#This Row],[CES ER High Measure Gas Source Fuel Savings (1,000 cu.ft. gas/year)]]+Tbl_MeasureList[[#This Row],[CES ER High Measure Gas Site Fuel Savings (1,000 cu.ft gas/year)]],"-")</f>
        <v>-8.5608724953391011</v>
      </c>
      <c r="HD17" s="315">
        <f ca="1">Tbl_MeasureList[[#This Row],[ROF Low Measure Electric Annual Consumption Savings (kWh/yr)]]*COAL_BTU_PER_SITE_KWH_CES/Btu_per_MMBtu</f>
        <v>-1.26625598281775</v>
      </c>
      <c r="HE17" s="316">
        <f ca="1">Tbl_MeasureList[[#This Row],[ROF Low Measure Electric Annual Consumption Savings (kWh/yr)]]*COAL_LBS_PER_SITE_KWH_CES</f>
        <v>-114.98873799652651</v>
      </c>
      <c r="HF17" s="317">
        <f ca="1">Tbl_MeasureList[[#This Row],[ROF Low Measure Electric Annual Consumption Savings (kWh/yr)]]*OIL_BTU_PER_SITE_KWH_CES/Btu_per_MMBtu</f>
        <v>-0.38976116290477414</v>
      </c>
      <c r="HG17" s="316">
        <f ca="1">Tbl_MeasureList[[#This Row],[ROF Low Measure Electric Annual Consumption Savings (kWh/yr)]]*OIL_GAL_PER_SITE_KWH_CES</f>
        <v>-2.6295415243467599</v>
      </c>
      <c r="HH17" s="317">
        <f ca="1">Tbl_MeasureList[[#This Row],[ROF Low Measure Oil Annual Consumption Savings (MMBtu/yr)]]*Btu_per_MMBtu/OIL_BTU_PER_GAL_CES</f>
        <v>0</v>
      </c>
      <c r="HI17" s="316">
        <f ca="1">Tbl_MeasureList[[#This Row],[CES ROF Low Measure Oil Source Fuel Savings (gallons oil/year)]]+Tbl_MeasureList[[#This Row],[CES ROF Low Measure Oil Site Fuel Savings (gallons oil/year)]]</f>
        <v>-2.6295415243467599</v>
      </c>
      <c r="HJ17" s="317">
        <f ca="1">Tbl_MeasureList[[#This Row],[ROF Low Measure Electric Annual Consumption Savings (kWh/yr)]]*GAS_BTU_PER_SITE_KWH_CES/Btu_per_MMBtu</f>
        <v>-11.528583857004076</v>
      </c>
      <c r="HK17" s="316">
        <f ca="1">Tbl_MeasureList[[#This Row],[ROF Low Measure Electric Annual Consumption Savings (kWh/yr)]]*GAS_CUFT_PER_SITE_KWH_CES/1000</f>
        <v>-11.192799861169007</v>
      </c>
      <c r="HL17" s="317">
        <f ca="1">Tbl_MeasureList[[#This Row],[ROF Low Measure Natural Gas Annual Consumption Savings (therms/yr)]]*Btu_per_MMBtu/(GAS_BTU_PER_CUFT_CES*Therm_per_MMBtu*1000)</f>
        <v>0</v>
      </c>
      <c r="HM17" s="318">
        <f ca="1">Tbl_MeasureList[[#This Row],[CES ROF Low Measure Gas Source Fuel Savings (1,000 cu.ft. gas/year)]]+Tbl_MeasureList[[#This Row],[CES ROF Low Measure Gas Site Fuel Savings (1,000 cu.ft gas/year)]]</f>
        <v>-11.192799861169007</v>
      </c>
      <c r="HN17" s="315">
        <f ca="1">IFERROR(Tbl_MeasureList[[#This Row],[ROF High Measure Electric Annual Consumption Savings (kWh/yr)]]*COAL_BTU_PER_SITE_KWH_CES/Btu_per_MMBtu,"-")</f>
        <v>-1.0228629147861859</v>
      </c>
      <c r="HO17" s="316">
        <f ca="1">IFERROR(Tbl_MeasureList[[#This Row],[ROF High Measure Electric Annual Consumption Savings (kWh/yr)]]*COAL_LBS_PER_SITE_KWH_CES,"-")</f>
        <v>-92.886207299871586</v>
      </c>
      <c r="HP17" s="317">
        <f ca="1">IFERROR(Tbl_MeasureList[[#This Row],[ROF High Measure Electric Annual Consumption Savings (kWh/yr)]]*OIL_BTU_PER_SITE_KWH_CES/Btu_per_MMBtu,"-")</f>
        <v>-0.31484332123121028</v>
      </c>
      <c r="HQ17" s="316">
        <f ca="1">IFERROR(Tbl_MeasureList[[#This Row],[ROF High Measure Electric Annual Consumption Savings (kWh/yr)]]*OIL_GAL_PER_SITE_KWH_CES,"-")</f>
        <v>-2.1241048766138428</v>
      </c>
      <c r="HR17" s="317">
        <f ca="1">IFERROR(Tbl_MeasureList[[#This Row],[ROF High Measure Oil Annual Consumption Savings (MMBtu/yr)]]*Btu_per_MMBtu/OIL_BTU_PER_GAL_CES,"-")</f>
        <v>0</v>
      </c>
      <c r="HS17" s="316">
        <f ca="1">IFERROR(Tbl_MeasureList[[#This Row],[CES ROF High Measure Oil Source Fuel Savings (gallons oil/year)]]+Tbl_MeasureList[[#This Row],[CES ROF High Measure Oil Site Fuel Savings (gallons oil/year)]],"-")</f>
        <v>-2.1241048766138428</v>
      </c>
      <c r="HT17" s="317">
        <f ca="1">IFERROR(Tbl_MeasureList[[#This Row],[ROF High Measure Electric Annual Consumption Savings (kWh/yr)]]*GAS_BTU_PER_SITE_KWH_CES/Btu_per_MMBtu,"-")</f>
        <v>-9.3126200763067857</v>
      </c>
      <c r="HU17" s="316">
        <f ca="1">IFERROR(Tbl_MeasureList[[#This Row],[ROF High Measure Electric Annual Consumption Savings (kWh/yr)]]*GAS_CUFT_PER_SITE_KWH_CES/1000,"-")</f>
        <v>-9.0413787148609579</v>
      </c>
      <c r="HV17" s="317">
        <f ca="1">IFERROR(Tbl_MeasureList[[#This Row],[ROF High Measure Natural Gas Annual Consumption Savings (therms/yr)]]*Btu_per_MMBtu/(GAS_BTU_PER_CUFT_CES*Therm_per_MMBtu*1000),"-")</f>
        <v>0</v>
      </c>
      <c r="HW17" s="318">
        <f ca="1">IFERROR(Tbl_MeasureList[[#This Row],[CES ROF High Measure Gas Source Fuel Savings (1,000 cu.ft. gas/year)]]+Tbl_MeasureList[[#This Row],[CES ROF High Measure Gas Site Fuel Savings (1,000 cu.ft gas/year)]],"-")</f>
        <v>-9.0413787148609579</v>
      </c>
      <c r="HX17" s="248">
        <f>Tbl_MeasureList[[#This Row],[Baseline Energy Cost (USD/yr)]]-Tbl_MeasureList[[#This Row],[Code (old fuel) Energy Cost (USD/yr)]]</f>
        <v>256.79169652782821</v>
      </c>
      <c r="HY17" s="201">
        <f>0</f>
        <v>0</v>
      </c>
      <c r="HZ17" s="86">
        <f>Tbl_MeasureList[[#This Row],[Baseline Electric Annual Consumption (kWh/yr)]]-Tbl_MeasureList[[#This Row],[Code (old fuel) Electric Annual Consumption (kWh/yr)]]</f>
        <v>290.50434782608704</v>
      </c>
      <c r="IA17" s="86">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0</v>
      </c>
      <c r="IB17" s="86">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290.50434782608704</v>
      </c>
      <c r="IC17" s="152">
        <f>Tbl_MeasureList[[#This Row],[Baseline Electric Winter Peak Demand (kW)]]-Tbl_MeasureList[[#This Row],[Code (old fuel) Electric Winter Peak Demand (kW)]]</f>
        <v>0</v>
      </c>
      <c r="ID17" s="152">
        <f>Tbl_MeasureList[[#This Row],[Baseline Electric Summer Peak Demand (kW)]]-Tbl_MeasureList[[#This Row],[Code (old fuel) Electric Summer Peak Demand (kW)]]</f>
        <v>0.38399999999999967</v>
      </c>
      <c r="IE17" s="251">
        <f>Tbl_MeasureList[[#This Row],[Baseline Natural Gas Annual Consumption (therms/yr)]]-Tbl_MeasureList[[#This Row],[Code (old fuel) Natural Gas Annual Consumption (therms/yr)]]</f>
        <v>0</v>
      </c>
      <c r="IF17" s="252">
        <f>Tbl_MeasureList[[#This Row],[Baseline Propane Annual Consumption (MMBtu/yr)]]-Tbl_MeasureList[[#This Row],[Code (old fuel) Propane Annual Consumption (MMBtu/yr)]]</f>
        <v>5.5453551912568315</v>
      </c>
      <c r="IG17" s="253">
        <f>Tbl_MeasureList[[#This Row],[Baseline Oil Annual Consumption (MMBtu/yr)]]-Tbl_MeasureList[[#This Row],[Code (old fuel) Oil Annual Consumption (MMBtu/yr)]]</f>
        <v>0</v>
      </c>
      <c r="IH17" s="371">
        <f>Tbl_MeasureList[[#This Row],[Baseline Energy Consumption on MMBtu Basis (MMBtu/yr)]]-Tbl_MeasureList[[#This Row],[Code (old fuel) Energy Consumption on MMBtu Basis (MMBtu/yr)]]</f>
        <v>6.5365560260394346</v>
      </c>
      <c r="II17" s="371">
        <f>Tbl_MeasureList[[#This Row],[Baseline Carbon Emissions, Site (tons CO2/yr)]]-Tbl_MeasureList[[#This Row],[Code (old fuel) Carbon Emissions, Site (tons CO2/yr)]]</f>
        <v>0.38540218579234864</v>
      </c>
      <c r="IJ17" s="279">
        <f>Tbl_MeasureList[[#This Row],[Baseline Carbon Emissions, Source (tons CO2/yr)]]-Tbl_MeasureList[[#This Row],[Code (old fuel) Carbon Emissions, Source (tons CO2/yr)]]</f>
        <v>0.48799670127061034</v>
      </c>
      <c r="IK17" s="273">
        <f ca="1">Tbl_MeasureList[[#This Row],[Code (new fuel) Energy Cost (USD/yr)]]-Tbl_MeasureList[[#This Row],[Low Measure Energy Cost (USD/yr)]]</f>
        <v>348.66667469018967</v>
      </c>
      <c r="IL17"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11205.300429590323</v>
      </c>
      <c r="IM17" s="85">
        <f ca="1">Tbl_MeasureList[[#This Row],[Code (old fuel) Electric Annual Consumption (kWh/yr)]]-Tbl_MeasureList[[#This Row],[Low Measure Electric Annual Consumption (kWh/yr)]]</f>
        <v>-6766.9405554258774</v>
      </c>
      <c r="IN17" s="85">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-7202.6912800635591</v>
      </c>
      <c r="IO17" s="85">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435.75072463768117</v>
      </c>
      <c r="IP17" s="152">
        <f ca="1">Tbl_MeasureList[[#This Row],[Code (old fuel) Electric Winter Peak Demand (kW)]]-Tbl_MeasureList[[#This Row],[Low Measure Electric Winter Peak Demand (kW)]]</f>
        <v>-0.98977948226270374</v>
      </c>
      <c r="IQ17" s="152">
        <f ca="1">Tbl_MeasureList[[#This Row],[Code (old fuel) Electric Summer Peak Demand (kW)]]-Tbl_MeasureList[[#This Row],[Low Measure Electric Summer Peak Demand (kW)]]</f>
        <v>0.58600000000000063</v>
      </c>
      <c r="IR17" s="204">
        <f ca="1">Tbl_MeasureList[[#This Row],[Code (old fuel) Natural Gas Annual Consumption (therms/yr)]]-Tbl_MeasureList[[#This Row],[Low Measure Natural Gas Annual Consumption (therms/yr)]]</f>
        <v>0</v>
      </c>
      <c r="IS17" s="153">
        <f ca="1">Tbl_MeasureList[[#This Row],[Code (old fuel) Propane Annual Consumption (MMBtu/yr)]]-Tbl_MeasureList[[#This Row],[Low Measure Propane Annual Consumption (MMBtu/yr)]]</f>
        <v>75.644521892916714</v>
      </c>
      <c r="IT17" s="204">
        <f ca="1">Tbl_MeasureList[[#This Row],[Code (old fuel) Oil Annual Consumption (MMBtu/yr)]]-Tbl_MeasureList[[#This Row],[Low Measure Oil Annual Consumption (MMBtu/yr)]]</f>
        <v>0</v>
      </c>
      <c r="IU17" s="204">
        <f ca="1">Tbl_MeasureList[[#This Row],[Code (old fuel) Energy Consumption on MMBtu Basis (MMBtu/yr)]]-Tbl_MeasureList[[#This Row],[Low Measure Energy Consumption on MMBtu Basis (MMBtu/yr)]]</f>
        <v>52.555720717803617</v>
      </c>
      <c r="IV17" s="204">
        <f ca="1">Tbl_MeasureList[[#This Row],[Code (old fuel) Carbon Emissions, Site (tons CO2/yr)]]-Tbl_MeasureList[[#This Row],[Low Measure Carbon Emissions, Site (tons CO2/yr)]]</f>
        <v>5.2572942715577113</v>
      </c>
      <c r="IW17" s="260">
        <f ca="1">Tbl_MeasureList[[#This Row],[Code (old fuel) Carbon Emissions, Source (tons CO2/yr)]]-Tbl_MeasureList[[#This Row],[Low Measure Carbon Emissions, Source (tons CO2/yr)]]</f>
        <v>2.8674815450035087</v>
      </c>
      <c r="IX17" s="27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1637.8503414696124</v>
      </c>
      <c r="IY17" s="20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11417.700429590324</v>
      </c>
      <c r="IZ17"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-5466.2348171538597</v>
      </c>
      <c r="JA17"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-5974.6122084582075</v>
      </c>
      <c r="JB17"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508.37739130434784</v>
      </c>
      <c r="JC17"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-1.0947794822627037</v>
      </c>
      <c r="JD17"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0.58600000000000063</v>
      </c>
      <c r="JE17"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0</v>
      </c>
      <c r="JF17" s="1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75.644521892916714</v>
      </c>
      <c r="JG17"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0</v>
      </c>
      <c r="JH17"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56.993728696787741</v>
      </c>
      <c r="JI17"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5.2572942715577113</v>
      </c>
      <c r="JJ17"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3.3268387835316542</v>
      </c>
      <c r="JK17" s="432">
        <f>Tbl_MeasureList[[#This Row],[ER (Retire) Electric Annual Consumption Savings (kWh/yr)]]*COAL_BTU_PER_SITE_KWH/Btu_per_MMBtu</f>
        <v>3.1976642694546462E-2</v>
      </c>
      <c r="JL17" s="428">
        <f>Tbl_MeasureList[[#This Row],[ER (Retire) Electric Annual Consumption Savings (kWh/yr)]]*COAL_LBS_PER_SITE_KWH</f>
        <v>2.8049686574163557</v>
      </c>
      <c r="JM17" s="427">
        <f>Tbl_MeasureList[[#This Row],[ER (Retire) Electric Annual Consumption Savings (kWh/yr)]]*OIL_BTU_PER_SITE_KWH/Btu_per_MMBtu</f>
        <v>3.6811330810784401E-2</v>
      </c>
      <c r="JN17" s="428">
        <f>Tbl_MeasureList[[#This Row],[ER (Retire) Electric Annual Consumption Savings (kWh/yr)]]*OIL_GAL_PER_SITE_KWH</f>
        <v>0.26685512929634558</v>
      </c>
      <c r="JO17" s="427">
        <f>Tbl_MeasureList[[#This Row],[ER (Retire) Oil Annual Consumption Savings (MMBtu/yr)]]*Btu_per_MMBtu/OIL_BTU_PER_GAL</f>
        <v>0</v>
      </c>
      <c r="JP17" s="428">
        <f ca="1">Tbl_MeasureList[[#This Row],[Current ER (Retire) Oil Source Fuel Savings (gallons oil/year)]]+Tbl_MeasureList[[#This Row],[Current ER Total Low Measure Oil Site Fuel Savings (gallons oil/year)]]</f>
        <v>0.26685512929634558</v>
      </c>
      <c r="JQ17" s="427">
        <f>Tbl_MeasureList[[#This Row],[ER (Retire) Electric Annual Consumption Savings (kWh/yr)]]*GAS_BTU_PER_SITE_KWH/Btu_per_MMBtu</f>
        <v>1.1887818087876516</v>
      </c>
      <c r="JR17" s="429">
        <f>Tbl_MeasureList[[#This Row],[ER (Retire) Electric Annual Consumption Savings (kWh/yr)]]*GAS_CUFT_PER_SITE_KWH/1000</f>
        <v>1.1552787257411581</v>
      </c>
      <c r="JS17" s="430">
        <f>Tbl_MeasureList[[#This Row],[ER (Retire) Natural Gas Annual Consumption Savings (therms/yr)]]*Btu_per_MMBtu/(GAS_BTU_PER_CUFT*Therm_per_MMBtu*1000)</f>
        <v>0</v>
      </c>
      <c r="JT17" s="431">
        <f ca="1">Tbl_MeasureList[[#This Row],[Current ER (Retire) Gas Source Fuel Savings (1,000 cu.ft. gas/year)]]+Tbl_MeasureList[[#This Row],[Current ER Total Low Measure Gas Site Fuel Savings (1,000 cu.ft gas/year)]]</f>
        <v>1.1552787257411581</v>
      </c>
      <c r="JU17" s="432">
        <f ca="1">Tbl_MeasureList[[#This Row],[ER (EE) Low Measure Electric Annual Consumption Savings (kWh/yr)]]*COAL_BTU_PER_SITE_KWH/Btu_per_MMBtu</f>
        <v>-0.74485646048102949</v>
      </c>
      <c r="JV17" s="428">
        <f ca="1">Tbl_MeasureList[[#This Row],[ER (EE) Low Measure Electric Annual Consumption Savings (kWh/yr)]]*COAL_LBS_PER_SITE_KWH</f>
        <v>-65.33828600710784</v>
      </c>
      <c r="JW17" s="427">
        <f ca="1">Tbl_MeasureList[[#This Row],[ER (EE) Low Measure Electric Annual Consumption Savings (kWh/yr)]]*OIL_BTU_PER_SITE_KWH/Btu_per_MMBtu</f>
        <v>-0.85747455839050302</v>
      </c>
      <c r="JX17" s="428">
        <f ca="1">Tbl_MeasureList[[#This Row],[ER (EE) Low Measure Electric Annual Consumption Savings (kWh/yr)]]*OIL_GAL_PER_SITE_KWH</f>
        <v>-6.2160611721374677</v>
      </c>
      <c r="JY17" s="427">
        <f ca="1">Tbl_MeasureList[[#This Row],[ER (EE) Low Measure Oil Annual Consumption Savings (MMBtu/yr)]]*Btu_per_MMBtu/OIL_BTU_PER_GAL</f>
        <v>0</v>
      </c>
      <c r="JZ17" s="428">
        <f ca="1">Tbl_MeasureList[[#This Row],[Current ER (EE) Low Measure Oil Source Fuel Savings (gallons oil/year)]]+Tbl_MeasureList[[#This Row],[Current ER (EE) Low Measure Oil Site Fuel Savings (gallons oil/year)]]</f>
        <v>-6.2160611721374677</v>
      </c>
      <c r="KA17" s="427">
        <f ca="1">Tbl_MeasureList[[#This Row],[ER (EE) Low Measure Electric Annual Consumption Savings (kWh/yr)]]*GAS_BTU_PER_SITE_KWH/Btu_per_MMBtu</f>
        <v>-27.691206323196063</v>
      </c>
      <c r="KB17" s="429">
        <f ca="1">Tbl_MeasureList[[#This Row],[ER (EE) Low Measure Electric Annual Consumption Savings (kWh/yr)]]*GAS_CUFT_PER_SITE_KWH/1000</f>
        <v>-26.91079331700298</v>
      </c>
      <c r="KC17" s="430">
        <f ca="1">Tbl_MeasureList[[#This Row],[ER (EE) Low Measure Natural Gas Annual Consumption Savings (therms/yr)]]*Btu_per_MMBtu/(GAS_BTU_PER_CUFT*Therm_per_MMBtu*1000)</f>
        <v>0</v>
      </c>
      <c r="KD17" s="431">
        <f ca="1">Tbl_MeasureList[[#This Row],[Current ER (EE) Low Measure Gas Source Fuel Savings (1,000 cu.ft. gas/year)]]+Tbl_MeasureList[[#This Row],[Current ER (EE) Low Measure Gas Site Fuel Savings (1,000 cu.ft gas/year)]]</f>
        <v>-26.91079331700298</v>
      </c>
      <c r="KE17" s="432">
        <f ca="1">IFERROR(Tbl_MeasureList[[#This Row],[ER (EE) High Measure Electric Annual Consumption Savings (kWh/yr)]]*COAL_BTU_PER_SITE_KWH/Btu_per_MMBtu,"-")</f>
        <v>-0.60168406752128589</v>
      </c>
      <c r="KF17" s="428">
        <f ca="1">IFERROR(Tbl_MeasureList[[#This Row],[ER (EE) High Measure Electric Annual Consumption Savings (kWh/yr)]]*COAL_LBS_PER_SITE_KWH,"-")</f>
        <v>-52.779304168533841</v>
      </c>
      <c r="KG17" s="427">
        <f ca="1">IFERROR(Tbl_MeasureList[[#This Row],[ER (EE) High Measure Electric Annual Consumption Savings (kWh/yr)]]*OIL_BTU_PER_SITE_KWH/Btu_per_MMBtu,"-")</f>
        <v>-0.69265530670866249</v>
      </c>
      <c r="KH17" s="428">
        <f ca="1">IFERROR(Tbl_MeasureList[[#This Row],[ER (EE) High Measure Electric Annual Consumption Savings (kWh/yr)]]*OIL_GAL_PER_SITE_KWH,"-")</f>
        <v>-5.0212425728273038</v>
      </c>
      <c r="KI17" s="427">
        <f ca="1">IFERROR(Tbl_MeasureList[[#This Row],[ER (EE) High Measure Oil Annual Consumption Savings (MMBtu/yr)]]*Btu_per_MMBtu/OIL_BTU_PER_GAL,"-")</f>
        <v>0</v>
      </c>
      <c r="KJ17" s="428">
        <f ca="1">IFERROR(Tbl_MeasureList[[#This Row],[Current ER (EE) High Measure Oil Source Fuel Savings (gallons oil/year)]]+Tbl_MeasureList[[#This Row],[Current ER (EE) High Measure Oil Site Fuel Savings (gallons oil/year)]],"-")</f>
        <v>-5.0212425728273038</v>
      </c>
      <c r="KK17" s="427">
        <f ca="1">IFERROR(Tbl_MeasureList[[#This Row],[ER (EE) High Measure Electric Annual Consumption Savings (kWh/yr)]]*GAS_BTU_PER_SITE_KWH/Btu_per_MMBtu,"-")</f>
        <v>-22.368548222501595</v>
      </c>
      <c r="KL17" s="429">
        <f ca="1">IFERROR(Tbl_MeasureList[[#This Row],[ER (EE) High Measure Electric Annual Consumption Savings (kWh/yr)]]*GAS_CUFT_PER_SITE_KWH/1000,"-")</f>
        <v>-21.738142101556456</v>
      </c>
      <c r="KM17" s="430">
        <f ca="1">IFERROR(Tbl_MeasureList[[#This Row],[ER (EE) High Measure Natural Gas Annual Consumption Savings (therms/yr)]]*Btu_per_MMBtu/(GAS_BTU_PER_CUFT*Therm_per_MMBtu*1000),"-")</f>
        <v>0</v>
      </c>
      <c r="KN17" s="431">
        <f ca="1">IFERROR(Tbl_MeasureList[[#This Row],[Current ER (EE) High Measure Gas Source Fuel Savings (1,000 cu.ft. gas/year)]]+Tbl_MeasureList[[#This Row],[Current ER (EE) High Measure Gas Site Fuel Savings (1,000 cu.ft gas/year)]],"-")</f>
        <v>-21.738142101556456</v>
      </c>
    </row>
    <row r="18" spans="2:300" x14ac:dyDescent="0.2">
      <c r="B18" s="16"/>
      <c r="C18" s="2" t="s">
        <v>92</v>
      </c>
      <c r="D18" s="12" t="str">
        <f>INDEX(Tbl_BaselineSummary[Equipment ID],MATCH(Tbl_MeasureList[[#This Row],[Baseline ID]],Tbl_BaselineSummary[Baseline ID],0))</f>
        <v>EQUI038</v>
      </c>
      <c r="E18" s="11" t="str">
        <f>INDEX(Tbl_EquipmentDefinitions[Equipment Name],MATCH('Measure List'!$D18,Tbl_EquipmentDefinitions[Equipment ID],0))</f>
        <v>Room AC/No AC Blend+Electric Baseboard</v>
      </c>
      <c r="F18" s="3" t="s">
        <v>938</v>
      </c>
      <c r="G18" s="11" t="str">
        <f>INDEX(Tbl_EquipmentDefinitions[Function],MATCH('Measure List'!$D18,Tbl_EquipmentDefinitions[Equipment ID],0))</f>
        <v>Cool+Heat</v>
      </c>
      <c r="H18" s="3" t="s">
        <v>111</v>
      </c>
      <c r="I18" s="3" t="s">
        <v>36</v>
      </c>
      <c r="J18" s="11" t="str">
        <f>INDEX(Tbl_EquipmentDefinitions[Equipment Name],MATCH('Measure List'!$I18,Tbl_EquipmentDefinitions[Equipment ID],0))</f>
        <v>Electric Baseboard+DMSHP</v>
      </c>
      <c r="K18" s="11">
        <f>INDEX(Tbl_EquipmentDefinitions[],MATCH(Tbl_MeasureList[[#This Row],[Replacement ID]],Tbl_EquipmentDefinitions[[Equipment ID]:[Equipment ID]],0),MATCH(Tbl_MeasureList[[#Headers],[New Unit Equipment Life (years)]],Tbl_EquipmentDefinitions[#Headers],0))</f>
        <v>18</v>
      </c>
      <c r="L18" s="11">
        <f>INDEX(Tbl_EquipmentDefinitions[],MATCH(Tbl_MeasureList[[#This Row],[Baseline Equipment ID]],Tbl_EquipmentDefinitions[[Equipment ID]:[Equipment ID]],0),MATCH(Tbl_MeasureList[[#Headers],[Remaining Life for Early Replacement (years)]],Tbl_EquipmentDefinitions[#Headers],0))</f>
        <v>5</v>
      </c>
      <c r="M18" s="12" t="str">
        <f>INDEX(Tbl_EquipmentDefinitions[Function],MATCH('Measure List'!$I18,Tbl_EquipmentDefinitions[Equipment ID],0))</f>
        <v>Cool+Heat</v>
      </c>
      <c r="N18" s="368" t="s">
        <v>750</v>
      </c>
      <c r="O18" s="14" t="str">
        <f t="shared" si="0"/>
        <v>OK</v>
      </c>
      <c r="P18" s="12" t="str">
        <f ca="1">IFERROR(INDIRECT(Tbl_MeasureList[[#This Row],[Measure ID]]&amp;"!D5"),"No tab")</f>
        <v>3. Ready</v>
      </c>
      <c r="Q18" s="11"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Electric</v>
      </c>
      <c r="R18" s="12"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Electric</v>
      </c>
      <c r="S18" s="11"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Electric</v>
      </c>
      <c r="T18" s="247"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Electric</v>
      </c>
      <c r="U18" s="248">
        <f>INDEX(Tbl_BaselineSummary[Baseline Annual Energy Cost (USD)],MATCH(Tbl_MeasureList[[#This Row],[Baseline ID]],Tbl_BaselineSummary[Baseline ID],0))</f>
        <v>4733.7507695193435</v>
      </c>
      <c r="V18" s="249">
        <f>INDEX(Tbl_BaselineSummary[Baseline Electric Annual Consumption  (kWh)],MATCH(Tbl_MeasureList[[#This Row],[Baseline ID]],Tbl_BaselineSummary[Baseline ID],0))</f>
        <v>23932.005912635712</v>
      </c>
      <c r="W18" s="249">
        <f>INDEX(Tbl_BaselineSummary[Baseline Electric Winter Consumption (kWh)],MATCH(Tbl_MeasureList[[#This Row],[Baseline ID]],Tbl_BaselineSummary[Baseline ID],0))</f>
        <v>22479.484173505276</v>
      </c>
      <c r="X18" s="249">
        <f>INDEX(Tbl_BaselineSummary[Baseline Electric Summer Consumption (kWh)],MATCH(Tbl_MeasureList[[#This Row],[Baseline ID]],Tbl_BaselineSummary[Baseline ID],0))</f>
        <v>1452.521739130435</v>
      </c>
      <c r="Y18" s="250">
        <f>INDEX(Tbl_BaselineSummary[Baseline Electric Baseline Winter Peak Demand (kW)],MATCH(Tbl_MeasureList[[#This Row],[Baseline ID]],Tbl_BaselineSummary[Baseline ID],0))</f>
        <v>3.75</v>
      </c>
      <c r="Z18" s="452">
        <f>INDEX(Tbl_BaselineSummary[Baseline Electric Baseline Summer Peak Demand (kW)],MATCH(Tbl_MeasureList[[#This Row],[Baseline ID]],Tbl_BaselineSummary[Baseline ID],0))</f>
        <v>1.9200000000000002</v>
      </c>
      <c r="AA18" s="458">
        <f>INDEX(Tbl_BaselineSummary[Baseline Natural Gas Annual Consumption  (therms)],MATCH(Tbl_MeasureList[[#This Row],[Baseline ID]],Tbl_BaselineSummary[Baseline ID],0))</f>
        <v>0</v>
      </c>
      <c r="AB18" s="455">
        <f>INDEX(Tbl_BaselineSummary[Baseline Propane Annual Consumption  (MMBtu)],MATCH(Tbl_MeasureList[[#This Row],[Baseline ID]],Tbl_BaselineSummary[Baseline ID],0))</f>
        <v>0</v>
      </c>
      <c r="AC18" s="252">
        <f>INDEX(Tbl_BaselineSummary[Baseline Oil Annual Consumption  (MMBtu)],MATCH(Tbl_MeasureList[[#This Row],[Baseline ID]],Tbl_BaselineSummary[Baseline ID],0))</f>
        <v>0</v>
      </c>
      <c r="AD18" s="371">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81.656004173913047</v>
      </c>
      <c r="AE18" s="460">
        <f>(lbCO2_per_Therm_Gas*Tbl_MeasureList[[#This Row],[Baseline Natural Gas Annual Consumption (therms/yr)]]+lbCO2_per_MMBtu_Prop*Tbl_MeasureList[[#This Row],[Baseline Propane Annual Consumption (MMBtu/yr)]]+lbCO2_per_MMBtu_Oil*Tbl_MeasureList[[#This Row],[Baseline Oil Annual Consumption (MMBtu/yr)]])*Lbs_per_ShortTon</f>
        <v>0</v>
      </c>
      <c r="AF18" s="463">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8.4518272081064278</v>
      </c>
      <c r="AG18" s="465">
        <f>INDEX(Tbl_BaselineSummary[Code Annual Energy Cost (USD)],MATCH(Tbl_MeasureList[[#This Row],[Baseline ID]],Tbl_BaselineSummary[Baseline ID],0))</f>
        <v>4963.5978095193432</v>
      </c>
      <c r="AH18" s="468">
        <f>INDEX(Tbl_BaselineSummary[Deferred Replacement Credit (USD)],MATCH(Tbl_MeasureList[[#This Row],[Baseline ID]],Tbl_BaselineSummary[Baseline ID],0))</f>
        <v>884.37841048184657</v>
      </c>
      <c r="AI18" s="201">
        <f>INDEX(Tbl_BaselineSummary[A/C-only Deferred Replacement Credit (USD)],MATCH(Tbl_MeasureList[[#This Row],[Baseline ID]],Tbl_BaselineSummary[Baseline ID],0))</f>
        <v>540.79957040967588</v>
      </c>
      <c r="AJ18" s="468">
        <f>INDEX(Tbl_BaselineSummary[Code Installed Costs (USD)],MATCH(Tbl_MeasureList[[#This Row],[Baseline ID]],Tbl_BaselineSummary[Baseline ID],0))</f>
        <v>1389.7826086956522</v>
      </c>
      <c r="AK18" s="201">
        <f>INDEX(Tbl_BaselineSummary[Code A/C-only Installed Cost (USD)],MATCH(Tbl_MeasureList[[#This Row],[Baseline ID]],Tbl_BaselineSummary[Baseline ID],0))</f>
        <v>834.78260869565224</v>
      </c>
      <c r="AL18" s="86">
        <f>INDEX(Tbl_BaselineSummary[Code Electric Annual Consumption (kWh)],MATCH(Tbl_MeasureList[[#This Row],[Baseline ID]],Tbl_BaselineSummary[Baseline ID],0))</f>
        <v>25094.023303940059</v>
      </c>
      <c r="AM18" s="86">
        <f>INDEX(Tbl_BaselineSummary[Code Electric Winter Consumption (kWh)],MATCH(Tbl_MeasureList[[#This Row],[Baseline ID]],Tbl_BaselineSummary[Baseline ID],0))</f>
        <v>22479.484173505276</v>
      </c>
      <c r="AN18" s="86">
        <f>INDEX(Tbl_BaselineSummary[Code Electric Summer Consumption (kWh)],MATCH(Tbl_MeasureList[[#This Row],[Baseline ID]],Tbl_BaselineSummary[Baseline ID],0))</f>
        <v>1162.0173913043479</v>
      </c>
      <c r="AO18" s="152">
        <f>INDEX(Tbl_BaselineSummary[Code Electric Winter Peak Demand (kW)],MATCH(Tbl_MeasureList[[#This Row],[Baseline ID]],Tbl_BaselineSummary[Baseline ID],0))</f>
        <v>3.75</v>
      </c>
      <c r="AP18" s="470">
        <f>INDEX(Tbl_BaselineSummary[Code Electric Summer Peak Demand (kW)],MATCH(Tbl_MeasureList[[#This Row],[Baseline ID]],Tbl_BaselineSummary[Baseline ID],0))</f>
        <v>1.5360000000000005</v>
      </c>
      <c r="AQ18" s="467">
        <f>INDEX(Tbl_BaselineSummary[Code Natural Gas Annual Consumption (therms)],MATCH(Tbl_MeasureList[[#This Row],[Baseline ID]],Tbl_BaselineSummary[Baseline ID],0))</f>
        <v>0</v>
      </c>
      <c r="AR18" s="472">
        <f>INDEX(Tbl_BaselineSummary[Code Propane Annual Consumption (MMBtu)],MATCH(Tbl_MeasureList[[#This Row],[Baseline ID]],Tbl_BaselineSummary[Baseline ID],0))</f>
        <v>0</v>
      </c>
      <c r="AS18" s="467">
        <f>INDEX(Tbl_BaselineSummary[Code Oil Annual Consumption (MMBtu)],MATCH(Tbl_MeasureList[[#This Row],[Baseline ID]],Tbl_BaselineSummary[Baseline ID],0))</f>
        <v>0</v>
      </c>
      <c r="AT18" s="204">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85.620807513043488</v>
      </c>
      <c r="AU18" s="467">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0</v>
      </c>
      <c r="AV18" s="474">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8.8622052700194711</v>
      </c>
      <c r="AW18" s="248">
        <f ca="1">INDIRECT(Tbl_MeasureList[[#This Row],[Measure ID]]&amp;"!L26")</f>
        <v>2866.2020481110226</v>
      </c>
      <c r="AX18" s="477">
        <f ca="1">INDIRECT(Tbl_MeasureList[[#This Row],[Measure ID]]&amp;"!M26")</f>
        <v>11804.9</v>
      </c>
      <c r="AY18" s="481">
        <f ca="1">INDIRECT(Tbl_MeasureList[[#This Row],[Measure ID]]&amp;"!D26")</f>
        <v>14490.404692168971</v>
      </c>
      <c r="AZ18" s="481">
        <f ca="1">INDIRECT(Tbl_MeasureList[[#This Row],[Measure ID]]&amp;"!J26")</f>
        <v>13618.884692168971</v>
      </c>
      <c r="BA18" s="481">
        <f ca="1">INDIRECT(Tbl_MeasureList[[#This Row],[Measure ID]]&amp;"!I26")</f>
        <v>871.5200000000001</v>
      </c>
      <c r="BB18" s="479">
        <f ca="1">INDIRECT(Tbl_MeasureList[[#This Row],[Measure ID]]&amp;"!E26")</f>
        <v>3.75</v>
      </c>
      <c r="BC18" s="268">
        <f ca="1">INDIRECT(Tbl_MeasureList[[#This Row],[Measure ID]]&amp;"!H26")</f>
        <v>1.5200000000000002</v>
      </c>
      <c r="BD18" s="253">
        <f ca="1">INDIRECT(Tbl_MeasureList[[#This Row],[Measure ID]]&amp;"!D32")</f>
        <v>0</v>
      </c>
      <c r="BE18" s="270">
        <f ca="1">INDIRECT(Tbl_MeasureList[[#This Row],[Measure ID]]&amp;"!D38")</f>
        <v>0</v>
      </c>
      <c r="BF18" s="253">
        <f ca="1">INDIRECT(Tbl_MeasureList[[#This Row],[Measure ID]]&amp;"!D44")</f>
        <v>0</v>
      </c>
      <c r="BG18" s="460">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49.441260809680529</v>
      </c>
      <c r="BH18" s="371">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0</v>
      </c>
      <c r="BI18" s="272">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5.1174313210863946</v>
      </c>
      <c r="BJ18" s="273">
        <f ca="1">INDIRECT(Tbl_MeasureList[[#This Row],[Measure ID]]&amp;"!L27")</f>
        <v>2517.5353734208334</v>
      </c>
      <c r="BK18" s="201">
        <f ca="1">INDIRECT(Tbl_MeasureList[[#This Row],[Measure ID]]&amp;"!M27")</f>
        <v>12814.599999999999</v>
      </c>
      <c r="BL18" s="85">
        <f ca="1">INDIRECT(Tbl_MeasureList[[#This Row],[Measure ID]]&amp;"!D27")</f>
        <v>12727.681362087125</v>
      </c>
      <c r="BM18" s="85">
        <f ca="1">INDIRECT(Tbl_MeasureList[[#This Row],[Measure ID]]&amp;"!J27")</f>
        <v>12001.414695420459</v>
      </c>
      <c r="BN18" s="85">
        <f ca="1">INDIRECT(Tbl_MeasureList[[#This Row],[Measure ID]]&amp;"!I27")</f>
        <v>726.26666666666677</v>
      </c>
      <c r="BO18" s="152">
        <f ca="1">INDIRECT(Tbl_MeasureList[[#This Row],[Measure ID]]&amp;"!E27")</f>
        <v>3.75</v>
      </c>
      <c r="BP18" s="470">
        <f ca="1">INDIRECT(Tbl_MeasureList[[#This Row],[Measure ID]]&amp;"!H27")</f>
        <v>1.5200000000000002</v>
      </c>
      <c r="BQ18" s="467">
        <f ca="1">INDIRECT(Tbl_MeasureList[[#This Row],[Measure ID]]&amp;"!D33")</f>
        <v>0</v>
      </c>
      <c r="BR18" s="472">
        <f ca="1">INDIRECT(Tbl_MeasureList[[#This Row],[Measure ID]]&amp;"!D39")</f>
        <v>0</v>
      </c>
      <c r="BS18" s="467">
        <f ca="1">INDIRECT(Tbl_MeasureList[[#This Row],[Measure ID]]&amp;"!D45")</f>
        <v>0</v>
      </c>
      <c r="BT18" s="204">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43.426848807441274</v>
      </c>
      <c r="BU18" s="467">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0</v>
      </c>
      <c r="BV18" s="260">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4.4949079498346896</v>
      </c>
      <c r="BW18" s="24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2260.2557783906282</v>
      </c>
      <c r="BX18" s="26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13214.3</v>
      </c>
      <c r="BY18"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11426.975623815108</v>
      </c>
      <c r="BZ18"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10773.335623815106</v>
      </c>
      <c r="CA18"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653.6400000000001</v>
      </c>
      <c r="CB18"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3.75</v>
      </c>
      <c r="CC18"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1.5200000000000002</v>
      </c>
      <c r="CD18"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0</v>
      </c>
      <c r="CE18"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0</v>
      </c>
      <c r="CF18"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0</v>
      </c>
      <c r="CG18" s="460">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38.98884082845715</v>
      </c>
      <c r="CH18" s="37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0</v>
      </c>
      <c r="CI18" s="26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4.0355507113065441</v>
      </c>
      <c r="CJ18" s="320">
        <f ca="1">-Tbl_MeasureList[[#This Row],[Low Measure Energy Cost (USD/yr)]]+Tbl_MeasureList[[#This Row],[Baseline Energy Cost (USD/yr)]]</f>
        <v>2216.2153960985102</v>
      </c>
      <c r="CK18"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12273.800429590323</v>
      </c>
      <c r="CL18" s="249">
        <f ca="1">-Tbl_MeasureList[[#This Row],[Low Measure Electric Annual Consumption (kWh/yr)]]+Tbl_MeasureList[[#This Row],[Baseline Electric Annual Consumption (kWh/yr)]]</f>
        <v>11204.324550548587</v>
      </c>
      <c r="CM18" s="249">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10478.069478084817</v>
      </c>
      <c r="CN18" s="249">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726.25507246376822</v>
      </c>
      <c r="CO18" s="268">
        <f ca="1">-Tbl_MeasureList[[#This Row],[Low Measure Electric Winter Peak Demand (kW)]]+Tbl_MeasureList[[#This Row],[Baseline Electric Winter Peak Demand (kW)]]</f>
        <v>0</v>
      </c>
      <c r="CP18" s="479">
        <f ca="1">-Tbl_MeasureList[[#This Row],[Low Measure Electric Summer Peak Demand (kW)]]+Tbl_MeasureList[[#This Row],[Baseline Electric Summer Peak Demand (kW)]]</f>
        <v>0.39999999999999991</v>
      </c>
      <c r="CQ18" s="481">
        <f ca="1">-Tbl_MeasureList[[#This Row],[Low Measure Natural Gas Annual Consumption (therms/yr)]]+Tbl_MeasureList[[#This Row],[Baseline Natural Gas Annual Consumption (therms/yr)]]</f>
        <v>0</v>
      </c>
      <c r="CR18" s="490">
        <f ca="1">-Tbl_MeasureList[[#This Row],[Low Measure Propane Annual Consumption (MMBtu/yr)]]+Tbl_MeasureList[[#This Row],[Baseline Propane Annual Consumption (MMBtu/yr)]]</f>
        <v>0</v>
      </c>
      <c r="CS18" s="252">
        <f ca="1">-Tbl_MeasureList[[#This Row],[Low Measure Oil Annual Consumption (MMBtu/yr)]]+Tbl_MeasureList[[#This Row],[Baseline Oil Annual Consumption (MMBtu/yr)]]</f>
        <v>0</v>
      </c>
      <c r="CT18"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38.22915536647178</v>
      </c>
      <c r="CU18" s="487">
        <f ca="1">-Tbl_MeasureList[[#This Row],[Low Measure Carbon Emissions, Site (tons CO2/yr)]]+Tbl_MeasureList[[#This Row],[Baseline Carbon Emissions, Site (tons CO2/yr)]]</f>
        <v>0</v>
      </c>
      <c r="CV18" s="491">
        <f ca="1">-Tbl_MeasureList[[#This Row],[Low Measure Carbon Emissions, Source (tons CO2/yr)]]+Tbl_MeasureList[[#This Row],[Baseline Carbon Emissions, Source (tons CO2/yr)]]</f>
        <v>3.9569192582717383</v>
      </c>
      <c r="CW18"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2473.4949911287154</v>
      </c>
      <c r="CX18"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12673.500429590324</v>
      </c>
      <c r="CY18"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12505.030288820604</v>
      </c>
      <c r="CZ18"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11706.14854969017</v>
      </c>
      <c r="DA18"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798.88173913043488</v>
      </c>
      <c r="DB18"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0</v>
      </c>
      <c r="DC18"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0.39999999999999991</v>
      </c>
      <c r="DD18"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0</v>
      </c>
      <c r="DE18"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0</v>
      </c>
      <c r="DF18"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0</v>
      </c>
      <c r="DG18" s="270">
        <f ca="1">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42.667163345455904</v>
      </c>
      <c r="DH18"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0</v>
      </c>
      <c r="DI18"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4.4162764967998838</v>
      </c>
      <c r="DJ18" s="320">
        <f ca="1">-Tbl_MeasureList[[#This Row],[Low Measure Energy Cost (USD/yr)]]+Tbl_MeasureList[[#This Row],[Code (old fuel) Energy Cost (USD/yr)]]</f>
        <v>2446.0624360985098</v>
      </c>
      <c r="DK18" s="267">
        <f ca="1">Tbl_MeasureList[[#This Row],[Low Measure Installed Costs (USD)]]-Tbl_MeasureList[[#This Row],[Code (old fuel) Installed Costs (USD)]]</f>
        <v>11424.817391304347</v>
      </c>
      <c r="DL18" s="249">
        <f ca="1">-Tbl_MeasureList[[#This Row],[Low Measure Electric Annual Consumption (kWh/yr)]]+Tbl_MeasureList[[#This Row],[Code (old fuel) Electric Annual Consumption (kWh/yr)]]</f>
        <v>12366.341941852934</v>
      </c>
      <c r="DM18" s="249">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10478.069478084817</v>
      </c>
      <c r="DN18" s="249">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435.75072463768117</v>
      </c>
      <c r="DO18" s="268">
        <f ca="1">-Tbl_MeasureList[[#This Row],[Low Measure Electric Winter Peak Demand (kW)]]+Tbl_MeasureList[[#This Row],[Code (old fuel) Electric Winter Peak Demand (kW)]]</f>
        <v>0</v>
      </c>
      <c r="DP18" s="479">
        <f ca="1">-Tbl_MeasureList[[#This Row],[Low Measure Electric Summer Peak Demand (kW)]]+Tbl_MeasureList[[#This Row],[Code (old fuel) Electric Summer Peak Demand (kW)]]</f>
        <v>1.6000000000000236E-2</v>
      </c>
      <c r="DQ18" s="481">
        <f ca="1">-Tbl_MeasureList[[#This Row],[Low Measure Natural Gas Annual Consumption (therms/yr)]]+Tbl_MeasureList[[#This Row],[Code (old fuel) Natural Gas Annual Consumption (therms/yr)]]</f>
        <v>0</v>
      </c>
      <c r="DR18" s="490">
        <f ca="1">-Tbl_MeasureList[[#This Row],[Low Measure Propane Annual Consumption (MMBtu/yr)]]+Tbl_MeasureList[[#This Row],[Code (old fuel) Propane Annual Consumption (MMBtu/yr)]]</f>
        <v>0</v>
      </c>
      <c r="DS18" s="252">
        <f ca="1">-Tbl_MeasureList[[#This Row],[Low Measure Oil Annual Consumption (MMBtu/yr)]]+Tbl_MeasureList[[#This Row],[Code (old fuel) Oil Annual Consumption (MMBtu/yr)]]</f>
        <v>0</v>
      </c>
      <c r="DT18"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42.193958705602213</v>
      </c>
      <c r="DU18" s="487">
        <f ca="1">-Tbl_MeasureList[[#This Row],[Low Measure Carbon Emissions, Site (tons CO2/yr)]]+Tbl_MeasureList[[#This Row],[Code (old fuel) Carbon Emissions, Site (tons CO2/yr)]]</f>
        <v>0</v>
      </c>
      <c r="DV18" s="491">
        <f ca="1">-Tbl_MeasureList[[#This Row],[Low Measure Carbon Emissions, Source (tons CO2/yr)]]+Tbl_MeasureList[[#This Row],[Code (old fuel) Carbon Emissions, Source (tons CO2/yr)]]</f>
        <v>4.3672973201847816</v>
      </c>
      <c r="DW18"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(old fuel) Energy Cost (USD/yr)]],
        "-")</f>
        <v>2703.342031128715</v>
      </c>
      <c r="DX18"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11824.517391304347</v>
      </c>
      <c r="DY18"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13667.047680124952</v>
      </c>
      <c r="DZ18"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11706.14854969017</v>
      </c>
      <c r="EA18"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508.37739130434784</v>
      </c>
      <c r="EB18"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0</v>
      </c>
      <c r="EC18"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1.6000000000000236E-2</v>
      </c>
      <c r="ED18"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0</v>
      </c>
      <c r="EE18"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0</v>
      </c>
      <c r="EF18"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0</v>
      </c>
      <c r="EG18" s="270">
        <f ca="1">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46.631966684586338</v>
      </c>
      <c r="EH18"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0</v>
      </c>
      <c r="EI18"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4.826654558712927</v>
      </c>
      <c r="EJ18" s="477">
        <f ca="1">Tbl_MeasureList[[#This Row],[Code (old fuel) Energy Cost (USD/yr)]]-Tbl_MeasureList[[#This Row],[Code (new fuel) Energy Cost (USD/yr)]]</f>
        <v>2097.3957614083206</v>
      </c>
      <c r="EK18" s="496">
        <f ca="1">Tbl_MeasureList[[#This Row],[Code (old fuel) Electric Annual Consumption (kWh/yr)]]-Tbl_MeasureList[[#This Row],[Code (new fuel) Electric Annual Consumption (kWh/yr)]]</f>
        <v>10603.618611771088</v>
      </c>
      <c r="EL18" s="496">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8860.599481336305</v>
      </c>
      <c r="EM18" s="496">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290.49739130434784</v>
      </c>
      <c r="EN18" s="500">
        <f ca="1">Tbl_MeasureList[[#This Row],[Code (old fuel) Electric Winter Peak Demand (kW)]]-Tbl_MeasureList[[#This Row],[Code (new fuel) Electric Winter Peak Demand (kW)]]</f>
        <v>0</v>
      </c>
      <c r="EO18" s="493">
        <f ca="1">Tbl_MeasureList[[#This Row],[Code (old fuel) Electric Summer Peak Demand (kW)]]-Tbl_MeasureList[[#This Row],[Code (new fuel) Electric Summer Peak Demand (kW)]]</f>
        <v>1.6000000000000236E-2</v>
      </c>
      <c r="EP18" s="502">
        <f ca="1">Tbl_MeasureList[[#This Row],[Code (old fuel) Natural Gas Annual Consumption (therms/yr)]]-Tbl_MeasureList[[#This Row],[Code (new fuel) Natural Gas Annual Consumption (therms/yr)]]</f>
        <v>0</v>
      </c>
      <c r="EQ18" s="215">
        <f ca="1">Tbl_MeasureList[[#This Row],[Code (old fuel) Propane Annual Consumption (MMBtu/yr)]]-Tbl_MeasureList[[#This Row],[Code (new fuel) Propane Annual Consumption (MMBtu/yr)]]</f>
        <v>0</v>
      </c>
      <c r="ER18" s="502">
        <f ca="1">Tbl_MeasureList[[#This Row],[Code (old fuel) Oil Annual Consumption (MMBtu/yr)]]-Tbl_MeasureList[[#This Row],[Code (new fuel) Oil Annual Consumption (MMBtu/yr)]]</f>
        <v>0</v>
      </c>
      <c r="ES18" s="215">
        <f ca="1">Tbl_MeasureList[[#This Row],[Code (old fuel) Energy Consumption on MMBtu Basis (MMBtu/yr)]]-Tbl_MeasureList[[#This Row],[Code (new fuel) Energy Consumption on MMBtu Basis (MMBtu/yr)]]</f>
        <v>36.179546703362959</v>
      </c>
      <c r="ET18" s="502">
        <f ca="1">Tbl_MeasureList[[#This Row],[Code (old fuel) Carbon Emissions, Site (tons CO2/yr)]]-Tbl_MeasureList[[#This Row],[Code (new fuel) Carbon Emissions, Site (tons CO2/yr)]]</f>
        <v>0</v>
      </c>
      <c r="EU18" s="498">
        <f ca="1">Tbl_MeasureList[[#This Row],[Code (old fuel) Carbon Emissions, Source (tons CO2/yr)]]-Tbl_MeasureList[[#This Row],[Code (new fuel) Carbon Emissions, Source (tons CO2/yr)]]</f>
        <v>3.7447739489330765</v>
      </c>
      <c r="EV18" s="450">
        <f ca="1">Tbl_MeasureList[[#This Row],[ER Total Low Measure Electric Annual Consumption Savings (kWh/yr)]]*COAL_BTU_PER_SITE_KWH/Btu_per_MMBtu</f>
        <v>1.2332919815751344</v>
      </c>
      <c r="EW18" s="411">
        <f ca="1">Tbl_MeasureList[[#This Row],[ER Total Low Measure Electric Annual Consumption Savings (kWh/yr)]]*COAL_LBS_PER_SITE_KWH</f>
        <v>108.18350715571354</v>
      </c>
      <c r="EX18" s="326">
        <f ca="1">Tbl_MeasureList[[#This Row],[ER Total Low Measure Electric Annual Consumption Savings (kWh/yr)]]*OIL_BTU_PER_SITE_KWH/Btu_per_MMBtu</f>
        <v>1.4197587768584852</v>
      </c>
      <c r="EY18" s="325">
        <f ca="1">Tbl_MeasureList[[#This Row],[ER Total Low Measure Electric Annual Consumption Savings (kWh/yr)]]*OIL_GAL_PER_SITE_KWH</f>
        <v>10.292209046058103</v>
      </c>
      <c r="EZ18" s="326">
        <f ca="1">Tbl_MeasureList[[#This Row],[ER Total Low Measure Oil Annual Consumption Savings (MMBtu/yr)]]*Btu_per_MMBtu/OIL_BTU_PER_GAL</f>
        <v>0</v>
      </c>
      <c r="FA18" s="325">
        <f ca="1">Tbl_MeasureList[[#This Row],[Current ER Total Low Measure Oil Source Fuel Savings (gallons oil/year)]]+Tbl_MeasureList[[#This Row],[Current ER Total Low Measure Oil Site Fuel Savings (gallons oil/year)]]</f>
        <v>10.292209046058103</v>
      </c>
      <c r="FB18" s="326">
        <f ca="1">Tbl_MeasureList[[#This Row],[ER Total Low Measure Electric Annual Consumption Savings (kWh/yr)]]*GAS_BTU_PER_SITE_KWH/Btu_per_MMBtu</f>
        <v>45.849562339145692</v>
      </c>
      <c r="FC18" s="327">
        <f ca="1">Tbl_MeasureList[[#This Row],[ER Total Low Measure Electric Annual Consumption Savings (kWh/yr)]]*GAS_CUFT_PER_SITE_KWH/1000</f>
        <v>44.557397802862674</v>
      </c>
      <c r="FD18" s="328">
        <f ca="1">Tbl_MeasureList[[#This Row],[ER Total Low Measure Natural Gas Annual Consumption Savings (therms/yr)]]*Btu_per_MMBtu/(GAS_BTU_PER_CUFT*Therm_per_MMBtu*1000)</f>
        <v>0</v>
      </c>
      <c r="FE18" s="329">
        <f ca="1">Tbl_MeasureList[[#This Row],[Current ER Total Low Measure Gas Source Fuel Savings (1,000 cu.ft. gas/year)]]+Tbl_MeasureList[[#This Row],[Current ER Total Low Measure Gas Site Fuel Savings (1,000 cu.ft gas/year)]]</f>
        <v>44.557397802862674</v>
      </c>
      <c r="FF18" s="324">
        <f ca="1">IFERROR(Tbl_MeasureList[[#This Row],[ER Total High Measure Electric Annual Consumption Savings (kWh/yr)]]*COAL_BTU_PER_SITE_KWH/Btu_per_MMBtu,"-")</f>
        <v>1.3764643745348779</v>
      </c>
      <c r="FG18" s="325">
        <f ca="1">IFERROR(Tbl_MeasureList[[#This Row],[ER Total High Measure Electric Annual Consumption Savings (kWh/yr)]]*COAL_LBS_PER_SITE_KWH,"-")</f>
        <v>120.74248899428754</v>
      </c>
      <c r="FH18" s="326">
        <f ca="1">IFERROR(Tbl_MeasureList[[#This Row],[ER Total High Measure Electric Annual Consumption Savings (kWh/yr)]]*OIL_BTU_PER_SITE_KWH/Btu_per_MMBtu,"-")</f>
        <v>1.5845780285403255</v>
      </c>
      <c r="FI18" s="325">
        <f ca="1">IFERROR(Tbl_MeasureList[[#This Row],[ER Total High Measure Electric Annual Consumption Savings (kWh/yr)]]*OIL_GAL_PER_SITE_KWH,"-")</f>
        <v>11.487027645368267</v>
      </c>
      <c r="FJ18" s="326">
        <f ca="1">IFERROR(Tbl_MeasureList[[#This Row],[ER Total High Measure Oil Annual Consumption Savings (MMBtu/yr)]]*Btu_per_MMBtu/OIL_BTU_PER_GAL,"-")</f>
        <v>0</v>
      </c>
      <c r="FK18" s="325">
        <f ca="1">IFERROR(Tbl_MeasureList[[#This Row],[Current ER Total High Measure Oil Source Fuel Savings (gallons oil/year)]]+Tbl_MeasureList[[#This Row],[Current ER Total High Measure Oil Site Fuel Savings (gallons oil/year)]],"-")</f>
        <v>11.487027645368267</v>
      </c>
      <c r="FL18" s="326">
        <f ca="1">IFERROR(Tbl_MeasureList[[#This Row],[ER Total High Measure Electric Annual Consumption Savings (kWh/yr)]]*GAS_BTU_PER_SITE_KWH/Btu_per_MMBtu,"-")</f>
        <v>51.172220439840167</v>
      </c>
      <c r="FM18" s="327">
        <f ca="1">IFERROR(Tbl_MeasureList[[#This Row],[ER Total High Measure Electric Annual Consumption Savings (kWh/yr)]]*GAS_CUFT_PER_SITE_KWH/1000,"-")</f>
        <v>49.730049018309195</v>
      </c>
      <c r="FN18" s="328">
        <f ca="1">IFERROR(Tbl_MeasureList[[#This Row],[ER Total High Measure Natural Gas Annual Consumption Savings (therms/yr)]]*Btu_per_MMBtu/(GAS_BTU_PER_CUFT*Therm_per_MMBtu*1000),"-")</f>
        <v>0</v>
      </c>
      <c r="FO18" s="329">
        <f ca="1">IFERROR(Tbl_MeasureList[[#This Row],[Current ER Total High Measure Gas Source Fuel Savings (1,000 cu.ft. gas/year)]]+Tbl_MeasureList[[#This Row],[Current ER Total High Measure Gas Site Fuel Savings (1,000 cu.ft gas/year)]],"-")</f>
        <v>49.730049018309195</v>
      </c>
      <c r="FP18" s="412">
        <f ca="1">Tbl_MeasureList[[#This Row],[ROF Low Measure Electric Annual Consumption Savings (kWh/yr)]]*COAL_BTU_PER_SITE_KWH/Btu_per_MMBtu</f>
        <v>1.3611985523533201</v>
      </c>
      <c r="FQ18" s="327">
        <f ca="1">Tbl_MeasureList[[#This Row],[ROF Low Measure Electric Annual Consumption Savings (kWh/yr)]]*COAL_LBS_PER_SITE_KWH</f>
        <v>119.40338178537895</v>
      </c>
      <c r="FR18" s="412">
        <f ca="1">Tbl_MeasureList[[#This Row],[ROF Low Measure Electric Annual Consumption Savings (kWh/yr)]]*OIL_BTU_PER_SITE_KWH/Btu_per_MMBtu</f>
        <v>1.5670041001016226</v>
      </c>
      <c r="FS18" s="327">
        <f ca="1">Tbl_MeasureList[[#This Row],[ROF Low Measure Electric Annual Consumption Savings (kWh/yr)]]*OIL_GAL_PER_SITE_KWH</f>
        <v>11.359629563243484</v>
      </c>
      <c r="FT18" s="412">
        <f ca="1">Tbl_MeasureList[[#This Row],[ROF Low Measure Oil Annual Consumption Savings (MMBtu/yr)]]*Btu_per_MMBtu/OIL_BTU_PER_GAL</f>
        <v>0</v>
      </c>
      <c r="FU18" s="327">
        <f ca="1">Tbl_MeasureList[[#This Row],[Current ROF Low Measure Oil Source Fuel Savings (gallons oil/year)]]+Tbl_MeasureList[[#This Row],[Current ROF Low Measure Oil Site Fuel Savings (gallons oil/year)]]</f>
        <v>11.359629563243484</v>
      </c>
      <c r="FV18" s="412">
        <f ca="1">Tbl_MeasureList[[#This Row],[ROF Low Measure Electric Annual Consumption Savings (kWh/yr)]]*GAS_BTU_PER_SITE_KWH/Btu_per_MMBtu</f>
        <v>50.604689574296295</v>
      </c>
      <c r="FW18" s="327">
        <f ca="1">Tbl_MeasureList[[#This Row],[ROF Low Measure Electric Annual Consumption Savings (kWh/yr)]]*GAS_CUFT_PER_SITE_KWH/1000</f>
        <v>49.178512705827302</v>
      </c>
      <c r="FX18" s="412">
        <f ca="1">Tbl_MeasureList[[#This Row],[ROF Low Measure Natural Gas Annual Consumption Savings (therms/yr)]]*Btu_per_MMBtu/(GAS_BTU_PER_CUFT*Therm_per_MMBtu*1000)</f>
        <v>0</v>
      </c>
      <c r="FY18" s="327">
        <f ca="1">Tbl_MeasureList[[#This Row],[Current ROF Low Measure Gas Source Fuel Savings (1,000 cu.ft. gas/year)]]+Tbl_MeasureList[[#This Row],[Current ROF Low Measure Gas Site Fuel Savings (1,000 cu.ft gas/year)]]</f>
        <v>49.178512705827302</v>
      </c>
      <c r="FZ18" s="414">
        <f ca="1">IFERROR(Tbl_MeasureList[[#This Row],[ROF High Measure Electric Annual Consumption Savings (kWh/yr)]]*COAL_BTU_PER_SITE_KWH/Btu_per_MMBtu,"-")</f>
        <v>1.5043709453130636</v>
      </c>
      <c r="GA18" s="327">
        <f ca="1">IFERROR(Tbl_MeasureList[[#This Row],[ROF High Measure Electric Annual Consumption Savings (kWh/yr)]]*COAL_LBS_PER_SITE_KWH,"-")</f>
        <v>131.96236362395297</v>
      </c>
      <c r="GB18" s="412">
        <f ca="1">IFERROR(Tbl_MeasureList[[#This Row],[ROF High Measure Electric Annual Consumption Savings (kWh/yr)]]*OIL_BTU_PER_SITE_KWH/Btu_per_MMBtu,"-")</f>
        <v>1.7318233517834631</v>
      </c>
      <c r="GC18" s="327">
        <f ca="1">IFERROR(Tbl_MeasureList[[#This Row],[ROF High Measure Electric Annual Consumption Savings (kWh/yr)]]*OIL_GAL_PER_SITE_KWH,"-")</f>
        <v>12.554448162553648</v>
      </c>
      <c r="GD18" s="412">
        <f ca="1">IFERROR(Tbl_MeasureList[[#This Row],[ROF High Measure Oil Annual Consumption Savings (MMBtu/yr)]]*Btu_per_MMBtu/OIL_BTU_PER_GAL,"-")</f>
        <v>0</v>
      </c>
      <c r="GE18" s="327">
        <f ca="1">IFERROR(Tbl_MeasureList[[#This Row],[Current ROF High Measure Oil Source Fuel Savings (gallons oil/year)]]+Tbl_MeasureList[[#This Row],[Current ROF High Measure Oil Site Fuel Savings (gallons oil/year)]],"-")</f>
        <v>12.554448162553648</v>
      </c>
      <c r="GF18" s="412">
        <f ca="1">IFERROR(Tbl_MeasureList[[#This Row],[ROF High Measure Electric Annual Consumption Savings (kWh/yr)]]*GAS_BTU_PER_SITE_KWH/Btu_per_MMBtu,"-")</f>
        <v>55.927347674990763</v>
      </c>
      <c r="GG18" s="327">
        <f ca="1">IFERROR(Tbl_MeasureList[[#This Row],[ROF High Measure Electric Annual Consumption Savings (kWh/yr)]]*GAS_CUFT_PER_SITE_KWH/1000,"-")</f>
        <v>54.351163921273823</v>
      </c>
      <c r="GH18" s="412">
        <f ca="1">IFERROR(Tbl_MeasureList[[#This Row],[ROF High Measure Natural Gas Annual Consumption Savings (therms/yr)]]*Btu_per_MMBtu/(GAS_BTU_PER_CUFT*Therm_per_MMBtu*1000),"-")</f>
        <v>0</v>
      </c>
      <c r="GI18" s="327">
        <f ca="1">IFERROR(Tbl_MeasureList[[#This Row],[Current ROF High Measure Gas Source Fuel Savings (1,000 cu.ft. gas/year)]]+Tbl_MeasureList[[#This Row],[Current ROF High Measure Gas Site Fuel Savings (1,000 cu.ft gas/year)]],"-")</f>
        <v>54.351163921273823</v>
      </c>
      <c r="GJ18" s="324">
        <f ca="1">Tbl_MeasureList[[#This Row],[ER Total Low Measure Electric Annual Consumption Savings (kWh/yr)]]*COAL_BTU_PER_SITE_KWH_CES/Btu_per_MMBtu</f>
        <v>2.0965963686777283</v>
      </c>
      <c r="GK18" s="325">
        <f ca="1">Tbl_MeasureList[[#This Row],[ER Total Low Measure Electric Annual Consumption Savings (kWh/yr)]]*COAL_LBS_PER_SITE_KWH_CES</f>
        <v>190.391969549376</v>
      </c>
      <c r="GL18" s="326">
        <f ca="1">Tbl_MeasureList[[#This Row],[ER Total Low Measure Electric Annual Consumption Savings (kWh/yr)]]*OIL_BTU_PER_SITE_KWH_CES/Btu_per_MMBtu</f>
        <v>0.64534489857203858</v>
      </c>
      <c r="GM18" s="325">
        <f ca="1">Tbl_MeasureList[[#This Row],[ER Total Low Measure Electric Annual Consumption Savings (kWh/yr)]]*OIL_GAL_PER_SITE_KWH_CES</f>
        <v>4.353848894727161</v>
      </c>
      <c r="GN18" s="326">
        <f ca="1">Tbl_MeasureList[[#This Row],[ER Total Low Measure Oil Annual Consumption Savings (MMBtu/yr)]]*Btu_per_MMBtu/OIL_BTU_PER_GAL_CES</f>
        <v>0</v>
      </c>
      <c r="GO18" s="325">
        <f ca="1">Tbl_MeasureList[[#This Row],[CES ER Low Measure Oil Source Fuel Savings (gallons oil/year)]]+Tbl_MeasureList[[#This Row],[CES ER Low Measure Oil Site Fuel Savings (gallons oil/year)]]</f>
        <v>4.353848894727161</v>
      </c>
      <c r="GP18" s="326">
        <f ca="1">Tbl_MeasureList[[#This Row],[ER Total Low Measure Electric Annual Consumption Savings (kWh/yr)]]*GAS_BTU_PER_SITE_KWH_CES/Btu_per_MMBtu</f>
        <v>19.088389218746372</v>
      </c>
      <c r="GQ18" s="327">
        <f ca="1">Tbl_MeasureList[[#This Row],[ER Total Low Measure Electric Annual Consumption Savings (kWh/yr)]]*GAS_CUFT_PER_SITE_KWH_CES/1000</f>
        <v>18.532416717229488</v>
      </c>
      <c r="GR18" s="328">
        <f ca="1">Tbl_MeasureList[[#This Row],[ER Total Low Measure Natural Gas Annual Consumption Savings (therms/yr)]]*Btu_per_MMBtu/(GAS_BTU_PER_CUFT_CES*Therm_per_MMBtu*1000)</f>
        <v>0</v>
      </c>
      <c r="GS18" s="329">
        <f ca="1">Tbl_MeasureList[[#This Row],[CES ER Low Measure Gas Source Fuel Savings (1,000 cu.ft. gas/year)]]+Tbl_MeasureList[[#This Row],[CES ER Low Measure Gas Site Fuel Savings (1,000 cu.ft gas/year)]]</f>
        <v>18.532416717229488</v>
      </c>
      <c r="GT18" s="324">
        <f ca="1">IFERROR(Tbl_MeasureList[[#This Row],[ER Total High Measure Electric Annual Consumption Savings (kWh/yr)]]*COAL_BTU_PER_SITE_KWH_CES/Btu_per_MMBtu,"-")</f>
        <v>2.3399894367092928</v>
      </c>
      <c r="GU18" s="325">
        <f ca="1">IFERROR(Tbl_MeasureList[[#This Row],[ER Total High Measure Electric Annual Consumption Savings (kWh/yr)]]*COAL_LBS_PER_SITE_KWH_CES,"-")</f>
        <v>212.49450024603092</v>
      </c>
      <c r="GV18" s="326">
        <f ca="1">IFERROR(Tbl_MeasureList[[#This Row],[ER Total High Measure Electric Annual Consumption Savings (kWh/yr)]]*OIL_BTU_PER_SITE_KWH_CES/Btu_per_MMBtu,"-")</f>
        <v>0.72026274024560255</v>
      </c>
      <c r="GW18" s="325">
        <f ca="1">IFERROR(Tbl_MeasureList[[#This Row],[ER Total High Measure Electric Annual Consumption Savings (kWh/yr)]]*OIL_GAL_PER_SITE_KWH_CES,"-")</f>
        <v>4.8592855424600776</v>
      </c>
      <c r="GX18" s="326">
        <f ca="1">IFERROR(Tbl_MeasureList[[#This Row],[ER Total High Measure Oil Annual Consumption Savings (MMBtu/yr)]]*Btu_per_MMBtu/OIL_BTU_PER_GAL_CES,"-")</f>
        <v>0</v>
      </c>
      <c r="GY18" s="325">
        <f ca="1">IFERROR(Tbl_MeasureList[[#This Row],[CES ER High Measure Oil Source Fuel Savings (gallons oil/year)]]+Tbl_MeasureList[[#This Row],[CES ER High Measure Oil Site Fuel Savings (gallons oil/year)]],"-")</f>
        <v>4.8592855424600776</v>
      </c>
      <c r="GZ18" s="326">
        <f ca="1">IFERROR(Tbl_MeasureList[[#This Row],[ER Total High Measure Electric Annual Consumption Savings (kWh/yr)]]*GAS_BTU_PER_SITE_KWH_CES/Btu_per_MMBtu,"-")</f>
        <v>21.304352999443662</v>
      </c>
      <c r="HA18" s="327">
        <f ca="1">IFERROR(Tbl_MeasureList[[#This Row],[ER Total High Measure Electric Annual Consumption Savings (kWh/yr)]]*GAS_CUFT_PER_SITE_KWH_CES/1000,"-")</f>
        <v>20.683837863537537</v>
      </c>
      <c r="HB18" s="328">
        <f ca="1">IFERROR(Tbl_MeasureList[[#This Row],[ER Total High Measure Natural Gas Annual Consumption Savings (therms/yr)]]*Btu_per_MMBtu/(GAS_BTU_PER_CUFT_CES*Therm_per_MMBtu*1000),"-")</f>
        <v>0</v>
      </c>
      <c r="HC18" s="329">
        <f ca="1">IFERROR(Tbl_MeasureList[[#This Row],[CES ER High Measure Gas Source Fuel Savings (1,000 cu.ft. gas/year)]]+Tbl_MeasureList[[#This Row],[CES ER High Measure Gas Site Fuel Savings (1,000 cu.ft gas/year)]],"-")</f>
        <v>20.683837863537537</v>
      </c>
      <c r="HD18" s="315">
        <f ca="1">Tbl_MeasureList[[#This Row],[ROF Low Measure Electric Annual Consumption Savings (kWh/yr)]]*COAL_BTU_PER_SITE_KWH_CES/Btu_per_MMBtu</f>
        <v>2.314037539000644</v>
      </c>
      <c r="HE18" s="316">
        <f ca="1">Tbl_MeasureList[[#This Row],[ROF Low Measure Electric Annual Consumption Savings (kWh/yr)]]*COAL_LBS_PER_SITE_KWH_CES</f>
        <v>210.13780775523466</v>
      </c>
      <c r="HF18" s="317">
        <f ca="1">Tbl_MeasureList[[#This Row],[ROF Low Measure Electric Annual Consumption Savings (kWh/yr)]]*OIL_BTU_PER_SITE_KWH_CES/Btu_per_MMBtu</f>
        <v>0.712274590955283</v>
      </c>
      <c r="HG18" s="316">
        <f ca="1">Tbl_MeasureList[[#This Row],[ROF Low Measure Electric Annual Consumption Savings (kWh/yr)]]*OIL_GAL_PER_SITE_KWH_CES</f>
        <v>4.8053931276667949</v>
      </c>
      <c r="HH18" s="317">
        <f ca="1">Tbl_MeasureList[[#This Row],[ROF Low Measure Oil Annual Consumption Savings (MMBtu/yr)]]*Btu_per_MMBtu/OIL_BTU_PER_GAL_CES</f>
        <v>0</v>
      </c>
      <c r="HI18" s="316">
        <f ca="1">Tbl_MeasureList[[#This Row],[CES ROF Low Measure Oil Source Fuel Savings (gallons oil/year)]]+Tbl_MeasureList[[#This Row],[CES ROF Low Measure Oil Site Fuel Savings (gallons oil/year)]]</f>
        <v>4.8053931276667949</v>
      </c>
      <c r="HJ18" s="317">
        <f ca="1">Tbl_MeasureList[[#This Row],[ROF Low Measure Electric Annual Consumption Savings (kWh/yr)]]*GAS_BTU_PER_SITE_KWH_CES/Btu_per_MMBtu</f>
        <v>21.068074843176419</v>
      </c>
      <c r="HK18" s="316">
        <f ca="1">Tbl_MeasureList[[#This Row],[ROF Low Measure Electric Annual Consumption Savings (kWh/yr)]]*GAS_CUFT_PER_SITE_KWH_CES/1000</f>
        <v>20.454441595316911</v>
      </c>
      <c r="HL18" s="317">
        <f ca="1">Tbl_MeasureList[[#This Row],[ROF Low Measure Natural Gas Annual Consumption Savings (therms/yr)]]*Btu_per_MMBtu/(GAS_BTU_PER_CUFT_CES*Therm_per_MMBtu*1000)</f>
        <v>0</v>
      </c>
      <c r="HM18" s="318">
        <f ca="1">Tbl_MeasureList[[#This Row],[CES ROF Low Measure Gas Source Fuel Savings (1,000 cu.ft. gas/year)]]+Tbl_MeasureList[[#This Row],[CES ROF Low Measure Gas Site Fuel Savings (1,000 cu.ft gas/year)]]</f>
        <v>20.454441595316911</v>
      </c>
      <c r="HN18" s="315">
        <f ca="1">IFERROR(Tbl_MeasureList[[#This Row],[ROF High Measure Electric Annual Consumption Savings (kWh/yr)]]*COAL_BTU_PER_SITE_KWH_CES/Btu_per_MMBtu,"-")</f>
        <v>2.5574306070322081</v>
      </c>
      <c r="HO18" s="316">
        <f ca="1">IFERROR(Tbl_MeasureList[[#This Row],[ROF High Measure Electric Annual Consumption Savings (kWh/yr)]]*COAL_LBS_PER_SITE_KWH_CES,"-")</f>
        <v>232.24033845188961</v>
      </c>
      <c r="HP18" s="317">
        <f ca="1">IFERROR(Tbl_MeasureList[[#This Row],[ROF High Measure Electric Annual Consumption Savings (kWh/yr)]]*OIL_BTU_PER_SITE_KWH_CES/Btu_per_MMBtu,"-")</f>
        <v>0.78719243262884686</v>
      </c>
      <c r="HQ18" s="316">
        <f ca="1">IFERROR(Tbl_MeasureList[[#This Row],[ROF High Measure Electric Annual Consumption Savings (kWh/yr)]]*OIL_GAL_PER_SITE_KWH_CES,"-")</f>
        <v>5.3108297753997116</v>
      </c>
      <c r="HR18" s="317">
        <f ca="1">IFERROR(Tbl_MeasureList[[#This Row],[ROF High Measure Oil Annual Consumption Savings (MMBtu/yr)]]*Btu_per_MMBtu/OIL_BTU_PER_GAL_CES,"-")</f>
        <v>0</v>
      </c>
      <c r="HS18" s="316">
        <f ca="1">IFERROR(Tbl_MeasureList[[#This Row],[CES ROF High Measure Oil Source Fuel Savings (gallons oil/year)]]+Tbl_MeasureList[[#This Row],[CES ROF High Measure Oil Site Fuel Savings (gallons oil/year)]],"-")</f>
        <v>5.3108297753997116</v>
      </c>
      <c r="HT18" s="317">
        <f ca="1">IFERROR(Tbl_MeasureList[[#This Row],[ROF High Measure Electric Annual Consumption Savings (kWh/yr)]]*GAS_BTU_PER_SITE_KWH_CES/Btu_per_MMBtu,"-")</f>
        <v>23.284038623873705</v>
      </c>
      <c r="HU18" s="316">
        <f ca="1">IFERROR(Tbl_MeasureList[[#This Row],[ROF High Measure Electric Annual Consumption Savings (kWh/yr)]]*GAS_CUFT_PER_SITE_KWH_CES/1000,"-")</f>
        <v>22.605862741624961</v>
      </c>
      <c r="HV18" s="317">
        <f ca="1">IFERROR(Tbl_MeasureList[[#This Row],[ROF High Measure Natural Gas Annual Consumption Savings (therms/yr)]]*Btu_per_MMBtu/(GAS_BTU_PER_CUFT_CES*Therm_per_MMBtu*1000),"-")</f>
        <v>0</v>
      </c>
      <c r="HW18" s="318">
        <f ca="1">IFERROR(Tbl_MeasureList[[#This Row],[CES ROF High Measure Gas Source Fuel Savings (1,000 cu.ft. gas/year)]]+Tbl_MeasureList[[#This Row],[CES ROF High Measure Gas Site Fuel Savings (1,000 cu.ft gas/year)]],"-")</f>
        <v>22.605862741624961</v>
      </c>
      <c r="HX18" s="248">
        <f>Tbl_MeasureList[[#This Row],[Baseline Energy Cost (USD/yr)]]-Tbl_MeasureList[[#This Row],[Code (old fuel) Energy Cost (USD/yr)]]</f>
        <v>-229.84703999999965</v>
      </c>
      <c r="HY18" s="201">
        <f>0</f>
        <v>0</v>
      </c>
      <c r="HZ18" s="86">
        <f>Tbl_MeasureList[[#This Row],[Baseline Electric Annual Consumption (kWh/yr)]]-Tbl_MeasureList[[#This Row],[Code (old fuel) Electric Annual Consumption (kWh/yr)]]</f>
        <v>-1162.0173913043473</v>
      </c>
      <c r="IA18" s="86">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0</v>
      </c>
      <c r="IB18" s="86">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290.50434782608704</v>
      </c>
      <c r="IC18" s="152">
        <f>Tbl_MeasureList[[#This Row],[Baseline Electric Winter Peak Demand (kW)]]-Tbl_MeasureList[[#This Row],[Code (old fuel) Electric Winter Peak Demand (kW)]]</f>
        <v>0</v>
      </c>
      <c r="ID18" s="152">
        <f>Tbl_MeasureList[[#This Row],[Baseline Electric Summer Peak Demand (kW)]]-Tbl_MeasureList[[#This Row],[Code (old fuel) Electric Summer Peak Demand (kW)]]</f>
        <v>0.38399999999999967</v>
      </c>
      <c r="IE18" s="251">
        <f>Tbl_MeasureList[[#This Row],[Baseline Natural Gas Annual Consumption (therms/yr)]]-Tbl_MeasureList[[#This Row],[Code (old fuel) Natural Gas Annual Consumption (therms/yr)]]</f>
        <v>0</v>
      </c>
      <c r="IF18" s="252">
        <f>Tbl_MeasureList[[#This Row],[Baseline Propane Annual Consumption (MMBtu/yr)]]-Tbl_MeasureList[[#This Row],[Code (old fuel) Propane Annual Consumption (MMBtu/yr)]]</f>
        <v>0</v>
      </c>
      <c r="IG18" s="253">
        <f>Tbl_MeasureList[[#This Row],[Baseline Oil Annual Consumption (MMBtu/yr)]]-Tbl_MeasureList[[#This Row],[Code (old fuel) Oil Annual Consumption (MMBtu/yr)]]</f>
        <v>0</v>
      </c>
      <c r="IH18" s="371">
        <f>Tbl_MeasureList[[#This Row],[Baseline Energy Consumption on MMBtu Basis (MMBtu/yr)]]-Tbl_MeasureList[[#This Row],[Code (old fuel) Energy Consumption on MMBtu Basis (MMBtu/yr)]]</f>
        <v>-3.9648033391304409</v>
      </c>
      <c r="II18" s="371">
        <f>Tbl_MeasureList[[#This Row],[Baseline Carbon Emissions, Site (tons CO2/yr)]]-Tbl_MeasureList[[#This Row],[Code (old fuel) Carbon Emissions, Site (tons CO2/yr)]]</f>
        <v>0</v>
      </c>
      <c r="IJ18" s="279">
        <f>Tbl_MeasureList[[#This Row],[Baseline Carbon Emissions, Source (tons CO2/yr)]]-Tbl_MeasureList[[#This Row],[Code (old fuel) Carbon Emissions, Source (tons CO2/yr)]]</f>
        <v>-0.41037806191304327</v>
      </c>
      <c r="IK18" s="273">
        <f ca="1">Tbl_MeasureList[[#This Row],[Code (new fuel) Energy Cost (USD/yr)]]-Tbl_MeasureList[[#This Row],[Low Measure Energy Cost (USD/yr)]]</f>
        <v>348.66667469018921</v>
      </c>
      <c r="IL18"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12273.800429590323</v>
      </c>
      <c r="IM18" s="85">
        <f ca="1">Tbl_MeasureList[[#This Row],[Code (old fuel) Electric Annual Consumption (kWh/yr)]]-Tbl_MeasureList[[#This Row],[Low Measure Electric Annual Consumption (kWh/yr)]]</f>
        <v>12366.341941852934</v>
      </c>
      <c r="IN18" s="85">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10478.069478084817</v>
      </c>
      <c r="IO18" s="85">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435.75072463768117</v>
      </c>
      <c r="IP18" s="152">
        <f ca="1">Tbl_MeasureList[[#This Row],[Code (old fuel) Electric Winter Peak Demand (kW)]]-Tbl_MeasureList[[#This Row],[Low Measure Electric Winter Peak Demand (kW)]]</f>
        <v>0</v>
      </c>
      <c r="IQ18" s="152">
        <f ca="1">Tbl_MeasureList[[#This Row],[Code (old fuel) Electric Summer Peak Demand (kW)]]-Tbl_MeasureList[[#This Row],[Low Measure Electric Summer Peak Demand (kW)]]</f>
        <v>1.6000000000000236E-2</v>
      </c>
      <c r="IR18" s="204">
        <f ca="1">Tbl_MeasureList[[#This Row],[Code (old fuel) Natural Gas Annual Consumption (therms/yr)]]-Tbl_MeasureList[[#This Row],[Low Measure Natural Gas Annual Consumption (therms/yr)]]</f>
        <v>0</v>
      </c>
      <c r="IS18" s="153">
        <f ca="1">Tbl_MeasureList[[#This Row],[Code (old fuel) Propane Annual Consumption (MMBtu/yr)]]-Tbl_MeasureList[[#This Row],[Low Measure Propane Annual Consumption (MMBtu/yr)]]</f>
        <v>0</v>
      </c>
      <c r="IT18" s="204">
        <f ca="1">Tbl_MeasureList[[#This Row],[Code (old fuel) Oil Annual Consumption (MMBtu/yr)]]-Tbl_MeasureList[[#This Row],[Low Measure Oil Annual Consumption (MMBtu/yr)]]</f>
        <v>0</v>
      </c>
      <c r="IU18" s="204">
        <f ca="1">Tbl_MeasureList[[#This Row],[Code (old fuel) Energy Consumption on MMBtu Basis (MMBtu/yr)]]-Tbl_MeasureList[[#This Row],[Low Measure Energy Consumption on MMBtu Basis (MMBtu/yr)]]</f>
        <v>42.193958705602213</v>
      </c>
      <c r="IV18" s="204">
        <f ca="1">Tbl_MeasureList[[#This Row],[Code (old fuel) Carbon Emissions, Site (tons CO2/yr)]]-Tbl_MeasureList[[#This Row],[Low Measure Carbon Emissions, Site (tons CO2/yr)]]</f>
        <v>0</v>
      </c>
      <c r="IW18" s="260">
        <f ca="1">Tbl_MeasureList[[#This Row],[Code (old fuel) Carbon Emissions, Source (tons CO2/yr)]]-Tbl_MeasureList[[#This Row],[Low Measure Carbon Emissions, Source (tons CO2/yr)]]</f>
        <v>4.3672973201847816</v>
      </c>
      <c r="IX18" s="27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2703.342031128715</v>
      </c>
      <c r="IY18" s="20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12673.500429590324</v>
      </c>
      <c r="IZ18"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13667.047680124952</v>
      </c>
      <c r="JA18"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11706.14854969017</v>
      </c>
      <c r="JB18"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508.37739130434784</v>
      </c>
      <c r="JC18"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0</v>
      </c>
      <c r="JD18"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1.6000000000000236E-2</v>
      </c>
      <c r="JE18"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0</v>
      </c>
      <c r="JF18" s="1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0</v>
      </c>
      <c r="JG18"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0</v>
      </c>
      <c r="JH18"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46.631966684586338</v>
      </c>
      <c r="JI18"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0</v>
      </c>
      <c r="JJ18"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4.826654558712927</v>
      </c>
      <c r="JK18" s="432">
        <f>Tbl_MeasureList[[#This Row],[ER (Retire) Electric Annual Consumption Savings (kWh/yr)]]*COAL_BTU_PER_SITE_KWH/Btu_per_MMBtu</f>
        <v>-0.12790657077818574</v>
      </c>
      <c r="JL18" s="428">
        <f>Tbl_MeasureList[[#This Row],[ER (Retire) Electric Annual Consumption Savings (kWh/yr)]]*COAL_LBS_PER_SITE_KWH</f>
        <v>-11.219874629665414</v>
      </c>
      <c r="JM18" s="427">
        <f>Tbl_MeasureList[[#This Row],[ER (Retire) Electric Annual Consumption Savings (kWh/yr)]]*OIL_BTU_PER_SITE_KWH/Btu_per_MMBtu</f>
        <v>-0.14724532324313747</v>
      </c>
      <c r="JN18" s="428">
        <f>Tbl_MeasureList[[#This Row],[ER (Retire) Electric Annual Consumption Savings (kWh/yr)]]*OIL_GAL_PER_SITE_KWH</f>
        <v>-1.0674205171853817</v>
      </c>
      <c r="JO18" s="427">
        <f>Tbl_MeasureList[[#This Row],[ER (Retire) Oil Annual Consumption Savings (MMBtu/yr)]]*Btu_per_MMBtu/OIL_BTU_PER_GAL</f>
        <v>0</v>
      </c>
      <c r="JP18" s="428">
        <f ca="1">Tbl_MeasureList[[#This Row],[Current ER (Retire) Oil Source Fuel Savings (gallons oil/year)]]+Tbl_MeasureList[[#This Row],[Current ER Total Low Measure Oil Site Fuel Savings (gallons oil/year)]]</f>
        <v>-1.0674205171853817</v>
      </c>
      <c r="JQ18" s="427">
        <f>Tbl_MeasureList[[#This Row],[ER (Retire) Electric Annual Consumption Savings (kWh/yr)]]*GAS_BTU_PER_SITE_KWH/Btu_per_MMBtu</f>
        <v>-4.7551272351506029</v>
      </c>
      <c r="JR18" s="429">
        <f>Tbl_MeasureList[[#This Row],[ER (Retire) Electric Annual Consumption Savings (kWh/yr)]]*GAS_CUFT_PER_SITE_KWH/1000</f>
        <v>-4.6211149029646288</v>
      </c>
      <c r="JS18" s="430">
        <f>Tbl_MeasureList[[#This Row],[ER (Retire) Natural Gas Annual Consumption Savings (therms/yr)]]*Btu_per_MMBtu/(GAS_BTU_PER_CUFT*Therm_per_MMBtu*1000)</f>
        <v>0</v>
      </c>
      <c r="JT18" s="431">
        <f ca="1">Tbl_MeasureList[[#This Row],[Current ER (Retire) Gas Source Fuel Savings (1,000 cu.ft. gas/year)]]+Tbl_MeasureList[[#This Row],[Current ER Total Low Measure Gas Site Fuel Savings (1,000 cu.ft gas/year)]]</f>
        <v>-4.6211149029646288</v>
      </c>
      <c r="JU18" s="432">
        <f ca="1">Tbl_MeasureList[[#This Row],[ER (EE) Low Measure Electric Annual Consumption Savings (kWh/yr)]]*COAL_BTU_PER_SITE_KWH/Btu_per_MMBtu</f>
        <v>1.3611985523533201</v>
      </c>
      <c r="JV18" s="428">
        <f ca="1">Tbl_MeasureList[[#This Row],[ER (EE) Low Measure Electric Annual Consumption Savings (kWh/yr)]]*COAL_LBS_PER_SITE_KWH</f>
        <v>119.40338178537895</v>
      </c>
      <c r="JW18" s="427">
        <f ca="1">Tbl_MeasureList[[#This Row],[ER (EE) Low Measure Electric Annual Consumption Savings (kWh/yr)]]*OIL_BTU_PER_SITE_KWH/Btu_per_MMBtu</f>
        <v>1.5670041001016226</v>
      </c>
      <c r="JX18" s="428">
        <f ca="1">Tbl_MeasureList[[#This Row],[ER (EE) Low Measure Electric Annual Consumption Savings (kWh/yr)]]*OIL_GAL_PER_SITE_KWH</f>
        <v>11.359629563243484</v>
      </c>
      <c r="JY18" s="427">
        <f ca="1">Tbl_MeasureList[[#This Row],[ER (EE) Low Measure Oil Annual Consumption Savings (MMBtu/yr)]]*Btu_per_MMBtu/OIL_BTU_PER_GAL</f>
        <v>0</v>
      </c>
      <c r="JZ18" s="428">
        <f ca="1">Tbl_MeasureList[[#This Row],[Current ER (EE) Low Measure Oil Source Fuel Savings (gallons oil/year)]]+Tbl_MeasureList[[#This Row],[Current ER (EE) Low Measure Oil Site Fuel Savings (gallons oil/year)]]</f>
        <v>11.359629563243484</v>
      </c>
      <c r="KA18" s="427">
        <f ca="1">Tbl_MeasureList[[#This Row],[ER (EE) Low Measure Electric Annual Consumption Savings (kWh/yr)]]*GAS_BTU_PER_SITE_KWH/Btu_per_MMBtu</f>
        <v>50.604689574296295</v>
      </c>
      <c r="KB18" s="429">
        <f ca="1">Tbl_MeasureList[[#This Row],[ER (EE) Low Measure Electric Annual Consumption Savings (kWh/yr)]]*GAS_CUFT_PER_SITE_KWH/1000</f>
        <v>49.178512705827302</v>
      </c>
      <c r="KC18" s="430">
        <f ca="1">Tbl_MeasureList[[#This Row],[ER (EE) Low Measure Natural Gas Annual Consumption Savings (therms/yr)]]*Btu_per_MMBtu/(GAS_BTU_PER_CUFT*Therm_per_MMBtu*1000)</f>
        <v>0</v>
      </c>
      <c r="KD18" s="431">
        <f ca="1">Tbl_MeasureList[[#This Row],[Current ER (EE) Low Measure Gas Source Fuel Savings (1,000 cu.ft. gas/year)]]+Tbl_MeasureList[[#This Row],[Current ER (EE) Low Measure Gas Site Fuel Savings (1,000 cu.ft gas/year)]]</f>
        <v>49.178512705827302</v>
      </c>
      <c r="KE18" s="432">
        <f ca="1">IFERROR(Tbl_MeasureList[[#This Row],[ER (EE) High Measure Electric Annual Consumption Savings (kWh/yr)]]*COAL_BTU_PER_SITE_KWH/Btu_per_MMBtu,"-")</f>
        <v>1.5043709453130636</v>
      </c>
      <c r="KF18" s="428">
        <f ca="1">IFERROR(Tbl_MeasureList[[#This Row],[ER (EE) High Measure Electric Annual Consumption Savings (kWh/yr)]]*COAL_LBS_PER_SITE_KWH,"-")</f>
        <v>131.96236362395297</v>
      </c>
      <c r="KG18" s="427">
        <f ca="1">IFERROR(Tbl_MeasureList[[#This Row],[ER (EE) High Measure Electric Annual Consumption Savings (kWh/yr)]]*OIL_BTU_PER_SITE_KWH/Btu_per_MMBtu,"-")</f>
        <v>1.7318233517834631</v>
      </c>
      <c r="KH18" s="428">
        <f ca="1">IFERROR(Tbl_MeasureList[[#This Row],[ER (EE) High Measure Electric Annual Consumption Savings (kWh/yr)]]*OIL_GAL_PER_SITE_KWH,"-")</f>
        <v>12.554448162553648</v>
      </c>
      <c r="KI18" s="427">
        <f ca="1">IFERROR(Tbl_MeasureList[[#This Row],[ER (EE) High Measure Oil Annual Consumption Savings (MMBtu/yr)]]*Btu_per_MMBtu/OIL_BTU_PER_GAL,"-")</f>
        <v>0</v>
      </c>
      <c r="KJ18" s="428">
        <f ca="1">IFERROR(Tbl_MeasureList[[#This Row],[Current ER (EE) High Measure Oil Source Fuel Savings (gallons oil/year)]]+Tbl_MeasureList[[#This Row],[Current ER (EE) High Measure Oil Site Fuel Savings (gallons oil/year)]],"-")</f>
        <v>12.554448162553648</v>
      </c>
      <c r="KK18" s="427">
        <f ca="1">IFERROR(Tbl_MeasureList[[#This Row],[ER (EE) High Measure Electric Annual Consumption Savings (kWh/yr)]]*GAS_BTU_PER_SITE_KWH/Btu_per_MMBtu,"-")</f>
        <v>55.927347674990763</v>
      </c>
      <c r="KL18" s="429">
        <f ca="1">IFERROR(Tbl_MeasureList[[#This Row],[ER (EE) High Measure Electric Annual Consumption Savings (kWh/yr)]]*GAS_CUFT_PER_SITE_KWH/1000,"-")</f>
        <v>54.351163921273823</v>
      </c>
      <c r="KM18" s="430">
        <f ca="1">IFERROR(Tbl_MeasureList[[#This Row],[ER (EE) High Measure Natural Gas Annual Consumption Savings (therms/yr)]]*Btu_per_MMBtu/(GAS_BTU_PER_CUFT*Therm_per_MMBtu*1000),"-")</f>
        <v>0</v>
      </c>
      <c r="KN18" s="431">
        <f ca="1">IFERROR(Tbl_MeasureList[[#This Row],[Current ER (EE) High Measure Gas Source Fuel Savings (1,000 cu.ft. gas/year)]]+Tbl_MeasureList[[#This Row],[Current ER (EE) High Measure Gas Site Fuel Savings (1,000 cu.ft gas/year)]],"-")</f>
        <v>54.351163921273823</v>
      </c>
    </row>
    <row r="19" spans="2:300" x14ac:dyDescent="0.2">
      <c r="B19" s="16"/>
      <c r="C19" s="2" t="s">
        <v>93</v>
      </c>
      <c r="D19" s="12" t="str">
        <f>INDEX(Tbl_BaselineSummary[Equipment ID],MATCH(Tbl_MeasureList[[#This Row],[Baseline ID]],Tbl_BaselineSummary[Baseline ID],0))</f>
        <v>EQUI014</v>
      </c>
      <c r="E19" s="11" t="str">
        <f>INDEX(Tbl_EquipmentDefinitions[Equipment Name],MATCH('Measure List'!$D19,Tbl_EquipmentDefinitions[Equipment ID],0))</f>
        <v>Tankless Coil WH</v>
      </c>
      <c r="F19" s="3" t="s">
        <v>234</v>
      </c>
      <c r="G19" s="11" t="str">
        <f>INDEX(Tbl_EquipmentDefinitions[Function],MATCH('Measure List'!$D19,Tbl_EquipmentDefinitions[Equipment ID],0))</f>
        <v>HW</v>
      </c>
      <c r="H19" s="3" t="s">
        <v>111</v>
      </c>
      <c r="I19" s="3" t="s">
        <v>38</v>
      </c>
      <c r="J19" s="11" t="str">
        <f>INDEX(Tbl_EquipmentDefinitions[Equipment Name],MATCH('Measure List'!$I19,Tbl_EquipmentDefinitions[Equipment ID],0))</f>
        <v>HPWH</v>
      </c>
      <c r="K19" s="11">
        <f>INDEX(Tbl_EquipmentDefinitions[],MATCH(Tbl_MeasureList[[#This Row],[Replacement ID]],Tbl_EquipmentDefinitions[[Equipment ID]:[Equipment ID]],0),MATCH(Tbl_MeasureList[[#Headers],[New Unit Equipment Life (years)]],Tbl_EquipmentDefinitions[#Headers],0))</f>
        <v>10</v>
      </c>
      <c r="L19" s="11">
        <f>INDEX(Tbl_EquipmentDefinitions[],MATCH(Tbl_MeasureList[[#This Row],[Baseline Equipment ID]],Tbl_EquipmentDefinitions[[Equipment ID]:[Equipment ID]],0),MATCH(Tbl_MeasureList[[#Headers],[Remaining Life for Early Replacement (years)]],Tbl_EquipmentDefinitions[#Headers],0))</f>
        <v>7</v>
      </c>
      <c r="M19" s="12" t="str">
        <f>INDEX(Tbl_EquipmentDefinitions[Function],MATCH('Measure List'!$I19,Tbl_EquipmentDefinitions[Equipment ID],0))</f>
        <v>HW</v>
      </c>
      <c r="N19" s="368" t="s">
        <v>118</v>
      </c>
      <c r="O19" s="14" t="str">
        <f t="shared" si="0"/>
        <v>OK</v>
      </c>
      <c r="P19" s="12" t="str">
        <f ca="1">IFERROR(INDIRECT(Tbl_MeasureList[[#This Row],[Measure ID]]&amp;"!D5"),"No tab")</f>
        <v>3. Ready</v>
      </c>
      <c r="Q19" s="11"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Oil</v>
      </c>
      <c r="R19" s="12"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v>
      </c>
      <c r="S19" s="11"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Electric</v>
      </c>
      <c r="T19" s="247"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v>
      </c>
      <c r="U19" s="248">
        <f>INDEX(Tbl_BaselineSummary[Baseline Annual Energy Cost (USD)],MATCH(Tbl_MeasureList[[#This Row],[Baseline ID]],Tbl_BaselineSummary[Baseline ID],0))</f>
        <v>416.26168673540514</v>
      </c>
      <c r="V19" s="249">
        <f>INDEX(Tbl_BaselineSummary[Baseline Electric Annual Consumption  (kWh)],MATCH(Tbl_MeasureList[[#This Row],[Baseline ID]],Tbl_BaselineSummary[Baseline ID],0))</f>
        <v>0</v>
      </c>
      <c r="W19" s="249" t="str">
        <f>INDEX(Tbl_BaselineSummary[Baseline Electric Winter Consumption (kWh)],MATCH(Tbl_MeasureList[[#This Row],[Baseline ID]],Tbl_BaselineSummary[Baseline ID],0))</f>
        <v>n/a</v>
      </c>
      <c r="X19" s="249" t="str">
        <f>INDEX(Tbl_BaselineSummary[Baseline Electric Summer Consumption (kWh)],MATCH(Tbl_MeasureList[[#This Row],[Baseline ID]],Tbl_BaselineSummary[Baseline ID],0))</f>
        <v>n/a</v>
      </c>
      <c r="Y19" s="250">
        <f>INDEX(Tbl_BaselineSummary[Baseline Electric Baseline Winter Peak Demand (kW)],MATCH(Tbl_MeasureList[[#This Row],[Baseline ID]],Tbl_BaselineSummary[Baseline ID],0))</f>
        <v>0</v>
      </c>
      <c r="Z19" s="452">
        <f>INDEX(Tbl_BaselineSummary[Baseline Electric Baseline Summer Peak Demand (kW)],MATCH(Tbl_MeasureList[[#This Row],[Baseline ID]],Tbl_BaselineSummary[Baseline ID],0))</f>
        <v>0</v>
      </c>
      <c r="AA19" s="458">
        <f>INDEX(Tbl_BaselineSummary[Baseline Natural Gas Annual Consumption  (therms)],MATCH(Tbl_MeasureList[[#This Row],[Baseline ID]],Tbl_BaselineSummary[Baseline ID],0))</f>
        <v>0</v>
      </c>
      <c r="AB19" s="455">
        <f>INDEX(Tbl_BaselineSummary[Baseline Propane Annual Consumption  (MMBtu)],MATCH(Tbl_MeasureList[[#This Row],[Baseline ID]],Tbl_BaselineSummary[Baseline ID],0))</f>
        <v>0</v>
      </c>
      <c r="AC19" s="252">
        <f>INDEX(Tbl_BaselineSummary[Baseline Oil Annual Consumption  (MMBtu)],MATCH(Tbl_MeasureList[[#This Row],[Baseline ID]],Tbl_BaselineSummary[Baseline ID],0))</f>
        <v>18.533333333333335</v>
      </c>
      <c r="AD19" s="371">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18.533333333333335</v>
      </c>
      <c r="AE19" s="460">
        <f>(lbCO2_per_Therm_Gas*Tbl_MeasureList[[#This Row],[Baseline Natural Gas Annual Consumption (therms/yr)]]+lbCO2_per_MMBtu_Prop*Tbl_MeasureList[[#This Row],[Baseline Propane Annual Consumption (MMBtu/yr)]]+lbCO2_per_MMBtu_Oil*Tbl_MeasureList[[#This Row],[Baseline Oil Annual Consumption (MMBtu/yr)]])*Lbs_per_ShortTon</f>
        <v>1.4947133333333336</v>
      </c>
      <c r="AF19" s="463">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1.4947133333333336</v>
      </c>
      <c r="AG19" s="465">
        <f>INDEX(Tbl_BaselineSummary[Code Annual Energy Cost (USD)],MATCH(Tbl_MeasureList[[#This Row],[Baseline ID]],Tbl_BaselineSummary[Baseline ID],0))</f>
        <v>371.66222029946886</v>
      </c>
      <c r="AH19" s="468">
        <f>INDEX(Tbl_BaselineSummary[Deferred Replacement Credit (USD)],MATCH(Tbl_MeasureList[[#This Row],[Baseline ID]],Tbl_BaselineSummary[Baseline ID],0))</f>
        <v>350.93874836025759</v>
      </c>
      <c r="AI19" s="201">
        <f>INDEX(Tbl_BaselineSummary[A/C-only Deferred Replacement Credit (USD)],MATCH(Tbl_MeasureList[[#This Row],[Baseline ID]],Tbl_BaselineSummary[Baseline ID],0))</f>
        <v>0</v>
      </c>
      <c r="AJ19" s="468">
        <f>INDEX(Tbl_BaselineSummary[Code Installed Costs (USD)],MATCH(Tbl_MeasureList[[#This Row],[Baseline ID]],Tbl_BaselineSummary[Baseline ID],0))</f>
        <v>600</v>
      </c>
      <c r="AK19" s="201">
        <f>INDEX(Tbl_BaselineSummary[Code A/C-only Installed Cost (USD)],MATCH(Tbl_MeasureList[[#This Row],[Baseline ID]],Tbl_BaselineSummary[Baseline ID],0))</f>
        <v>0</v>
      </c>
      <c r="AL19" s="86">
        <f>INDEX(Tbl_BaselineSummary[Code Electric Annual Consumption (kWh)],MATCH(Tbl_MeasureList[[#This Row],[Baseline ID]],Tbl_BaselineSummary[Baseline ID],0))</f>
        <v>0</v>
      </c>
      <c r="AM19" s="86" t="str">
        <f>INDEX(Tbl_BaselineSummary[Code Electric Winter Consumption (kWh)],MATCH(Tbl_MeasureList[[#This Row],[Baseline ID]],Tbl_BaselineSummary[Baseline ID],0))</f>
        <v>n/a</v>
      </c>
      <c r="AN19" s="86" t="str">
        <f>INDEX(Tbl_BaselineSummary[Code Electric Summer Consumption (kWh)],MATCH(Tbl_MeasureList[[#This Row],[Baseline ID]],Tbl_BaselineSummary[Baseline ID],0))</f>
        <v>n/a</v>
      </c>
      <c r="AO19" s="152">
        <f>INDEX(Tbl_BaselineSummary[Code Electric Winter Peak Demand (kW)],MATCH(Tbl_MeasureList[[#This Row],[Baseline ID]],Tbl_BaselineSummary[Baseline ID],0))</f>
        <v>0</v>
      </c>
      <c r="AP19" s="470">
        <f>INDEX(Tbl_BaselineSummary[Code Electric Summer Peak Demand (kW)],MATCH(Tbl_MeasureList[[#This Row],[Baseline ID]],Tbl_BaselineSummary[Baseline ID],0))</f>
        <v>0</v>
      </c>
      <c r="AQ19" s="467">
        <f>INDEX(Tbl_BaselineSummary[Code Natural Gas Annual Consumption (therms)],MATCH(Tbl_MeasureList[[#This Row],[Baseline ID]],Tbl_BaselineSummary[Baseline ID],0))</f>
        <v>0</v>
      </c>
      <c r="AR19" s="472">
        <f>INDEX(Tbl_BaselineSummary[Code Propane Annual Consumption (MMBtu)],MATCH(Tbl_MeasureList[[#This Row],[Baseline ID]],Tbl_BaselineSummary[Baseline ID],0))</f>
        <v>0</v>
      </c>
      <c r="AS19" s="467">
        <f>INDEX(Tbl_BaselineSummary[Code Oil Annual Consumption (MMBtu)],MATCH(Tbl_MeasureList[[#This Row],[Baseline ID]],Tbl_BaselineSummary[Baseline ID],0))</f>
        <v>16.547619047619047</v>
      </c>
      <c r="AT19" s="204">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16.547619047619047</v>
      </c>
      <c r="AU19" s="467">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1.3345654761904764</v>
      </c>
      <c r="AV19" s="474">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1.3345654761904764</v>
      </c>
      <c r="AW19" s="248">
        <f ca="1">INDIRECT(Tbl_MeasureList[[#This Row],[Measure ID]]&amp;"!L26")</f>
        <v>875.87924970691677</v>
      </c>
      <c r="AX19" s="477">
        <f ca="1">INDIRECT(Tbl_MeasureList[[#This Row],[Measure ID]]&amp;"!M26")</f>
        <v>1469</v>
      </c>
      <c r="AY19" s="481">
        <f ca="1">INDIRECT(Tbl_MeasureList[[#This Row],[Measure ID]]&amp;"!D26")</f>
        <v>4428.105408022835</v>
      </c>
      <c r="AZ19" s="481" t="str">
        <f ca="1">INDIRECT(Tbl_MeasureList[[#This Row],[Measure ID]]&amp;"!J26")</f>
        <v>n/a</v>
      </c>
      <c r="BA19" s="481" t="str">
        <f ca="1">INDIRECT(Tbl_MeasureList[[#This Row],[Measure ID]]&amp;"!I26")</f>
        <v>n/a</v>
      </c>
      <c r="BB19" s="479">
        <f ca="1">INDIRECT(Tbl_MeasureList[[#This Row],[Measure ID]]&amp;"!E26")</f>
        <v>1.7481663671625878</v>
      </c>
      <c r="BC19" s="268">
        <f ca="1">INDIRECT(Tbl_MeasureList[[#This Row],[Measure ID]]&amp;"!H26")</f>
        <v>0.82163819256641624</v>
      </c>
      <c r="BD19" s="253">
        <f ca="1">INDIRECT(Tbl_MeasureList[[#This Row],[Measure ID]]&amp;"!D32")</f>
        <v>0</v>
      </c>
      <c r="BE19" s="270">
        <f ca="1">INDIRECT(Tbl_MeasureList[[#This Row],[Measure ID]]&amp;"!D38")</f>
        <v>0</v>
      </c>
      <c r="BF19" s="253">
        <f ca="1">INDIRECT(Tbl_MeasureList[[#This Row],[Measure ID]]&amp;"!D44")</f>
        <v>0</v>
      </c>
      <c r="BG19" s="460">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15.108695652173914</v>
      </c>
      <c r="BH19" s="371">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0</v>
      </c>
      <c r="BI19" s="272">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1.5638297058973445</v>
      </c>
      <c r="BJ19" s="273">
        <f ca="1">INDIRECT(Tbl_MeasureList[[#This Row],[Measure ID]]&amp;"!L27")</f>
        <v>340.13167728498615</v>
      </c>
      <c r="BK19" s="201">
        <f ca="1">INDIRECT(Tbl_MeasureList[[#This Row],[Measure ID]]&amp;"!M27")</f>
        <v>2110</v>
      </c>
      <c r="BL19" s="85">
        <f ca="1">INDIRECT(Tbl_MeasureList[[#This Row],[Measure ID]]&amp;"!D27")</f>
        <v>1662.7987654616359</v>
      </c>
      <c r="BM19" s="85" t="str">
        <f ca="1">INDIRECT(Tbl_MeasureList[[#This Row],[Measure ID]]&amp;"!J27")</f>
        <v>n/a</v>
      </c>
      <c r="BN19" s="85" t="str">
        <f ca="1">INDIRECT(Tbl_MeasureList[[#This Row],[Measure ID]]&amp;"!I27")</f>
        <v>n/a</v>
      </c>
      <c r="BO19" s="152">
        <f ca="1">INDIRECT(Tbl_MeasureList[[#This Row],[Measure ID]]&amp;"!E27")</f>
        <v>0.65645430930186965</v>
      </c>
      <c r="BP19" s="470">
        <f ca="1">INDIRECT(Tbl_MeasureList[[#This Row],[Measure ID]]&amp;"!H27")</f>
        <v>0.30853352537187873</v>
      </c>
      <c r="BQ19" s="467">
        <f ca="1">INDIRECT(Tbl_MeasureList[[#This Row],[Measure ID]]&amp;"!D33")</f>
        <v>0</v>
      </c>
      <c r="BR19" s="472">
        <f ca="1">INDIRECT(Tbl_MeasureList[[#This Row],[Measure ID]]&amp;"!D39")</f>
        <v>0</v>
      </c>
      <c r="BS19" s="467">
        <f ca="1">INDIRECT(Tbl_MeasureList[[#This Row],[Measure ID]]&amp;"!D45")</f>
        <v>0.5</v>
      </c>
      <c r="BT19" s="204">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6.1734693877551017</v>
      </c>
      <c r="BU19" s="467">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4.0325000000000007E-2</v>
      </c>
      <c r="BV19" s="260">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0.62755901201043141</v>
      </c>
      <c r="BW19" s="248"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v>
      </c>
      <c r="BX19" s="267"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v>
      </c>
      <c r="BY19"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v>
      </c>
      <c r="BZ19"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v>
      </c>
      <c r="CA19"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v>
      </c>
      <c r="CB19" s="268"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v>
      </c>
      <c r="CC19" s="268"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v>
      </c>
      <c r="CD19" s="269"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v>
      </c>
      <c r="CE19" s="270"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v>
      </c>
      <c r="CF19" s="253"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v>
      </c>
      <c r="CG19" s="460" t="str">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v>
      </c>
      <c r="CH19" s="371"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v>
      </c>
      <c r="CI19" s="260"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v>
      </c>
      <c r="CJ19" s="320">
        <f ca="1">-Tbl_MeasureList[[#This Row],[Low Measure Energy Cost (USD/yr)]]+Tbl_MeasureList[[#This Row],[Baseline Energy Cost (USD/yr)]]</f>
        <v>76.130009450418981</v>
      </c>
      <c r="CK19"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1759.0612516397423</v>
      </c>
      <c r="CL19" s="249">
        <f ca="1">-Tbl_MeasureList[[#This Row],[Low Measure Electric Annual Consumption (kWh/yr)]]+Tbl_MeasureList[[#This Row],[Baseline Electric Annual Consumption (kWh/yr)]]</f>
        <v>-1662.7987654616359</v>
      </c>
      <c r="CM19" s="249" t="str">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v>
      </c>
      <c r="CN19" s="249" t="str">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v>
      </c>
      <c r="CO19" s="268">
        <f ca="1">-Tbl_MeasureList[[#This Row],[Low Measure Electric Winter Peak Demand (kW)]]+Tbl_MeasureList[[#This Row],[Baseline Electric Winter Peak Demand (kW)]]</f>
        <v>-0.65645430930186965</v>
      </c>
      <c r="CP19" s="479">
        <f ca="1">-Tbl_MeasureList[[#This Row],[Low Measure Electric Summer Peak Demand (kW)]]+Tbl_MeasureList[[#This Row],[Baseline Electric Summer Peak Demand (kW)]]</f>
        <v>-0.30853352537187873</v>
      </c>
      <c r="CQ19" s="481">
        <f ca="1">-Tbl_MeasureList[[#This Row],[Low Measure Natural Gas Annual Consumption (therms/yr)]]+Tbl_MeasureList[[#This Row],[Baseline Natural Gas Annual Consumption (therms/yr)]]</f>
        <v>0</v>
      </c>
      <c r="CR19" s="490">
        <f ca="1">-Tbl_MeasureList[[#This Row],[Low Measure Propane Annual Consumption (MMBtu/yr)]]+Tbl_MeasureList[[#This Row],[Baseline Propane Annual Consumption (MMBtu/yr)]]</f>
        <v>0</v>
      </c>
      <c r="CS19" s="252">
        <f ca="1">-Tbl_MeasureList[[#This Row],[Low Measure Oil Annual Consumption (MMBtu/yr)]]+Tbl_MeasureList[[#This Row],[Baseline Oil Annual Consumption (MMBtu/yr)]]</f>
        <v>18.033333333333335</v>
      </c>
      <c r="CT19"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12.359863945578233</v>
      </c>
      <c r="CU19" s="487">
        <f ca="1">-Tbl_MeasureList[[#This Row],[Low Measure Carbon Emissions, Site (tons CO2/yr)]]+Tbl_MeasureList[[#This Row],[Baseline Carbon Emissions, Site (tons CO2/yr)]]</f>
        <v>1.4543883333333336</v>
      </c>
      <c r="CV19" s="491">
        <f ca="1">-Tbl_MeasureList[[#This Row],[Low Measure Carbon Emissions, Source (tons CO2/yr)]]+Tbl_MeasureList[[#This Row],[Baseline Carbon Emissions, Source (tons CO2/yr)]]</f>
        <v>0.86715432132290216</v>
      </c>
      <c r="CW19" s="48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v>
      </c>
      <c r="CX19" s="477"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v>
      </c>
      <c r="CY19"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v>
      </c>
      <c r="CZ19"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v>
      </c>
      <c r="DA19"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v>
      </c>
      <c r="DB19" s="47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v>
      </c>
      <c r="DC19" s="268"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v>
      </c>
      <c r="DD19" s="26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v>
      </c>
      <c r="DE19" s="270"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v>
      </c>
      <c r="DF19" s="25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v>
      </c>
      <c r="DG19" s="270" t="str">
        <f>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v>
      </c>
      <c r="DH19" s="38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v>
      </c>
      <c r="DI19" s="321"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v>
      </c>
      <c r="DJ19" s="320">
        <f ca="1">-Tbl_MeasureList[[#This Row],[Low Measure Energy Cost (USD/yr)]]+Tbl_MeasureList[[#This Row],[Code (old fuel) Energy Cost (USD/yr)]]</f>
        <v>31.530543014482703</v>
      </c>
      <c r="DK19" s="267">
        <f ca="1">Tbl_MeasureList[[#This Row],[Low Measure Installed Costs (USD)]]-Tbl_MeasureList[[#This Row],[Code (old fuel) Installed Costs (USD)]]</f>
        <v>1510</v>
      </c>
      <c r="DL19" s="249">
        <f ca="1">-Tbl_MeasureList[[#This Row],[Low Measure Electric Annual Consumption (kWh/yr)]]+Tbl_MeasureList[[#This Row],[Code (old fuel) Electric Annual Consumption (kWh/yr)]]</f>
        <v>-1662.7987654616359</v>
      </c>
      <c r="DM19" s="249" t="str">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v>
      </c>
      <c r="DN19" s="249" t="str">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v>
      </c>
      <c r="DO19" s="268">
        <f ca="1">-Tbl_MeasureList[[#This Row],[Low Measure Electric Winter Peak Demand (kW)]]+Tbl_MeasureList[[#This Row],[Code (old fuel) Electric Winter Peak Demand (kW)]]</f>
        <v>-0.65645430930186965</v>
      </c>
      <c r="DP19" s="479">
        <f ca="1">-Tbl_MeasureList[[#This Row],[Low Measure Electric Summer Peak Demand (kW)]]+Tbl_MeasureList[[#This Row],[Code (old fuel) Electric Summer Peak Demand (kW)]]</f>
        <v>-0.30853352537187873</v>
      </c>
      <c r="DQ19" s="481">
        <f ca="1">-Tbl_MeasureList[[#This Row],[Low Measure Natural Gas Annual Consumption (therms/yr)]]+Tbl_MeasureList[[#This Row],[Code (old fuel) Natural Gas Annual Consumption (therms/yr)]]</f>
        <v>0</v>
      </c>
      <c r="DR19" s="490">
        <f ca="1">-Tbl_MeasureList[[#This Row],[Low Measure Propane Annual Consumption (MMBtu/yr)]]+Tbl_MeasureList[[#This Row],[Code (old fuel) Propane Annual Consumption (MMBtu/yr)]]</f>
        <v>0</v>
      </c>
      <c r="DS19" s="252">
        <f ca="1">-Tbl_MeasureList[[#This Row],[Low Measure Oil Annual Consumption (MMBtu/yr)]]+Tbl_MeasureList[[#This Row],[Code (old fuel) Oil Annual Consumption (MMBtu/yr)]]</f>
        <v>16.047619047619047</v>
      </c>
      <c r="DT19"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10.374149659863946</v>
      </c>
      <c r="DU19" s="487">
        <f ca="1">-Tbl_MeasureList[[#This Row],[Low Measure Carbon Emissions, Site (tons CO2/yr)]]+Tbl_MeasureList[[#This Row],[Code (old fuel) Carbon Emissions, Site (tons CO2/yr)]]</f>
        <v>1.2942404761904764</v>
      </c>
      <c r="DV19" s="491">
        <f ca="1">-Tbl_MeasureList[[#This Row],[Low Measure Carbon Emissions, Source (tons CO2/yr)]]+Tbl_MeasureList[[#This Row],[Code (old fuel) Carbon Emissions, Source (tons CO2/yr)]]</f>
        <v>0.70700646418004498</v>
      </c>
      <c r="DW19" s="48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(old fuel) Energy Cost (USD/yr)]],
        "-")</f>
        <v>-</v>
      </c>
      <c r="DX19" s="477"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v>
      </c>
      <c r="DY19"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v>
      </c>
      <c r="DZ19"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v>
      </c>
      <c r="EA19"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v>
      </c>
      <c r="EB19" s="47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v>
      </c>
      <c r="EC19" s="268"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v>
      </c>
      <c r="ED19" s="26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v>
      </c>
      <c r="EE19" s="270"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v>
      </c>
      <c r="EF19" s="25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v>
      </c>
      <c r="EG19" s="270" t="str">
        <f>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v>
      </c>
      <c r="EH19" s="38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v>
      </c>
      <c r="EI19" s="321"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v>
      </c>
      <c r="EJ19" s="477">
        <f ca="1">Tbl_MeasureList[[#This Row],[Code (old fuel) Energy Cost (USD/yr)]]-Tbl_MeasureList[[#This Row],[Code (new fuel) Energy Cost (USD/yr)]]</f>
        <v>-504.21702940744791</v>
      </c>
      <c r="EK19" s="496">
        <f ca="1">Tbl_MeasureList[[#This Row],[Code (old fuel) Electric Annual Consumption (kWh/yr)]]-Tbl_MeasureList[[#This Row],[Code (new fuel) Electric Annual Consumption (kWh/yr)]]</f>
        <v>-4428.105408022835</v>
      </c>
      <c r="EL19" s="496" t="str">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v>
      </c>
      <c r="EM19" s="496" t="str">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v>
      </c>
      <c r="EN19" s="500">
        <f ca="1">Tbl_MeasureList[[#This Row],[Code (old fuel) Electric Winter Peak Demand (kW)]]-Tbl_MeasureList[[#This Row],[Code (new fuel) Electric Winter Peak Demand (kW)]]</f>
        <v>-1.7481663671625878</v>
      </c>
      <c r="EO19" s="493">
        <f ca="1">Tbl_MeasureList[[#This Row],[Code (old fuel) Electric Summer Peak Demand (kW)]]-Tbl_MeasureList[[#This Row],[Code (new fuel) Electric Summer Peak Demand (kW)]]</f>
        <v>-0.82163819256641624</v>
      </c>
      <c r="EP19" s="502">
        <f ca="1">Tbl_MeasureList[[#This Row],[Code (old fuel) Natural Gas Annual Consumption (therms/yr)]]-Tbl_MeasureList[[#This Row],[Code (new fuel) Natural Gas Annual Consumption (therms/yr)]]</f>
        <v>0</v>
      </c>
      <c r="EQ19" s="215">
        <f ca="1">Tbl_MeasureList[[#This Row],[Code (old fuel) Propane Annual Consumption (MMBtu/yr)]]-Tbl_MeasureList[[#This Row],[Code (new fuel) Propane Annual Consumption (MMBtu/yr)]]</f>
        <v>0</v>
      </c>
      <c r="ER19" s="502">
        <f ca="1">Tbl_MeasureList[[#This Row],[Code (old fuel) Oil Annual Consumption (MMBtu/yr)]]-Tbl_MeasureList[[#This Row],[Code (new fuel) Oil Annual Consumption (MMBtu/yr)]]</f>
        <v>16.547619047619047</v>
      </c>
      <c r="ES19" s="215">
        <f ca="1">Tbl_MeasureList[[#This Row],[Code (old fuel) Energy Consumption on MMBtu Basis (MMBtu/yr)]]-Tbl_MeasureList[[#This Row],[Code (new fuel) Energy Consumption on MMBtu Basis (MMBtu/yr)]]</f>
        <v>1.4389233954451335</v>
      </c>
      <c r="ET19" s="502">
        <f ca="1">Tbl_MeasureList[[#This Row],[Code (old fuel) Carbon Emissions, Site (tons CO2/yr)]]-Tbl_MeasureList[[#This Row],[Code (new fuel) Carbon Emissions, Site (tons CO2/yr)]]</f>
        <v>1.3345654761904764</v>
      </c>
      <c r="EU19" s="498">
        <f ca="1">Tbl_MeasureList[[#This Row],[Code (old fuel) Carbon Emissions, Source (tons CO2/yr)]]-Tbl_MeasureList[[#This Row],[Code (new fuel) Carbon Emissions, Source (tons CO2/yr)]]</f>
        <v>-0.22926422970686811</v>
      </c>
      <c r="EV19" s="450">
        <f ca="1">Tbl_MeasureList[[#This Row],[ER Total Low Measure Electric Annual Consumption Savings (kWh/yr)]]*COAL_BTU_PER_SITE_KWH/Btu_per_MMBtu</f>
        <v>-0.18302900591329807</v>
      </c>
      <c r="EW19" s="411">
        <f ca="1">Tbl_MeasureList[[#This Row],[ER Total Low Measure Electric Annual Consumption Savings (kWh/yr)]]*COAL_LBS_PER_SITE_KWH</f>
        <v>-16.055175957306847</v>
      </c>
      <c r="EX19" s="326">
        <f ca="1">Tbl_MeasureList[[#This Row],[ER Total Low Measure Electric Annual Consumption Savings (kWh/yr)]]*OIL_BTU_PER_SITE_KWH/Btu_per_MMBtu</f>
        <v>-0.21070195983371642</v>
      </c>
      <c r="EY19" s="325">
        <f ca="1">Tbl_MeasureList[[#This Row],[ER Total Low Measure Electric Annual Consumption Savings (kWh/yr)]]*OIL_GAL_PER_SITE_KWH</f>
        <v>-1.5274345560456444</v>
      </c>
      <c r="EZ19" s="326">
        <f ca="1">Tbl_MeasureList[[#This Row],[ER Total Low Measure Oil Annual Consumption Savings (MMBtu/yr)]]*Btu_per_MMBtu/OIL_BTU_PER_GAL</f>
        <v>130.72843041308735</v>
      </c>
      <c r="FA19" s="325">
        <f ca="1">Tbl_MeasureList[[#This Row],[Current ER Total Low Measure Oil Source Fuel Savings (gallons oil/year)]]+Tbl_MeasureList[[#This Row],[Current ER Total Low Measure Oil Site Fuel Savings (gallons oil/year)]]</f>
        <v>129.2009958570417</v>
      </c>
      <c r="FB19" s="326">
        <f ca="1">Tbl_MeasureList[[#This Row],[ER Total Low Measure Electric Annual Consumption Savings (kWh/yr)]]*GAS_BTU_PER_SITE_KWH/Btu_per_MMBtu</f>
        <v>-6.8043901540459188</v>
      </c>
      <c r="FC19" s="327">
        <f ca="1">Tbl_MeasureList[[#This Row],[ER Total Low Measure Electric Annual Consumption Savings (kWh/yr)]]*GAS_CUFT_PER_SITE_KWH/1000</f>
        <v>-6.612624056410028</v>
      </c>
      <c r="FD19" s="328">
        <f ca="1">Tbl_MeasureList[[#This Row],[ER Total Low Measure Natural Gas Annual Consumption Savings (therms/yr)]]*Btu_per_MMBtu/(GAS_BTU_PER_CUFT*Therm_per_MMBtu*1000)</f>
        <v>0</v>
      </c>
      <c r="FE19" s="329">
        <f ca="1">Tbl_MeasureList[[#This Row],[Current ER Total Low Measure Gas Source Fuel Savings (1,000 cu.ft. gas/year)]]+Tbl_MeasureList[[#This Row],[Current ER Total Low Measure Gas Site Fuel Savings (1,000 cu.ft gas/year)]]</f>
        <v>-6.612624056410028</v>
      </c>
      <c r="FF19" s="324" t="str">
        <f>IFERROR(Tbl_MeasureList[[#This Row],[ER Total High Measure Electric Annual Consumption Savings (kWh/yr)]]*COAL_BTU_PER_SITE_KWH/Btu_per_MMBtu,"-")</f>
        <v>-</v>
      </c>
      <c r="FG19" s="325" t="str">
        <f>IFERROR(Tbl_MeasureList[[#This Row],[ER Total High Measure Electric Annual Consumption Savings (kWh/yr)]]*COAL_LBS_PER_SITE_KWH,"-")</f>
        <v>-</v>
      </c>
      <c r="FH19" s="326" t="str">
        <f>IFERROR(Tbl_MeasureList[[#This Row],[ER Total High Measure Electric Annual Consumption Savings (kWh/yr)]]*OIL_BTU_PER_SITE_KWH/Btu_per_MMBtu,"-")</f>
        <v>-</v>
      </c>
      <c r="FI19" s="325" t="str">
        <f>IFERROR(Tbl_MeasureList[[#This Row],[ER Total High Measure Electric Annual Consumption Savings (kWh/yr)]]*OIL_GAL_PER_SITE_KWH,"-")</f>
        <v>-</v>
      </c>
      <c r="FJ19" s="326" t="str">
        <f>IFERROR(Tbl_MeasureList[[#This Row],[ER Total High Measure Oil Annual Consumption Savings (MMBtu/yr)]]*Btu_per_MMBtu/OIL_BTU_PER_GAL,"-")</f>
        <v>-</v>
      </c>
      <c r="FK19" s="325" t="str">
        <f>IFERROR(Tbl_MeasureList[[#This Row],[Current ER Total High Measure Oil Source Fuel Savings (gallons oil/year)]]+Tbl_MeasureList[[#This Row],[Current ER Total High Measure Oil Site Fuel Savings (gallons oil/year)]],"-")</f>
        <v>-</v>
      </c>
      <c r="FL19" s="326" t="str">
        <f>IFERROR(Tbl_MeasureList[[#This Row],[ER Total High Measure Electric Annual Consumption Savings (kWh/yr)]]*GAS_BTU_PER_SITE_KWH/Btu_per_MMBtu,"-")</f>
        <v>-</v>
      </c>
      <c r="FM19" s="327" t="str">
        <f>IFERROR(Tbl_MeasureList[[#This Row],[ER Total High Measure Electric Annual Consumption Savings (kWh/yr)]]*GAS_CUFT_PER_SITE_KWH/1000,"-")</f>
        <v>-</v>
      </c>
      <c r="FN19" s="328" t="str">
        <f>IFERROR(Tbl_MeasureList[[#This Row],[ER Total High Measure Natural Gas Annual Consumption Savings (therms/yr)]]*Btu_per_MMBtu/(GAS_BTU_PER_CUFT*Therm_per_MMBtu*1000),"-")</f>
        <v>-</v>
      </c>
      <c r="FO19" s="329" t="str">
        <f>IFERROR(Tbl_MeasureList[[#This Row],[Current ER Total High Measure Gas Source Fuel Savings (1,000 cu.ft. gas/year)]]+Tbl_MeasureList[[#This Row],[Current ER Total High Measure Gas Site Fuel Savings (1,000 cu.ft gas/year)]],"-")</f>
        <v>-</v>
      </c>
      <c r="FP19" s="412">
        <f ca="1">Tbl_MeasureList[[#This Row],[ROF Low Measure Electric Annual Consumption Savings (kWh/yr)]]*COAL_BTU_PER_SITE_KWH/Btu_per_MMBtu</f>
        <v>-0.18302900591329807</v>
      </c>
      <c r="FQ19" s="327">
        <f ca="1">Tbl_MeasureList[[#This Row],[ROF Low Measure Electric Annual Consumption Savings (kWh/yr)]]*COAL_LBS_PER_SITE_KWH</f>
        <v>-16.055175957306847</v>
      </c>
      <c r="FR19" s="412">
        <f ca="1">Tbl_MeasureList[[#This Row],[ROF Low Measure Electric Annual Consumption Savings (kWh/yr)]]*OIL_BTU_PER_SITE_KWH/Btu_per_MMBtu</f>
        <v>-0.21070195983371642</v>
      </c>
      <c r="FS19" s="327">
        <f ca="1">Tbl_MeasureList[[#This Row],[ROF Low Measure Electric Annual Consumption Savings (kWh/yr)]]*OIL_GAL_PER_SITE_KWH</f>
        <v>-1.5274345560456444</v>
      </c>
      <c r="FT19" s="412">
        <f ca="1">Tbl_MeasureList[[#This Row],[ROF Low Measure Oil Annual Consumption Savings (MMBtu/yr)]]*Btu_per_MMBtu/OIL_BTU_PER_GAL</f>
        <v>116.33345933248067</v>
      </c>
      <c r="FU19" s="327">
        <f ca="1">Tbl_MeasureList[[#This Row],[Current ROF Low Measure Oil Source Fuel Savings (gallons oil/year)]]+Tbl_MeasureList[[#This Row],[Current ROF Low Measure Oil Site Fuel Savings (gallons oil/year)]]</f>
        <v>114.80602477643502</v>
      </c>
      <c r="FV19" s="412">
        <f ca="1">Tbl_MeasureList[[#This Row],[ROF Low Measure Electric Annual Consumption Savings (kWh/yr)]]*GAS_BTU_PER_SITE_KWH/Btu_per_MMBtu</f>
        <v>-6.8043901540459188</v>
      </c>
      <c r="FW19" s="327">
        <f ca="1">Tbl_MeasureList[[#This Row],[ROF Low Measure Electric Annual Consumption Savings (kWh/yr)]]*GAS_CUFT_PER_SITE_KWH/1000</f>
        <v>-6.612624056410028</v>
      </c>
      <c r="FX19" s="412">
        <f ca="1">Tbl_MeasureList[[#This Row],[ROF Low Measure Natural Gas Annual Consumption Savings (therms/yr)]]*Btu_per_MMBtu/(GAS_BTU_PER_CUFT*Therm_per_MMBtu*1000)</f>
        <v>0</v>
      </c>
      <c r="FY19" s="327">
        <f ca="1">Tbl_MeasureList[[#This Row],[Current ROF Low Measure Gas Source Fuel Savings (1,000 cu.ft. gas/year)]]+Tbl_MeasureList[[#This Row],[Current ROF Low Measure Gas Site Fuel Savings (1,000 cu.ft gas/year)]]</f>
        <v>-6.612624056410028</v>
      </c>
      <c r="FZ19" s="414" t="str">
        <f>IFERROR(Tbl_MeasureList[[#This Row],[ROF High Measure Electric Annual Consumption Savings (kWh/yr)]]*COAL_BTU_PER_SITE_KWH/Btu_per_MMBtu,"-")</f>
        <v>-</v>
      </c>
      <c r="GA19" s="327" t="str">
        <f>IFERROR(Tbl_MeasureList[[#This Row],[ROF High Measure Electric Annual Consumption Savings (kWh/yr)]]*COAL_LBS_PER_SITE_KWH,"-")</f>
        <v>-</v>
      </c>
      <c r="GB19" s="412" t="str">
        <f>IFERROR(Tbl_MeasureList[[#This Row],[ROF High Measure Electric Annual Consumption Savings (kWh/yr)]]*OIL_BTU_PER_SITE_KWH/Btu_per_MMBtu,"-")</f>
        <v>-</v>
      </c>
      <c r="GC19" s="327" t="str">
        <f>IFERROR(Tbl_MeasureList[[#This Row],[ROF High Measure Electric Annual Consumption Savings (kWh/yr)]]*OIL_GAL_PER_SITE_KWH,"-")</f>
        <v>-</v>
      </c>
      <c r="GD19" s="412" t="str">
        <f>IFERROR(Tbl_MeasureList[[#This Row],[ROF High Measure Oil Annual Consumption Savings (MMBtu/yr)]]*Btu_per_MMBtu/OIL_BTU_PER_GAL,"-")</f>
        <v>-</v>
      </c>
      <c r="GE19" s="327" t="str">
        <f>IFERROR(Tbl_MeasureList[[#This Row],[Current ROF High Measure Oil Source Fuel Savings (gallons oil/year)]]+Tbl_MeasureList[[#This Row],[Current ROF High Measure Oil Site Fuel Savings (gallons oil/year)]],"-")</f>
        <v>-</v>
      </c>
      <c r="GF19" s="412" t="str">
        <f>IFERROR(Tbl_MeasureList[[#This Row],[ROF High Measure Electric Annual Consumption Savings (kWh/yr)]]*GAS_BTU_PER_SITE_KWH/Btu_per_MMBtu,"-")</f>
        <v>-</v>
      </c>
      <c r="GG19" s="327" t="str">
        <f>IFERROR(Tbl_MeasureList[[#This Row],[ROF High Measure Electric Annual Consumption Savings (kWh/yr)]]*GAS_CUFT_PER_SITE_KWH/1000,"-")</f>
        <v>-</v>
      </c>
      <c r="GH19" s="412" t="str">
        <f>IFERROR(Tbl_MeasureList[[#This Row],[ROF High Measure Natural Gas Annual Consumption Savings (therms/yr)]]*Btu_per_MMBtu/(GAS_BTU_PER_CUFT*Therm_per_MMBtu*1000),"-")</f>
        <v>-</v>
      </c>
      <c r="GI19" s="327" t="str">
        <f>IFERROR(Tbl_MeasureList[[#This Row],[Current ROF High Measure Gas Source Fuel Savings (1,000 cu.ft. gas/year)]]+Tbl_MeasureList[[#This Row],[Current ROF High Measure Gas Site Fuel Savings (1,000 cu.ft gas/year)]],"-")</f>
        <v>-</v>
      </c>
      <c r="GJ19" s="324">
        <f ca="1">Tbl_MeasureList[[#This Row],[ER Total Low Measure Electric Annual Consumption Savings (kWh/yr)]]*COAL_BTU_PER_SITE_KWH_CES/Btu_per_MMBtu</f>
        <v>-0.31114931005260671</v>
      </c>
      <c r="GK19" s="325">
        <f ca="1">Tbl_MeasureList[[#This Row],[ER Total Low Measure Electric Annual Consumption Savings (kWh/yr)]]*COAL_LBS_PER_SITE_KWH_CES</f>
        <v>-28.255476757410708</v>
      </c>
      <c r="GL19" s="326">
        <f ca="1">Tbl_MeasureList[[#This Row],[ER Total Low Measure Electric Annual Consumption Savings (kWh/yr)]]*OIL_BTU_PER_SITE_KWH_CES/Btu_per_MMBtu</f>
        <v>-9.5773618106234734E-2</v>
      </c>
      <c r="GM19" s="325">
        <f ca="1">Tbl_MeasureList[[#This Row],[ER Total Low Measure Electric Annual Consumption Savings (kWh/yr)]]*OIL_GAL_PER_SITE_KWH_CES</f>
        <v>-0.64614109797492136</v>
      </c>
      <c r="GN19" s="326">
        <f ca="1">Tbl_MeasureList[[#This Row],[ER Total Low Measure Oil Annual Consumption Savings (MMBtu/yr)]]*Btu_per_MMBtu/OIL_BTU_PER_GAL_CES</f>
        <v>121.66270869314913</v>
      </c>
      <c r="GO19" s="325">
        <f ca="1">Tbl_MeasureList[[#This Row],[CES ER Low Measure Oil Source Fuel Savings (gallons oil/year)]]+Tbl_MeasureList[[#This Row],[CES ER Low Measure Oil Site Fuel Savings (gallons oil/year)]]</f>
        <v>121.01656759517421</v>
      </c>
      <c r="GP19" s="326">
        <f ca="1">Tbl_MeasureList[[#This Row],[ER Total Low Measure Electric Annual Consumption Savings (kWh/yr)]]*GAS_BTU_PER_SITE_KWH_CES/Btu_per_MMBtu</f>
        <v>-2.8328481457660559</v>
      </c>
      <c r="GQ19" s="327">
        <f ca="1">Tbl_MeasureList[[#This Row],[ER Total Low Measure Electric Annual Consumption Savings (kWh/yr)]]*GAS_CUFT_PER_SITE_KWH_CES/1000</f>
        <v>-2.7503380055981128</v>
      </c>
      <c r="GR19" s="328">
        <f ca="1">Tbl_MeasureList[[#This Row],[ER Total Low Measure Natural Gas Annual Consumption Savings (therms/yr)]]*Btu_per_MMBtu/(GAS_BTU_PER_CUFT_CES*Therm_per_MMBtu*1000)</f>
        <v>0</v>
      </c>
      <c r="GS19" s="329">
        <f ca="1">Tbl_MeasureList[[#This Row],[CES ER Low Measure Gas Source Fuel Savings (1,000 cu.ft. gas/year)]]+Tbl_MeasureList[[#This Row],[CES ER Low Measure Gas Site Fuel Savings (1,000 cu.ft gas/year)]]</f>
        <v>-2.7503380055981128</v>
      </c>
      <c r="GT19" s="324" t="str">
        <f>IFERROR(Tbl_MeasureList[[#This Row],[ER Total High Measure Electric Annual Consumption Savings (kWh/yr)]]*COAL_BTU_PER_SITE_KWH_CES/Btu_per_MMBtu,"-")</f>
        <v>-</v>
      </c>
      <c r="GU19" s="325" t="str">
        <f>IFERROR(Tbl_MeasureList[[#This Row],[ER Total High Measure Electric Annual Consumption Savings (kWh/yr)]]*COAL_LBS_PER_SITE_KWH_CES,"-")</f>
        <v>-</v>
      </c>
      <c r="GV19" s="326" t="str">
        <f>IFERROR(Tbl_MeasureList[[#This Row],[ER Total High Measure Electric Annual Consumption Savings (kWh/yr)]]*OIL_BTU_PER_SITE_KWH_CES/Btu_per_MMBtu,"-")</f>
        <v>-</v>
      </c>
      <c r="GW19" s="325" t="str">
        <f>IFERROR(Tbl_MeasureList[[#This Row],[ER Total High Measure Electric Annual Consumption Savings (kWh/yr)]]*OIL_GAL_PER_SITE_KWH_CES,"-")</f>
        <v>-</v>
      </c>
      <c r="GX19" s="326" t="str">
        <f>IFERROR(Tbl_MeasureList[[#This Row],[ER Total High Measure Oil Annual Consumption Savings (MMBtu/yr)]]*Btu_per_MMBtu/OIL_BTU_PER_GAL_CES,"-")</f>
        <v>-</v>
      </c>
      <c r="GY19" s="325" t="str">
        <f>IFERROR(Tbl_MeasureList[[#This Row],[CES ER High Measure Oil Source Fuel Savings (gallons oil/year)]]+Tbl_MeasureList[[#This Row],[CES ER High Measure Oil Site Fuel Savings (gallons oil/year)]],"-")</f>
        <v>-</v>
      </c>
      <c r="GZ19" s="326" t="str">
        <f>IFERROR(Tbl_MeasureList[[#This Row],[ER Total High Measure Electric Annual Consumption Savings (kWh/yr)]]*GAS_BTU_PER_SITE_KWH_CES/Btu_per_MMBtu,"-")</f>
        <v>-</v>
      </c>
      <c r="HA19" s="327" t="str">
        <f>IFERROR(Tbl_MeasureList[[#This Row],[ER Total High Measure Electric Annual Consumption Savings (kWh/yr)]]*GAS_CUFT_PER_SITE_KWH_CES/1000,"-")</f>
        <v>-</v>
      </c>
      <c r="HB19" s="328" t="str">
        <f>IFERROR(Tbl_MeasureList[[#This Row],[ER Total High Measure Natural Gas Annual Consumption Savings (therms/yr)]]*Btu_per_MMBtu/(GAS_BTU_PER_CUFT_CES*Therm_per_MMBtu*1000),"-")</f>
        <v>-</v>
      </c>
      <c r="HC19" s="329" t="str">
        <f>IFERROR(Tbl_MeasureList[[#This Row],[CES ER High Measure Gas Source Fuel Savings (1,000 cu.ft. gas/year)]]+Tbl_MeasureList[[#This Row],[CES ER High Measure Gas Site Fuel Savings (1,000 cu.ft gas/year)]],"-")</f>
        <v>-</v>
      </c>
      <c r="HD19" s="315">
        <f ca="1">Tbl_MeasureList[[#This Row],[ROF Low Measure Electric Annual Consumption Savings (kWh/yr)]]*COAL_BTU_PER_SITE_KWH_CES/Btu_per_MMBtu</f>
        <v>-0.31114931005260671</v>
      </c>
      <c r="HE19" s="316">
        <f ca="1">Tbl_MeasureList[[#This Row],[ROF Low Measure Electric Annual Consumption Savings (kWh/yr)]]*COAL_LBS_PER_SITE_KWH_CES</f>
        <v>-28.255476757410708</v>
      </c>
      <c r="HF19" s="317">
        <f ca="1">Tbl_MeasureList[[#This Row],[ROF Low Measure Electric Annual Consumption Savings (kWh/yr)]]*OIL_BTU_PER_SITE_KWH_CES/Btu_per_MMBtu</f>
        <v>-9.5773618106234734E-2</v>
      </c>
      <c r="HG19" s="316">
        <f ca="1">Tbl_MeasureList[[#This Row],[ROF Low Measure Electric Annual Consumption Savings (kWh/yr)]]*OIL_GAL_PER_SITE_KWH_CES</f>
        <v>-0.64614109797492136</v>
      </c>
      <c r="HH19" s="317">
        <f ca="1">Tbl_MeasureList[[#This Row],[ROF Low Measure Oil Annual Consumption Savings (MMBtu/yr)]]*Btu_per_MMBtu/OIL_BTU_PER_GAL_CES</f>
        <v>108.26599638128135</v>
      </c>
      <c r="HI19" s="316">
        <f ca="1">Tbl_MeasureList[[#This Row],[CES ROF Low Measure Oil Source Fuel Savings (gallons oil/year)]]+Tbl_MeasureList[[#This Row],[CES ROF Low Measure Oil Site Fuel Savings (gallons oil/year)]]</f>
        <v>107.61985528330644</v>
      </c>
      <c r="HJ19" s="317">
        <f ca="1">Tbl_MeasureList[[#This Row],[ROF Low Measure Electric Annual Consumption Savings (kWh/yr)]]*GAS_BTU_PER_SITE_KWH_CES/Btu_per_MMBtu</f>
        <v>-2.8328481457660559</v>
      </c>
      <c r="HK19" s="316">
        <f ca="1">Tbl_MeasureList[[#This Row],[ROF Low Measure Electric Annual Consumption Savings (kWh/yr)]]*GAS_CUFT_PER_SITE_KWH_CES/1000</f>
        <v>-2.7503380055981128</v>
      </c>
      <c r="HL19" s="317">
        <f ca="1">Tbl_MeasureList[[#This Row],[ROF Low Measure Natural Gas Annual Consumption Savings (therms/yr)]]*Btu_per_MMBtu/(GAS_BTU_PER_CUFT_CES*Therm_per_MMBtu*1000)</f>
        <v>0</v>
      </c>
      <c r="HM19" s="318">
        <f ca="1">Tbl_MeasureList[[#This Row],[CES ROF Low Measure Gas Source Fuel Savings (1,000 cu.ft. gas/year)]]+Tbl_MeasureList[[#This Row],[CES ROF Low Measure Gas Site Fuel Savings (1,000 cu.ft gas/year)]]</f>
        <v>-2.7503380055981128</v>
      </c>
      <c r="HN19" s="315" t="str">
        <f>IFERROR(Tbl_MeasureList[[#This Row],[ROF High Measure Electric Annual Consumption Savings (kWh/yr)]]*COAL_BTU_PER_SITE_KWH_CES/Btu_per_MMBtu,"-")</f>
        <v>-</v>
      </c>
      <c r="HO19" s="316" t="str">
        <f>IFERROR(Tbl_MeasureList[[#This Row],[ROF High Measure Electric Annual Consumption Savings (kWh/yr)]]*COAL_LBS_PER_SITE_KWH_CES,"-")</f>
        <v>-</v>
      </c>
      <c r="HP19" s="317" t="str">
        <f>IFERROR(Tbl_MeasureList[[#This Row],[ROF High Measure Electric Annual Consumption Savings (kWh/yr)]]*OIL_BTU_PER_SITE_KWH_CES/Btu_per_MMBtu,"-")</f>
        <v>-</v>
      </c>
      <c r="HQ19" s="316" t="str">
        <f>IFERROR(Tbl_MeasureList[[#This Row],[ROF High Measure Electric Annual Consumption Savings (kWh/yr)]]*OIL_GAL_PER_SITE_KWH_CES,"-")</f>
        <v>-</v>
      </c>
      <c r="HR19" s="317" t="str">
        <f>IFERROR(Tbl_MeasureList[[#This Row],[ROF High Measure Oil Annual Consumption Savings (MMBtu/yr)]]*Btu_per_MMBtu/OIL_BTU_PER_GAL_CES,"-")</f>
        <v>-</v>
      </c>
      <c r="HS19" s="316" t="str">
        <f>IFERROR(Tbl_MeasureList[[#This Row],[CES ROF High Measure Oil Source Fuel Savings (gallons oil/year)]]+Tbl_MeasureList[[#This Row],[CES ROF High Measure Oil Site Fuel Savings (gallons oil/year)]],"-")</f>
        <v>-</v>
      </c>
      <c r="HT19" s="317" t="str">
        <f>IFERROR(Tbl_MeasureList[[#This Row],[ROF High Measure Electric Annual Consumption Savings (kWh/yr)]]*GAS_BTU_PER_SITE_KWH_CES/Btu_per_MMBtu,"-")</f>
        <v>-</v>
      </c>
      <c r="HU19" s="316" t="str">
        <f>IFERROR(Tbl_MeasureList[[#This Row],[ROF High Measure Electric Annual Consumption Savings (kWh/yr)]]*GAS_CUFT_PER_SITE_KWH_CES/1000,"-")</f>
        <v>-</v>
      </c>
      <c r="HV19" s="317" t="str">
        <f>IFERROR(Tbl_MeasureList[[#This Row],[ROF High Measure Natural Gas Annual Consumption Savings (therms/yr)]]*Btu_per_MMBtu/(GAS_BTU_PER_CUFT_CES*Therm_per_MMBtu*1000),"-")</f>
        <v>-</v>
      </c>
      <c r="HW19" s="318" t="str">
        <f>IFERROR(Tbl_MeasureList[[#This Row],[CES ROF High Measure Gas Source Fuel Savings (1,000 cu.ft. gas/year)]]+Tbl_MeasureList[[#This Row],[CES ROF High Measure Gas Site Fuel Savings (1,000 cu.ft gas/year)]],"-")</f>
        <v>-</v>
      </c>
      <c r="HX19" s="248">
        <f>Tbl_MeasureList[[#This Row],[Baseline Energy Cost (USD/yr)]]-Tbl_MeasureList[[#This Row],[Code (old fuel) Energy Cost (USD/yr)]]</f>
        <v>44.599466435936279</v>
      </c>
      <c r="HY19" s="201">
        <f>0</f>
        <v>0</v>
      </c>
      <c r="HZ19" s="86">
        <f>Tbl_MeasureList[[#This Row],[Baseline Electric Annual Consumption (kWh/yr)]]-Tbl_MeasureList[[#This Row],[Code (old fuel) Electric Annual Consumption (kWh/yr)]]</f>
        <v>0</v>
      </c>
      <c r="IA19" s="86" t="str">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v>
      </c>
      <c r="IB19" s="86" t="str">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v>
      </c>
      <c r="IC19" s="152">
        <f>Tbl_MeasureList[[#This Row],[Baseline Electric Winter Peak Demand (kW)]]-Tbl_MeasureList[[#This Row],[Code (old fuel) Electric Winter Peak Demand (kW)]]</f>
        <v>0</v>
      </c>
      <c r="ID19" s="152">
        <f>Tbl_MeasureList[[#This Row],[Baseline Electric Summer Peak Demand (kW)]]-Tbl_MeasureList[[#This Row],[Code (old fuel) Electric Summer Peak Demand (kW)]]</f>
        <v>0</v>
      </c>
      <c r="IE19" s="251">
        <f>Tbl_MeasureList[[#This Row],[Baseline Natural Gas Annual Consumption (therms/yr)]]-Tbl_MeasureList[[#This Row],[Code (old fuel) Natural Gas Annual Consumption (therms/yr)]]</f>
        <v>0</v>
      </c>
      <c r="IF19" s="252">
        <f>Tbl_MeasureList[[#This Row],[Baseline Propane Annual Consumption (MMBtu/yr)]]-Tbl_MeasureList[[#This Row],[Code (old fuel) Propane Annual Consumption (MMBtu/yr)]]</f>
        <v>0</v>
      </c>
      <c r="IG19" s="253">
        <f>Tbl_MeasureList[[#This Row],[Baseline Oil Annual Consumption (MMBtu/yr)]]-Tbl_MeasureList[[#This Row],[Code (old fuel) Oil Annual Consumption (MMBtu/yr)]]</f>
        <v>1.9857142857142875</v>
      </c>
      <c r="IH19" s="371">
        <f>Tbl_MeasureList[[#This Row],[Baseline Energy Consumption on MMBtu Basis (MMBtu/yr)]]-Tbl_MeasureList[[#This Row],[Code (old fuel) Energy Consumption on MMBtu Basis (MMBtu/yr)]]</f>
        <v>1.9857142857142875</v>
      </c>
      <c r="II19" s="371">
        <f>Tbl_MeasureList[[#This Row],[Baseline Carbon Emissions, Site (tons CO2/yr)]]-Tbl_MeasureList[[#This Row],[Code (old fuel) Carbon Emissions, Site (tons CO2/yr)]]</f>
        <v>0.16014785714285718</v>
      </c>
      <c r="IJ19" s="279">
        <f>Tbl_MeasureList[[#This Row],[Baseline Carbon Emissions, Source (tons CO2/yr)]]-Tbl_MeasureList[[#This Row],[Code (old fuel) Carbon Emissions, Source (tons CO2/yr)]]</f>
        <v>0.16014785714285718</v>
      </c>
      <c r="IK19" s="273">
        <f ca="1">Tbl_MeasureList[[#This Row],[Code (new fuel) Energy Cost (USD/yr)]]-Tbl_MeasureList[[#This Row],[Low Measure Energy Cost (USD/yr)]]</f>
        <v>535.74757242193061</v>
      </c>
      <c r="IL19"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1759.0612516397423</v>
      </c>
      <c r="IM19" s="85">
        <f ca="1">Tbl_MeasureList[[#This Row],[Code (old fuel) Electric Annual Consumption (kWh/yr)]]-Tbl_MeasureList[[#This Row],[Low Measure Electric Annual Consumption (kWh/yr)]]</f>
        <v>-1662.7987654616359</v>
      </c>
      <c r="IN19" s="85" t="str">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v>
      </c>
      <c r="IO19" s="85" t="str">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v>
      </c>
      <c r="IP19" s="152">
        <f ca="1">Tbl_MeasureList[[#This Row],[Code (old fuel) Electric Winter Peak Demand (kW)]]-Tbl_MeasureList[[#This Row],[Low Measure Electric Winter Peak Demand (kW)]]</f>
        <v>-0.65645430930186965</v>
      </c>
      <c r="IQ19" s="152">
        <f ca="1">Tbl_MeasureList[[#This Row],[Code (old fuel) Electric Summer Peak Demand (kW)]]-Tbl_MeasureList[[#This Row],[Low Measure Electric Summer Peak Demand (kW)]]</f>
        <v>-0.30853352537187873</v>
      </c>
      <c r="IR19" s="204">
        <f ca="1">Tbl_MeasureList[[#This Row],[Code (old fuel) Natural Gas Annual Consumption (therms/yr)]]-Tbl_MeasureList[[#This Row],[Low Measure Natural Gas Annual Consumption (therms/yr)]]</f>
        <v>0</v>
      </c>
      <c r="IS19" s="153">
        <f ca="1">Tbl_MeasureList[[#This Row],[Code (old fuel) Propane Annual Consumption (MMBtu/yr)]]-Tbl_MeasureList[[#This Row],[Low Measure Propane Annual Consumption (MMBtu/yr)]]</f>
        <v>0</v>
      </c>
      <c r="IT19" s="204">
        <f ca="1">Tbl_MeasureList[[#This Row],[Code (old fuel) Oil Annual Consumption (MMBtu/yr)]]-Tbl_MeasureList[[#This Row],[Low Measure Oil Annual Consumption (MMBtu/yr)]]</f>
        <v>16.047619047619047</v>
      </c>
      <c r="IU19" s="204">
        <f ca="1">Tbl_MeasureList[[#This Row],[Code (old fuel) Energy Consumption on MMBtu Basis (MMBtu/yr)]]-Tbl_MeasureList[[#This Row],[Low Measure Energy Consumption on MMBtu Basis (MMBtu/yr)]]</f>
        <v>10.374149659863946</v>
      </c>
      <c r="IV19" s="204">
        <f ca="1">Tbl_MeasureList[[#This Row],[Code (old fuel) Carbon Emissions, Site (tons CO2/yr)]]-Tbl_MeasureList[[#This Row],[Low Measure Carbon Emissions, Site (tons CO2/yr)]]</f>
        <v>1.2942404761904764</v>
      </c>
      <c r="IW19" s="260">
        <f ca="1">Tbl_MeasureList[[#This Row],[Code (old fuel) Carbon Emissions, Source (tons CO2/yr)]]-Tbl_MeasureList[[#This Row],[Low Measure Carbon Emissions, Source (tons CO2/yr)]]</f>
        <v>0.70700646418004498</v>
      </c>
      <c r="IX19" s="27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v>
      </c>
      <c r="IY19" s="201"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v>
      </c>
      <c r="IZ19" s="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v>
      </c>
      <c r="JA19" s="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v>
      </c>
      <c r="JB19" s="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v>
      </c>
      <c r="JC19" s="152"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v>
      </c>
      <c r="JD19" s="152"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v>
      </c>
      <c r="JE19" s="204"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v>
      </c>
      <c r="JF19" s="15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v>
      </c>
      <c r="JG19" s="204"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v>
      </c>
      <c r="JH19" s="204"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v>
      </c>
      <c r="JI19" s="204"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v>
      </c>
      <c r="JJ19" s="321"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v>
      </c>
      <c r="JK19" s="432">
        <f>Tbl_MeasureList[[#This Row],[ER (Retire) Electric Annual Consumption Savings (kWh/yr)]]*COAL_BTU_PER_SITE_KWH/Btu_per_MMBtu</f>
        <v>0</v>
      </c>
      <c r="JL19" s="428">
        <f>Tbl_MeasureList[[#This Row],[ER (Retire) Electric Annual Consumption Savings (kWh/yr)]]*COAL_LBS_PER_SITE_KWH</f>
        <v>0</v>
      </c>
      <c r="JM19" s="427">
        <f>Tbl_MeasureList[[#This Row],[ER (Retire) Electric Annual Consumption Savings (kWh/yr)]]*OIL_BTU_PER_SITE_KWH/Btu_per_MMBtu</f>
        <v>0</v>
      </c>
      <c r="JN19" s="428">
        <f>Tbl_MeasureList[[#This Row],[ER (Retire) Electric Annual Consumption Savings (kWh/yr)]]*OIL_GAL_PER_SITE_KWH</f>
        <v>0</v>
      </c>
      <c r="JO19" s="427">
        <f>Tbl_MeasureList[[#This Row],[ER (Retire) Oil Annual Consumption Savings (MMBtu/yr)]]*Btu_per_MMBtu/OIL_BTU_PER_GAL</f>
        <v>14.394971080606673</v>
      </c>
      <c r="JP19" s="428">
        <f ca="1">Tbl_MeasureList[[#This Row],[Current ER (Retire) Oil Source Fuel Savings (gallons oil/year)]]+Tbl_MeasureList[[#This Row],[Current ER Total Low Measure Oil Site Fuel Savings (gallons oil/year)]]</f>
        <v>130.72843041308735</v>
      </c>
      <c r="JQ19" s="427">
        <f>Tbl_MeasureList[[#This Row],[ER (Retire) Electric Annual Consumption Savings (kWh/yr)]]*GAS_BTU_PER_SITE_KWH/Btu_per_MMBtu</f>
        <v>0</v>
      </c>
      <c r="JR19" s="429">
        <f>Tbl_MeasureList[[#This Row],[ER (Retire) Electric Annual Consumption Savings (kWh/yr)]]*GAS_CUFT_PER_SITE_KWH/1000</f>
        <v>0</v>
      </c>
      <c r="JS19" s="430">
        <f>Tbl_MeasureList[[#This Row],[ER (Retire) Natural Gas Annual Consumption Savings (therms/yr)]]*Btu_per_MMBtu/(GAS_BTU_PER_CUFT*Therm_per_MMBtu*1000)</f>
        <v>0</v>
      </c>
      <c r="JT19" s="431">
        <f ca="1">Tbl_MeasureList[[#This Row],[Current ER (Retire) Gas Source Fuel Savings (1,000 cu.ft. gas/year)]]+Tbl_MeasureList[[#This Row],[Current ER Total Low Measure Gas Site Fuel Savings (1,000 cu.ft gas/year)]]</f>
        <v>0</v>
      </c>
      <c r="JU19" s="432">
        <f ca="1">Tbl_MeasureList[[#This Row],[ER (EE) Low Measure Electric Annual Consumption Savings (kWh/yr)]]*COAL_BTU_PER_SITE_KWH/Btu_per_MMBtu</f>
        <v>-0.18302900591329807</v>
      </c>
      <c r="JV19" s="428">
        <f ca="1">Tbl_MeasureList[[#This Row],[ER (EE) Low Measure Electric Annual Consumption Savings (kWh/yr)]]*COAL_LBS_PER_SITE_KWH</f>
        <v>-16.055175957306847</v>
      </c>
      <c r="JW19" s="427">
        <f ca="1">Tbl_MeasureList[[#This Row],[ER (EE) Low Measure Electric Annual Consumption Savings (kWh/yr)]]*OIL_BTU_PER_SITE_KWH/Btu_per_MMBtu</f>
        <v>-0.21070195983371642</v>
      </c>
      <c r="JX19" s="428">
        <f ca="1">Tbl_MeasureList[[#This Row],[ER (EE) Low Measure Electric Annual Consumption Savings (kWh/yr)]]*OIL_GAL_PER_SITE_KWH</f>
        <v>-1.5274345560456444</v>
      </c>
      <c r="JY19" s="427">
        <f ca="1">Tbl_MeasureList[[#This Row],[ER (EE) Low Measure Oil Annual Consumption Savings (MMBtu/yr)]]*Btu_per_MMBtu/OIL_BTU_PER_GAL</f>
        <v>116.33345933248067</v>
      </c>
      <c r="JZ19" s="428">
        <f ca="1">Tbl_MeasureList[[#This Row],[Current ER (EE) Low Measure Oil Source Fuel Savings (gallons oil/year)]]+Tbl_MeasureList[[#This Row],[Current ER (EE) Low Measure Oil Site Fuel Savings (gallons oil/year)]]</f>
        <v>114.80602477643502</v>
      </c>
      <c r="KA19" s="427">
        <f ca="1">Tbl_MeasureList[[#This Row],[ER (EE) Low Measure Electric Annual Consumption Savings (kWh/yr)]]*GAS_BTU_PER_SITE_KWH/Btu_per_MMBtu</f>
        <v>-6.8043901540459188</v>
      </c>
      <c r="KB19" s="429">
        <f ca="1">Tbl_MeasureList[[#This Row],[ER (EE) Low Measure Electric Annual Consumption Savings (kWh/yr)]]*GAS_CUFT_PER_SITE_KWH/1000</f>
        <v>-6.612624056410028</v>
      </c>
      <c r="KC19" s="430">
        <f ca="1">Tbl_MeasureList[[#This Row],[ER (EE) Low Measure Natural Gas Annual Consumption Savings (therms/yr)]]*Btu_per_MMBtu/(GAS_BTU_PER_CUFT*Therm_per_MMBtu*1000)</f>
        <v>0</v>
      </c>
      <c r="KD19" s="431">
        <f ca="1">Tbl_MeasureList[[#This Row],[Current ER (EE) Low Measure Gas Source Fuel Savings (1,000 cu.ft. gas/year)]]+Tbl_MeasureList[[#This Row],[Current ER (EE) Low Measure Gas Site Fuel Savings (1,000 cu.ft gas/year)]]</f>
        <v>-6.612624056410028</v>
      </c>
      <c r="KE19" s="432" t="str">
        <f>IFERROR(Tbl_MeasureList[[#This Row],[ER (EE) High Measure Electric Annual Consumption Savings (kWh/yr)]]*COAL_BTU_PER_SITE_KWH/Btu_per_MMBtu,"-")</f>
        <v>-</v>
      </c>
      <c r="KF19" s="428" t="str">
        <f>IFERROR(Tbl_MeasureList[[#This Row],[ER (EE) High Measure Electric Annual Consumption Savings (kWh/yr)]]*COAL_LBS_PER_SITE_KWH,"-")</f>
        <v>-</v>
      </c>
      <c r="KG19" s="427" t="str">
        <f>IFERROR(Tbl_MeasureList[[#This Row],[ER (EE) High Measure Electric Annual Consumption Savings (kWh/yr)]]*OIL_BTU_PER_SITE_KWH/Btu_per_MMBtu,"-")</f>
        <v>-</v>
      </c>
      <c r="KH19" s="428" t="str">
        <f>IFERROR(Tbl_MeasureList[[#This Row],[ER (EE) High Measure Electric Annual Consumption Savings (kWh/yr)]]*OIL_GAL_PER_SITE_KWH,"-")</f>
        <v>-</v>
      </c>
      <c r="KI19" s="427" t="str">
        <f>IFERROR(Tbl_MeasureList[[#This Row],[ER (EE) High Measure Oil Annual Consumption Savings (MMBtu/yr)]]*Btu_per_MMBtu/OIL_BTU_PER_GAL,"-")</f>
        <v>-</v>
      </c>
      <c r="KJ19" s="428" t="str">
        <f>IFERROR(Tbl_MeasureList[[#This Row],[Current ER (EE) High Measure Oil Source Fuel Savings (gallons oil/year)]]+Tbl_MeasureList[[#This Row],[Current ER (EE) High Measure Oil Site Fuel Savings (gallons oil/year)]],"-")</f>
        <v>-</v>
      </c>
      <c r="KK19" s="427" t="str">
        <f>IFERROR(Tbl_MeasureList[[#This Row],[ER (EE) High Measure Electric Annual Consumption Savings (kWh/yr)]]*GAS_BTU_PER_SITE_KWH/Btu_per_MMBtu,"-")</f>
        <v>-</v>
      </c>
      <c r="KL19" s="429" t="str">
        <f>IFERROR(Tbl_MeasureList[[#This Row],[ER (EE) High Measure Electric Annual Consumption Savings (kWh/yr)]]*GAS_CUFT_PER_SITE_KWH/1000,"-")</f>
        <v>-</v>
      </c>
      <c r="KM19" s="430" t="str">
        <f>IFERROR(Tbl_MeasureList[[#This Row],[ER (EE) High Measure Natural Gas Annual Consumption Savings (therms/yr)]]*Btu_per_MMBtu/(GAS_BTU_PER_CUFT*Therm_per_MMBtu*1000),"-")</f>
        <v>-</v>
      </c>
      <c r="KN19" s="431" t="str">
        <f>IFERROR(Tbl_MeasureList[[#This Row],[Current ER (EE) High Measure Gas Source Fuel Savings (1,000 cu.ft. gas/year)]]+Tbl_MeasureList[[#This Row],[Current ER (EE) High Measure Gas Site Fuel Savings (1,000 cu.ft gas/year)]],"-")</f>
        <v>-</v>
      </c>
    </row>
    <row r="20" spans="2:300" x14ac:dyDescent="0.2">
      <c r="B20" s="16"/>
      <c r="C20" s="2" t="s">
        <v>94</v>
      </c>
      <c r="D20" s="12" t="str">
        <f>INDEX(Tbl_BaselineSummary[Equipment ID],MATCH(Tbl_MeasureList[[#This Row],[Baseline ID]],Tbl_BaselineSummary[Baseline ID],0))</f>
        <v>EQUI008</v>
      </c>
      <c r="E20" s="11" t="str">
        <f>INDEX(Tbl_EquipmentDefinitions[Equipment Name],MATCH('Measure List'!$D20,Tbl_EquipmentDefinitions[Equipment ID],0))</f>
        <v>Oil Boiler</v>
      </c>
      <c r="F20" s="3" t="s">
        <v>231</v>
      </c>
      <c r="G20" s="11" t="str">
        <f>INDEX(Tbl_EquipmentDefinitions[Function],MATCH('Measure List'!$D20,Tbl_EquipmentDefinitions[Equipment ID],0))</f>
        <v>Heat</v>
      </c>
      <c r="H20" s="3" t="s">
        <v>111</v>
      </c>
      <c r="I20" s="3" t="s">
        <v>39</v>
      </c>
      <c r="J20" s="11" t="str">
        <f>INDEX(Tbl_EquipmentDefinitions[Equipment Name],MATCH('Measure List'!$I20,Tbl_EquipmentDefinitions[Equipment ID],0))</f>
        <v>Gas Boiler</v>
      </c>
      <c r="K20" s="11">
        <f>INDEX(Tbl_EquipmentDefinitions[],MATCH(Tbl_MeasureList[[#This Row],[Replacement ID]],Tbl_EquipmentDefinitions[[Equipment ID]:[Equipment ID]],0),MATCH(Tbl_MeasureList[[#Headers],[New Unit Equipment Life (years)]],Tbl_EquipmentDefinitions[#Headers],0))</f>
        <v>20</v>
      </c>
      <c r="L20" s="11">
        <f>INDEX(Tbl_EquipmentDefinitions[],MATCH(Tbl_MeasureList[[#This Row],[Baseline Equipment ID]],Tbl_EquipmentDefinitions[[Equipment ID]:[Equipment ID]],0),MATCH(Tbl_MeasureList[[#Headers],[Remaining Life for Early Replacement (years)]],Tbl_EquipmentDefinitions[#Headers],0))</f>
        <v>10</v>
      </c>
      <c r="M20" s="12" t="str">
        <f>INDEX(Tbl_EquipmentDefinitions[Function],MATCH('Measure List'!$I20,Tbl_EquipmentDefinitions[Equipment ID],0))</f>
        <v>Heat</v>
      </c>
      <c r="N20" s="368" t="s">
        <v>118</v>
      </c>
      <c r="O20" s="14" t="str">
        <f t="shared" si="0"/>
        <v>OK</v>
      </c>
      <c r="P20" s="12" t="str">
        <f ca="1">IFERROR(INDIRECT(Tbl_MeasureList[[#This Row],[Measure ID]]&amp;"!D5"),"No tab")</f>
        <v>3. Ready</v>
      </c>
      <c r="Q20" s="11"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Oil</v>
      </c>
      <c r="R20" s="12"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v>
      </c>
      <c r="S20" s="11"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Natural Gas</v>
      </c>
      <c r="T20" s="247"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v>
      </c>
      <c r="U20" s="248">
        <f>INDEX(Tbl_BaselineSummary[Baseline Annual Energy Cost (USD)],MATCH(Tbl_MeasureList[[#This Row],[Baseline ID]],Tbl_BaselineSummary[Baseline ID],0))</f>
        <v>2342.4199980291783</v>
      </c>
      <c r="V20" s="249">
        <f>INDEX(Tbl_BaselineSummary[Baseline Electric Annual Consumption  (kWh)],MATCH(Tbl_MeasureList[[#This Row],[Baseline ID]],Tbl_BaselineSummary[Baseline ID],0))</f>
        <v>230</v>
      </c>
      <c r="W20" s="249">
        <f>INDEX(Tbl_BaselineSummary[Baseline Electric Winter Consumption (kWh)],MATCH(Tbl_MeasureList[[#This Row],[Baseline ID]],Tbl_BaselineSummary[Baseline ID],0))</f>
        <v>230</v>
      </c>
      <c r="X20" s="249">
        <f>INDEX(Tbl_BaselineSummary[Baseline Electric Summer Consumption (kWh)],MATCH(Tbl_MeasureList[[#This Row],[Baseline ID]],Tbl_BaselineSummary[Baseline ID],0))</f>
        <v>0</v>
      </c>
      <c r="Y20" s="250">
        <f>INDEX(Tbl_BaselineSummary[Baseline Electric Baseline Winter Peak Demand (kW)],MATCH(Tbl_MeasureList[[#This Row],[Baseline ID]],Tbl_BaselineSummary[Baseline ID],0))</f>
        <v>3.5282837967401733E-2</v>
      </c>
      <c r="Z20" s="452">
        <f>INDEX(Tbl_BaselineSummary[Baseline Electric Baseline Summer Peak Demand (kW)],MATCH(Tbl_MeasureList[[#This Row],[Baseline ID]],Tbl_BaselineSummary[Baseline ID],0))</f>
        <v>0</v>
      </c>
      <c r="AA20" s="458">
        <f>INDEX(Tbl_BaselineSummary[Baseline Natural Gas Annual Consumption  (therms)],MATCH(Tbl_MeasureList[[#This Row],[Baseline ID]],Tbl_BaselineSummary[Baseline ID],0))</f>
        <v>0</v>
      </c>
      <c r="AB20" s="455">
        <f>INDEX(Tbl_BaselineSummary[Baseline Propane Annual Consumption  (MMBtu)],MATCH(Tbl_MeasureList[[#This Row],[Baseline ID]],Tbl_BaselineSummary[Baseline ID],0))</f>
        <v>0</v>
      </c>
      <c r="AC20" s="252">
        <f>INDEX(Tbl_BaselineSummary[Baseline Oil Annual Consumption  (MMBtu)],MATCH(Tbl_MeasureList[[#This Row],[Baseline ID]],Tbl_BaselineSummary[Baseline ID],0))</f>
        <v>102.26666666666667</v>
      </c>
      <c r="AD20" s="371">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103.05142666666667</v>
      </c>
      <c r="AE20" s="460">
        <f>(lbCO2_per_Therm_Gas*Tbl_MeasureList[[#This Row],[Baseline Natural Gas Annual Consumption (therms/yr)]]+lbCO2_per_MMBtu_Prop*Tbl_MeasureList[[#This Row],[Baseline Propane Annual Consumption (MMBtu/yr)]]+lbCO2_per_MMBtu_Oil*Tbl_MeasureList[[#This Row],[Baseline Oil Annual Consumption (MMBtu/yr)]])*Lbs_per_ShortTon</f>
        <v>8.2478066666666674</v>
      </c>
      <c r="AF20" s="463">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8.329033466666667</v>
      </c>
      <c r="AG20" s="465">
        <f>INDEX(Tbl_BaselineSummary[Code Annual Energy Cost (USD)],MATCH(Tbl_MeasureList[[#This Row],[Baseline ID]],Tbl_BaselineSummary[Baseline ID],0))</f>
        <v>2096.3207839546235</v>
      </c>
      <c r="AH20" s="468">
        <f>INDEX(Tbl_BaselineSummary[Deferred Replacement Credit (USD)],MATCH(Tbl_MeasureList[[#This Row],[Baseline ID]],Tbl_BaselineSummary[Baseline ID],0))</f>
        <v>2955.424988838648</v>
      </c>
      <c r="AI20" s="201">
        <f>INDEX(Tbl_BaselineSummary[A/C-only Deferred Replacement Credit (USD)],MATCH(Tbl_MeasureList[[#This Row],[Baseline ID]],Tbl_BaselineSummary[Baseline ID],0))</f>
        <v>0</v>
      </c>
      <c r="AJ20" s="468">
        <f>INDEX(Tbl_BaselineSummary[Code Installed Costs (USD)],MATCH(Tbl_MeasureList[[#This Row],[Baseline ID]],Tbl_BaselineSummary[Baseline ID],0))</f>
        <v>6866</v>
      </c>
      <c r="AK20" s="201">
        <f>INDEX(Tbl_BaselineSummary[Code A/C-only Installed Cost (USD)],MATCH(Tbl_MeasureList[[#This Row],[Baseline ID]],Tbl_BaselineSummary[Baseline ID],0))</f>
        <v>0</v>
      </c>
      <c r="AL20" s="86">
        <f>INDEX(Tbl_BaselineSummary[Code Electric Annual Consumption (kWh)],MATCH(Tbl_MeasureList[[#This Row],[Baseline ID]],Tbl_BaselineSummary[Baseline ID],0))</f>
        <v>230</v>
      </c>
      <c r="AM20" s="86">
        <f>INDEX(Tbl_BaselineSummary[Code Electric Winter Consumption (kWh)],MATCH(Tbl_MeasureList[[#This Row],[Baseline ID]],Tbl_BaselineSummary[Baseline ID],0))</f>
        <v>230</v>
      </c>
      <c r="AN20" s="86">
        <f>INDEX(Tbl_BaselineSummary[Code Electric Summer Consumption (kWh)],MATCH(Tbl_MeasureList[[#This Row],[Baseline ID]],Tbl_BaselineSummary[Baseline ID],0))</f>
        <v>0</v>
      </c>
      <c r="AO20" s="152">
        <f>INDEX(Tbl_BaselineSummary[Code Electric Winter Peak Demand (kW)],MATCH(Tbl_MeasureList[[#This Row],[Baseline ID]],Tbl_BaselineSummary[Baseline ID],0))</f>
        <v>3.5282837967401733E-2</v>
      </c>
      <c r="AP20" s="470">
        <f>INDEX(Tbl_BaselineSummary[Code Electric Summer Peak Demand (kW)],MATCH(Tbl_MeasureList[[#This Row],[Baseline ID]],Tbl_BaselineSummary[Baseline ID],0))</f>
        <v>0</v>
      </c>
      <c r="AQ20" s="467">
        <f>INDEX(Tbl_BaselineSummary[Code Natural Gas Annual Consumption (therms)],MATCH(Tbl_MeasureList[[#This Row],[Baseline ID]],Tbl_BaselineSummary[Baseline ID],0))</f>
        <v>0</v>
      </c>
      <c r="AR20" s="472">
        <f>INDEX(Tbl_BaselineSummary[Code Propane Annual Consumption (MMBtu)],MATCH(Tbl_MeasureList[[#This Row],[Baseline ID]],Tbl_BaselineSummary[Baseline ID],0))</f>
        <v>0</v>
      </c>
      <c r="AS20" s="467">
        <f>INDEX(Tbl_BaselineSummary[Code Oil Annual Consumption (MMBtu)],MATCH(Tbl_MeasureList[[#This Row],[Baseline ID]],Tbl_BaselineSummary[Baseline ID],0))</f>
        <v>91.30952380952381</v>
      </c>
      <c r="AT20" s="204">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92.094283809523816</v>
      </c>
      <c r="AU20" s="467">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7.3641130952380953</v>
      </c>
      <c r="AV20" s="474">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7.4453398952380958</v>
      </c>
      <c r="AW20" s="248">
        <f ca="1">INDIRECT(Tbl_MeasureList[[#This Row],[Measure ID]]&amp;"!L26")</f>
        <v>1599.0813540983609</v>
      </c>
      <c r="AX20" s="477">
        <f ca="1">INDIRECT(Tbl_MeasureList[[#This Row],[Measure ID]]&amp;"!M26")</f>
        <v>11642</v>
      </c>
      <c r="AY20" s="481">
        <f ca="1">INDIRECT(Tbl_MeasureList[[#This Row],[Measure ID]]&amp;"!D26")</f>
        <v>197</v>
      </c>
      <c r="AZ20" s="481">
        <f ca="1">INDIRECT(Tbl_MeasureList[[#This Row],[Measure ID]]&amp;"!J26")</f>
        <v>197</v>
      </c>
      <c r="BA20" s="481">
        <f ca="1">INDIRECT(Tbl_MeasureList[[#This Row],[Measure ID]]&amp;"!I26")</f>
        <v>0</v>
      </c>
      <c r="BB20" s="479">
        <f ca="1">INDIRECT(Tbl_MeasureList[[#This Row],[Measure ID]]&amp;"!E26")</f>
        <v>3.0220517737296261E-2</v>
      </c>
      <c r="BC20" s="268">
        <f ca="1">INDIRECT(Tbl_MeasureList[[#This Row],[Measure ID]]&amp;"!H26")</f>
        <v>0</v>
      </c>
      <c r="BD20" s="253">
        <f ca="1">INDIRECT(Tbl_MeasureList[[#This Row],[Measure ID]]&amp;"!D32")</f>
        <v>967.21311475409834</v>
      </c>
      <c r="BE20" s="270">
        <f ca="1">INDIRECT(Tbl_MeasureList[[#This Row],[Measure ID]]&amp;"!D38")</f>
        <v>0</v>
      </c>
      <c r="BF20" s="253">
        <f ca="1">INDIRECT(Tbl_MeasureList[[#This Row],[Measure ID]]&amp;"!D44")</f>
        <v>0</v>
      </c>
      <c r="BG20" s="460">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97.393475475409829</v>
      </c>
      <c r="BH20" s="371">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5.6581967213114748</v>
      </c>
      <c r="BI20" s="272">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5.7277692413114751</v>
      </c>
      <c r="BJ20" s="273">
        <f ca="1">INDIRECT(Tbl_MeasureList[[#This Row],[Measure ID]]&amp;"!L27")</f>
        <v>1483.8502825688074</v>
      </c>
      <c r="BK20" s="201">
        <f ca="1">INDIRECT(Tbl_MeasureList[[#This Row],[Measure ID]]&amp;"!M27")</f>
        <v>14810</v>
      </c>
      <c r="BL20" s="85">
        <f ca="1">INDIRECT(Tbl_MeasureList[[#This Row],[Measure ID]]&amp;"!D27")</f>
        <v>329</v>
      </c>
      <c r="BM20" s="85">
        <f ca="1">INDIRECT(Tbl_MeasureList[[#This Row],[Measure ID]]&amp;"!J27")</f>
        <v>329</v>
      </c>
      <c r="BN20" s="85">
        <f ca="1">INDIRECT(Tbl_MeasureList[[#This Row],[Measure ID]]&amp;"!I27")</f>
        <v>0</v>
      </c>
      <c r="BO20" s="152">
        <f ca="1">INDIRECT(Tbl_MeasureList[[#This Row],[Measure ID]]&amp;"!E27")</f>
        <v>5.0469798657718119E-2</v>
      </c>
      <c r="BP20" s="470">
        <f ca="1">INDIRECT(Tbl_MeasureList[[#This Row],[Measure ID]]&amp;"!H27")</f>
        <v>0</v>
      </c>
      <c r="BQ20" s="467">
        <f ca="1">INDIRECT(Tbl_MeasureList[[#This Row],[Measure ID]]&amp;"!D33")</f>
        <v>879.58715596330273</v>
      </c>
      <c r="BR20" s="472">
        <f ca="1">INDIRECT(Tbl_MeasureList[[#This Row],[Measure ID]]&amp;"!D39")</f>
        <v>0</v>
      </c>
      <c r="BS20" s="467">
        <f ca="1">INDIRECT(Tbl_MeasureList[[#This Row],[Measure ID]]&amp;"!D45")</f>
        <v>0</v>
      </c>
      <c r="BT20" s="204">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89.081263596330274</v>
      </c>
      <c r="BU20" s="467">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5.1455848623853209</v>
      </c>
      <c r="BV20" s="260">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5.2617745023853209</v>
      </c>
      <c r="BW20" s="24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1445.5737789709174</v>
      </c>
      <c r="BX20" s="26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15071</v>
      </c>
      <c r="BY20"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312</v>
      </c>
      <c r="BZ20"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312</v>
      </c>
      <c r="CA20"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0</v>
      </c>
      <c r="CB20"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4.7861936720997124E-2</v>
      </c>
      <c r="CC20"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0</v>
      </c>
      <c r="CD20"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857.94183445190151</v>
      </c>
      <c r="CE20"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0</v>
      </c>
      <c r="CF20"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0</v>
      </c>
      <c r="CG20" s="460">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86.858727445190155</v>
      </c>
      <c r="CH20" s="37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5.0189597315436245</v>
      </c>
      <c r="CI20" s="26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5.1291456515436238</v>
      </c>
      <c r="CJ20" s="320">
        <f ca="1">-Tbl_MeasureList[[#This Row],[Low Measure Energy Cost (USD/yr)]]+Tbl_MeasureList[[#This Row],[Baseline Energy Cost (USD/yr)]]</f>
        <v>858.56971546037084</v>
      </c>
      <c r="CK20"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11854.575011161352</v>
      </c>
      <c r="CL20" s="249">
        <f ca="1">-Tbl_MeasureList[[#This Row],[Low Measure Electric Annual Consumption (kWh/yr)]]+Tbl_MeasureList[[#This Row],[Baseline Electric Annual Consumption (kWh/yr)]]</f>
        <v>-99</v>
      </c>
      <c r="CM20" s="249">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-99</v>
      </c>
      <c r="CN20" s="249">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0</v>
      </c>
      <c r="CO20" s="268">
        <f ca="1">-Tbl_MeasureList[[#This Row],[Low Measure Electric Winter Peak Demand (kW)]]+Tbl_MeasureList[[#This Row],[Baseline Electric Winter Peak Demand (kW)]]</f>
        <v>-1.5186960690316387E-2</v>
      </c>
      <c r="CP20" s="479">
        <f ca="1">-Tbl_MeasureList[[#This Row],[Low Measure Electric Summer Peak Demand (kW)]]+Tbl_MeasureList[[#This Row],[Baseline Electric Summer Peak Demand (kW)]]</f>
        <v>0</v>
      </c>
      <c r="CQ20" s="481">
        <f ca="1">-Tbl_MeasureList[[#This Row],[Low Measure Natural Gas Annual Consumption (therms/yr)]]+Tbl_MeasureList[[#This Row],[Baseline Natural Gas Annual Consumption (therms/yr)]]</f>
        <v>-879.58715596330273</v>
      </c>
      <c r="CR20" s="490">
        <f ca="1">-Tbl_MeasureList[[#This Row],[Low Measure Propane Annual Consumption (MMBtu/yr)]]+Tbl_MeasureList[[#This Row],[Baseline Propane Annual Consumption (MMBtu/yr)]]</f>
        <v>0</v>
      </c>
      <c r="CS20" s="252">
        <f ca="1">-Tbl_MeasureList[[#This Row],[Low Measure Oil Annual Consumption (MMBtu/yr)]]+Tbl_MeasureList[[#This Row],[Baseline Oil Annual Consumption (MMBtu/yr)]]</f>
        <v>102.26666666666667</v>
      </c>
      <c r="CT20"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13.970163070336383</v>
      </c>
      <c r="CU20" s="487">
        <f ca="1">-Tbl_MeasureList[[#This Row],[Low Measure Carbon Emissions, Site (tons CO2/yr)]]+Tbl_MeasureList[[#This Row],[Baseline Carbon Emissions, Site (tons CO2/yr)]]</f>
        <v>3.1022218042813465</v>
      </c>
      <c r="CV20" s="491">
        <f ca="1">-Tbl_MeasureList[[#This Row],[Low Measure Carbon Emissions, Source (tons CO2/yr)]]+Tbl_MeasureList[[#This Row],[Baseline Carbon Emissions, Source (tons CO2/yr)]]</f>
        <v>3.0672589642813461</v>
      </c>
      <c r="CW20"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896.84621905826089</v>
      </c>
      <c r="CX20"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12115.575011161352</v>
      </c>
      <c r="CY20"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-82</v>
      </c>
      <c r="CZ20"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-82</v>
      </c>
      <c r="DA20"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0</v>
      </c>
      <c r="DB20"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-1.2579098753595391E-2</v>
      </c>
      <c r="DC20"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0</v>
      </c>
      <c r="DD20"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-857.94183445190151</v>
      </c>
      <c r="DE20"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0</v>
      </c>
      <c r="DF20"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102.26666666666667</v>
      </c>
      <c r="DG20" s="270">
        <f ca="1">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16.192699221476502</v>
      </c>
      <c r="DH20"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3.2288469351230429</v>
      </c>
      <c r="DI20"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3.1998878151230432</v>
      </c>
      <c r="DJ20" s="320">
        <f ca="1">-Tbl_MeasureList[[#This Row],[Low Measure Energy Cost (USD/yr)]]+Tbl_MeasureList[[#This Row],[Code (old fuel) Energy Cost (USD/yr)]]</f>
        <v>612.47050138581608</v>
      </c>
      <c r="DK20" s="267">
        <f ca="1">Tbl_MeasureList[[#This Row],[Low Measure Installed Costs (USD)]]-Tbl_MeasureList[[#This Row],[Code (old fuel) Installed Costs (USD)]]</f>
        <v>7944</v>
      </c>
      <c r="DL20" s="249">
        <f ca="1">-Tbl_MeasureList[[#This Row],[Low Measure Electric Annual Consumption (kWh/yr)]]+Tbl_MeasureList[[#This Row],[Code (old fuel) Electric Annual Consumption (kWh/yr)]]</f>
        <v>-99</v>
      </c>
      <c r="DM20" s="249">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-99</v>
      </c>
      <c r="DN20" s="249">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0</v>
      </c>
      <c r="DO20" s="268">
        <f ca="1">-Tbl_MeasureList[[#This Row],[Low Measure Electric Winter Peak Demand (kW)]]+Tbl_MeasureList[[#This Row],[Code (old fuel) Electric Winter Peak Demand (kW)]]</f>
        <v>-1.5186960690316387E-2</v>
      </c>
      <c r="DP20" s="479">
        <f ca="1">-Tbl_MeasureList[[#This Row],[Low Measure Electric Summer Peak Demand (kW)]]+Tbl_MeasureList[[#This Row],[Code (old fuel) Electric Summer Peak Demand (kW)]]</f>
        <v>0</v>
      </c>
      <c r="DQ20" s="481">
        <f ca="1">-Tbl_MeasureList[[#This Row],[Low Measure Natural Gas Annual Consumption (therms/yr)]]+Tbl_MeasureList[[#This Row],[Code (old fuel) Natural Gas Annual Consumption (therms/yr)]]</f>
        <v>-879.58715596330273</v>
      </c>
      <c r="DR20" s="490">
        <f ca="1">-Tbl_MeasureList[[#This Row],[Low Measure Propane Annual Consumption (MMBtu/yr)]]+Tbl_MeasureList[[#This Row],[Code (old fuel) Propane Annual Consumption (MMBtu/yr)]]</f>
        <v>0</v>
      </c>
      <c r="DS20" s="252">
        <f ca="1">-Tbl_MeasureList[[#This Row],[Low Measure Oil Annual Consumption (MMBtu/yr)]]+Tbl_MeasureList[[#This Row],[Code (old fuel) Oil Annual Consumption (MMBtu/yr)]]</f>
        <v>91.30952380952381</v>
      </c>
      <c r="DT20"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3.0130202131935278</v>
      </c>
      <c r="DU20" s="487">
        <f ca="1">-Tbl_MeasureList[[#This Row],[Low Measure Carbon Emissions, Site (tons CO2/yr)]]+Tbl_MeasureList[[#This Row],[Code (old fuel) Carbon Emissions, Site (tons CO2/yr)]]</f>
        <v>2.2185282328527745</v>
      </c>
      <c r="DV20" s="491">
        <f ca="1">-Tbl_MeasureList[[#This Row],[Low Measure Carbon Emissions, Source (tons CO2/yr)]]+Tbl_MeasureList[[#This Row],[Code (old fuel) Carbon Emissions, Source (tons CO2/yr)]]</f>
        <v>2.183565392852775</v>
      </c>
      <c r="DW20"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(old fuel) Energy Cost (USD/yr)]],
        "-")</f>
        <v>650.74700498370612</v>
      </c>
      <c r="DX20"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8205</v>
      </c>
      <c r="DY20"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-82</v>
      </c>
      <c r="DZ20"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-82</v>
      </c>
      <c r="EA20"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0</v>
      </c>
      <c r="EB20"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-1.2579098753595391E-2</v>
      </c>
      <c r="EC20"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0</v>
      </c>
      <c r="ED20"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-857.94183445190151</v>
      </c>
      <c r="EE20"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0</v>
      </c>
      <c r="EF20"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91.30952380952381</v>
      </c>
      <c r="EG20" s="270">
        <f ca="1">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5.2355563643336467</v>
      </c>
      <c r="EH20"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2.3451533636944708</v>
      </c>
      <c r="EI20"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2.316194243694472</v>
      </c>
      <c r="EJ20" s="477">
        <f ca="1">Tbl_MeasureList[[#This Row],[Code (old fuel) Energy Cost (USD/yr)]]-Tbl_MeasureList[[#This Row],[Code (new fuel) Energy Cost (USD/yr)]]</f>
        <v>497.23942985626263</v>
      </c>
      <c r="EK20" s="496">
        <f ca="1">Tbl_MeasureList[[#This Row],[Code (old fuel) Electric Annual Consumption (kWh/yr)]]-Tbl_MeasureList[[#This Row],[Code (new fuel) Electric Annual Consumption (kWh/yr)]]</f>
        <v>33</v>
      </c>
      <c r="EL20" s="496">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33</v>
      </c>
      <c r="EM20" s="496">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0</v>
      </c>
      <c r="EN20" s="500">
        <f ca="1">Tbl_MeasureList[[#This Row],[Code (old fuel) Electric Winter Peak Demand (kW)]]-Tbl_MeasureList[[#This Row],[Code (new fuel) Electric Winter Peak Demand (kW)]]</f>
        <v>5.0623202301054715E-3</v>
      </c>
      <c r="EO20" s="493">
        <f ca="1">Tbl_MeasureList[[#This Row],[Code (old fuel) Electric Summer Peak Demand (kW)]]-Tbl_MeasureList[[#This Row],[Code (new fuel) Electric Summer Peak Demand (kW)]]</f>
        <v>0</v>
      </c>
      <c r="EP20" s="502">
        <f ca="1">Tbl_MeasureList[[#This Row],[Code (old fuel) Natural Gas Annual Consumption (therms/yr)]]-Tbl_MeasureList[[#This Row],[Code (new fuel) Natural Gas Annual Consumption (therms/yr)]]</f>
        <v>-967.21311475409834</v>
      </c>
      <c r="EQ20" s="215">
        <f ca="1">Tbl_MeasureList[[#This Row],[Code (old fuel) Propane Annual Consumption (MMBtu/yr)]]-Tbl_MeasureList[[#This Row],[Code (new fuel) Propane Annual Consumption (MMBtu/yr)]]</f>
        <v>0</v>
      </c>
      <c r="ER20" s="502">
        <f ca="1">Tbl_MeasureList[[#This Row],[Code (old fuel) Oil Annual Consumption (MMBtu/yr)]]-Tbl_MeasureList[[#This Row],[Code (new fuel) Oil Annual Consumption (MMBtu/yr)]]</f>
        <v>91.30952380952381</v>
      </c>
      <c r="ES20" s="215">
        <f ca="1">Tbl_MeasureList[[#This Row],[Code (old fuel) Energy Consumption on MMBtu Basis (MMBtu/yr)]]-Tbl_MeasureList[[#This Row],[Code (new fuel) Energy Consumption on MMBtu Basis (MMBtu/yr)]]</f>
        <v>-5.2991916658860134</v>
      </c>
      <c r="ET20" s="502">
        <f ca="1">Tbl_MeasureList[[#This Row],[Code (old fuel) Carbon Emissions, Site (tons CO2/yr)]]-Tbl_MeasureList[[#This Row],[Code (new fuel) Carbon Emissions, Site (tons CO2/yr)]]</f>
        <v>1.7059163739266205</v>
      </c>
      <c r="EU20" s="498">
        <f ca="1">Tbl_MeasureList[[#This Row],[Code (old fuel) Carbon Emissions, Source (tons CO2/yr)]]-Tbl_MeasureList[[#This Row],[Code (new fuel) Carbon Emissions, Source (tons CO2/yr)]]</f>
        <v>1.7175706539266207</v>
      </c>
      <c r="EV20" s="450">
        <f ca="1">Tbl_MeasureList[[#This Row],[ER Total Low Measure Electric Annual Consumption Savings (kWh/yr)]]*COAL_BTU_PER_SITE_KWH/Btu_per_MMBtu</f>
        <v>-1.089721255619646E-2</v>
      </c>
      <c r="EW20" s="411">
        <f ca="1">Tbl_MeasureList[[#This Row],[ER Total Low Measure Electric Annual Consumption Savings (kWh/yr)]]*COAL_LBS_PER_SITE_KWH</f>
        <v>-0.9558958382628473</v>
      </c>
      <c r="EX20" s="326">
        <f ca="1">Tbl_MeasureList[[#This Row],[ER Total Low Measure Electric Annual Consumption Savings (kWh/yr)]]*OIL_BTU_PER_SITE_KWH/Btu_per_MMBtu</f>
        <v>-1.2544809664774313E-2</v>
      </c>
      <c r="EY20" s="325">
        <f ca="1">Tbl_MeasureList[[#This Row],[ER Total Low Measure Electric Annual Consumption Savings (kWh/yr)]]*OIL_GAL_PER_SITE_KWH</f>
        <v>-9.0940662327553101E-2</v>
      </c>
      <c r="EZ20" s="326">
        <f ca="1">Tbl_MeasureList[[#This Row],[ER Total Low Measure Oil Annual Consumption Savings (MMBtu/yr)]]*Btu_per_MMBtu/OIL_BTU_PER_GAL</f>
        <v>741.35827080841398</v>
      </c>
      <c r="FA20" s="325">
        <f ca="1">Tbl_MeasureList[[#This Row],[Current ER Total Low Measure Oil Source Fuel Savings (gallons oil/year)]]+Tbl_MeasureList[[#This Row],[Current ER Total Low Measure Oil Site Fuel Savings (gallons oil/year)]]</f>
        <v>741.26733014608646</v>
      </c>
      <c r="FB20" s="326">
        <f ca="1">Tbl_MeasureList[[#This Row],[ER Total Low Measure Electric Annual Consumption Savings (kWh/yr)]]*GAS_BTU_PER_SITE_KWH/Btu_per_MMBtu</f>
        <v>-0.4051209558503176</v>
      </c>
      <c r="FC20" s="327">
        <f ca="1">Tbl_MeasureList[[#This Row],[ER Total Low Measure Electric Annual Consumption Savings (kWh/yr)]]*GAS_CUFT_PER_SITE_KWH/1000</f>
        <v>-0.39370355281857877</v>
      </c>
      <c r="FD20" s="328">
        <f ca="1">Tbl_MeasureList[[#This Row],[ER Total Low Measure Natural Gas Annual Consumption Savings (therms/yr)]]*Btu_per_MMBtu/(GAS_BTU_PER_CUFT*Therm_per_MMBtu*1000)</f>
        <v>-85.479801356977916</v>
      </c>
      <c r="FE20" s="329">
        <f ca="1">Tbl_MeasureList[[#This Row],[Current ER Total Low Measure Gas Source Fuel Savings (1,000 cu.ft. gas/year)]]+Tbl_MeasureList[[#This Row],[Current ER Total Low Measure Gas Site Fuel Savings (1,000 cu.ft gas/year)]]</f>
        <v>-85.873504909796495</v>
      </c>
      <c r="FF20" s="324">
        <f ca="1">IFERROR(Tbl_MeasureList[[#This Row],[ER Total High Measure Electric Annual Consumption Savings (kWh/yr)]]*COAL_BTU_PER_SITE_KWH/Btu_per_MMBtu,"-")</f>
        <v>-9.0259740364455523E-3</v>
      </c>
      <c r="FG20" s="325">
        <f ca="1">IFERROR(Tbl_MeasureList[[#This Row],[ER Total High Measure Electric Annual Consumption Savings (kWh/yr)]]*COAL_LBS_PER_SITE_KWH,"-")</f>
        <v>-0.79175210846013611</v>
      </c>
      <c r="FH20" s="326">
        <f ca="1">IFERROR(Tbl_MeasureList[[#This Row],[ER Total High Measure Electric Annual Consumption Savings (kWh/yr)]]*OIL_BTU_PER_SITE_KWH/Btu_per_MMBtu,"-")</f>
        <v>-1.0390650429409027E-2</v>
      </c>
      <c r="FI20" s="325">
        <f ca="1">IFERROR(Tbl_MeasureList[[#This Row],[ER Total High Measure Electric Annual Consumption Savings (kWh/yr)]]*OIL_GAL_PER_SITE_KWH,"-")</f>
        <v>-7.5324588998579328E-2</v>
      </c>
      <c r="FJ20" s="326">
        <f ca="1">IFERROR(Tbl_MeasureList[[#This Row],[ER Total High Measure Oil Annual Consumption Savings (MMBtu/yr)]]*Btu_per_MMBtu/OIL_BTU_PER_GAL,"-")</f>
        <v>741.35827080841398</v>
      </c>
      <c r="FK20" s="325">
        <f ca="1">IFERROR(Tbl_MeasureList[[#This Row],[Current ER Total High Measure Oil Source Fuel Savings (gallons oil/year)]]+Tbl_MeasureList[[#This Row],[Current ER Total High Measure Oil Site Fuel Savings (gallons oil/year)]],"-")</f>
        <v>741.28294621941541</v>
      </c>
      <c r="FL20" s="326">
        <f ca="1">IFERROR(Tbl_MeasureList[[#This Row],[ER Total High Measure Electric Annual Consumption Savings (kWh/yr)]]*GAS_BTU_PER_SITE_KWH/Btu_per_MMBtu,"-")</f>
        <v>-0.33555473110834388</v>
      </c>
      <c r="FM20" s="327">
        <f ca="1">IFERROR(Tbl_MeasureList[[#This Row],[ER Total High Measure Electric Annual Consumption Savings (kWh/yr)]]*GAS_CUFT_PER_SITE_KWH/1000,"-")</f>
        <v>-0.32609789223357027</v>
      </c>
      <c r="FN20" s="328">
        <f ca="1">IFERROR(Tbl_MeasureList[[#This Row],[ER Total High Measure Natural Gas Annual Consumption Savings (therms/yr)]]*Btu_per_MMBtu/(GAS_BTU_PER_CUFT*Therm_per_MMBtu*1000),"-")</f>
        <v>-83.37627156966974</v>
      </c>
      <c r="FO20" s="329">
        <f ca="1">IFERROR(Tbl_MeasureList[[#This Row],[Current ER Total High Measure Gas Source Fuel Savings (1,000 cu.ft. gas/year)]]+Tbl_MeasureList[[#This Row],[Current ER Total High Measure Gas Site Fuel Savings (1,000 cu.ft gas/year)]],"-")</f>
        <v>-83.702369461903317</v>
      </c>
      <c r="FP20" s="412">
        <f ca="1">Tbl_MeasureList[[#This Row],[ROF Low Measure Electric Annual Consumption Savings (kWh/yr)]]*COAL_BTU_PER_SITE_KWH/Btu_per_MMBtu</f>
        <v>-1.089721255619646E-2</v>
      </c>
      <c r="FQ20" s="327">
        <f ca="1">Tbl_MeasureList[[#This Row],[ROF Low Measure Electric Annual Consumption Savings (kWh/yr)]]*COAL_LBS_PER_SITE_KWH</f>
        <v>-0.9558958382628473</v>
      </c>
      <c r="FR20" s="412">
        <f ca="1">Tbl_MeasureList[[#This Row],[ROF Low Measure Electric Annual Consumption Savings (kWh/yr)]]*OIL_BTU_PER_SITE_KWH/Btu_per_MMBtu</f>
        <v>-1.2544809664774313E-2</v>
      </c>
      <c r="FS20" s="327">
        <f ca="1">Tbl_MeasureList[[#This Row],[ROF Low Measure Electric Annual Consumption Savings (kWh/yr)]]*OIL_GAL_PER_SITE_KWH</f>
        <v>-9.0940662327553101E-2</v>
      </c>
      <c r="FT20" s="412">
        <f ca="1">Tbl_MeasureList[[#This Row],[ROF Low Measure Oil Annual Consumption Savings (MMBtu/yr)]]*Btu_per_MMBtu/OIL_BTU_PER_GAL</f>
        <v>661.92702750751243</v>
      </c>
      <c r="FU20" s="327">
        <f ca="1">Tbl_MeasureList[[#This Row],[Current ROF Low Measure Oil Source Fuel Savings (gallons oil/year)]]+Tbl_MeasureList[[#This Row],[Current ROF Low Measure Oil Site Fuel Savings (gallons oil/year)]]</f>
        <v>661.83608684518492</v>
      </c>
      <c r="FV20" s="412">
        <f ca="1">Tbl_MeasureList[[#This Row],[ROF Low Measure Electric Annual Consumption Savings (kWh/yr)]]*GAS_BTU_PER_SITE_KWH/Btu_per_MMBtu</f>
        <v>-0.4051209558503176</v>
      </c>
      <c r="FW20" s="327">
        <f ca="1">Tbl_MeasureList[[#This Row],[ROF Low Measure Electric Annual Consumption Savings (kWh/yr)]]*GAS_CUFT_PER_SITE_KWH/1000</f>
        <v>-0.39370355281857877</v>
      </c>
      <c r="FX20" s="412">
        <f ca="1">Tbl_MeasureList[[#This Row],[ROF Low Measure Natural Gas Annual Consumption Savings (therms/yr)]]*Btu_per_MMBtu/(GAS_BTU_PER_CUFT*Therm_per_MMBtu*1000)</f>
        <v>-85.479801356977916</v>
      </c>
      <c r="FY20" s="327">
        <f ca="1">Tbl_MeasureList[[#This Row],[Current ROF Low Measure Gas Source Fuel Savings (1,000 cu.ft. gas/year)]]+Tbl_MeasureList[[#This Row],[Current ROF Low Measure Gas Site Fuel Savings (1,000 cu.ft gas/year)]]</f>
        <v>-85.873504909796495</v>
      </c>
      <c r="FZ20" s="414">
        <f ca="1">IFERROR(Tbl_MeasureList[[#This Row],[ROF High Measure Electric Annual Consumption Savings (kWh/yr)]]*COAL_BTU_PER_SITE_KWH/Btu_per_MMBtu,"-")</f>
        <v>-9.0259740364455523E-3</v>
      </c>
      <c r="GA20" s="327">
        <f ca="1">IFERROR(Tbl_MeasureList[[#This Row],[ROF High Measure Electric Annual Consumption Savings (kWh/yr)]]*COAL_LBS_PER_SITE_KWH,"-")</f>
        <v>-0.79175210846013611</v>
      </c>
      <c r="GB20" s="412">
        <f ca="1">IFERROR(Tbl_MeasureList[[#This Row],[ROF High Measure Electric Annual Consumption Savings (kWh/yr)]]*OIL_BTU_PER_SITE_KWH/Btu_per_MMBtu,"-")</f>
        <v>-1.0390650429409027E-2</v>
      </c>
      <c r="GC20" s="327">
        <f ca="1">IFERROR(Tbl_MeasureList[[#This Row],[ROF High Measure Electric Annual Consumption Savings (kWh/yr)]]*OIL_GAL_PER_SITE_KWH,"-")</f>
        <v>-7.5324588998579328E-2</v>
      </c>
      <c r="GD20" s="412">
        <f ca="1">IFERROR(Tbl_MeasureList[[#This Row],[ROF High Measure Oil Annual Consumption Savings (MMBtu/yr)]]*Btu_per_MMBtu/OIL_BTU_PER_GAL,"-")</f>
        <v>661.92702750751243</v>
      </c>
      <c r="GE20" s="327">
        <f ca="1">IFERROR(Tbl_MeasureList[[#This Row],[Current ROF High Measure Oil Source Fuel Savings (gallons oil/year)]]+Tbl_MeasureList[[#This Row],[Current ROF High Measure Oil Site Fuel Savings (gallons oil/year)]],"-")</f>
        <v>661.85170291851387</v>
      </c>
      <c r="GF20" s="412">
        <f ca="1">IFERROR(Tbl_MeasureList[[#This Row],[ROF High Measure Electric Annual Consumption Savings (kWh/yr)]]*GAS_BTU_PER_SITE_KWH/Btu_per_MMBtu,"-")</f>
        <v>-0.33555473110834388</v>
      </c>
      <c r="GG20" s="327">
        <f ca="1">IFERROR(Tbl_MeasureList[[#This Row],[ROF High Measure Electric Annual Consumption Savings (kWh/yr)]]*GAS_CUFT_PER_SITE_KWH/1000,"-")</f>
        <v>-0.32609789223357027</v>
      </c>
      <c r="GH20" s="412">
        <f ca="1">IFERROR(Tbl_MeasureList[[#This Row],[ROF High Measure Natural Gas Annual Consumption Savings (therms/yr)]]*Btu_per_MMBtu/(GAS_BTU_PER_CUFT*Therm_per_MMBtu*1000),"-")</f>
        <v>-83.37627156966974</v>
      </c>
      <c r="GI20" s="327">
        <f ca="1">IFERROR(Tbl_MeasureList[[#This Row],[Current ROF High Measure Gas Source Fuel Savings (1,000 cu.ft. gas/year)]]+Tbl_MeasureList[[#This Row],[Current ROF High Measure Gas Site Fuel Savings (1,000 cu.ft gas/year)]],"-")</f>
        <v>-83.702369461903317</v>
      </c>
      <c r="GJ20" s="324">
        <f ca="1">Tbl_MeasureList[[#This Row],[ER Total Low Measure Electric Annual Consumption Savings (kWh/yr)]]*COAL_BTU_PER_SITE_KWH_CES/Btu_per_MMBtu</f>
        <v>-1.8525261345533978E-2</v>
      </c>
      <c r="GK20" s="325">
        <f ca="1">Tbl_MeasureList[[#This Row],[ER Total Low Measure Electric Annual Consumption Savings (kWh/yr)]]*COAL_LBS_PER_SITE_KWH_CES</f>
        <v>-1.6822794538261878</v>
      </c>
      <c r="GL20" s="326">
        <f ca="1">Tbl_MeasureList[[#This Row],[ER Total Low Measure Electric Annual Consumption Savings (kWh/yr)]]*OIL_BTU_PER_SITE_KWH_CES/Btu_per_MMBtu</f>
        <v>-5.7021862112610518E-3</v>
      </c>
      <c r="GM20" s="325">
        <f ca="1">Tbl_MeasureList[[#This Row],[ER Total Low Measure Electric Annual Consumption Savings (kWh/yr)]]*OIL_GAL_PER_SITE_KWH_CES</f>
        <v>-3.8470060255161455E-2</v>
      </c>
      <c r="GN20" s="326">
        <f ca="1">Tbl_MeasureList[[#This Row],[ER Total Low Measure Oil Annual Consumption Savings (MMBtu/yr)]]*Btu_per_MMBtu/OIL_BTU_PER_GAL_CES</f>
        <v>689.94674726540018</v>
      </c>
      <c r="GO20" s="325">
        <f ca="1">Tbl_MeasureList[[#This Row],[CES ER Low Measure Oil Source Fuel Savings (gallons oil/year)]]+Tbl_MeasureList[[#This Row],[CES ER Low Measure Oil Site Fuel Savings (gallons oil/year)]]</f>
        <v>689.90827720514505</v>
      </c>
      <c r="GP20" s="326">
        <f ca="1">Tbl_MeasureList[[#This Row],[ER Total Low Measure Electric Annual Consumption Savings (kWh/yr)]]*GAS_BTU_PER_SITE_KWH_CES/Btu_per_MMBtu</f>
        <v>-0.16866260202747918</v>
      </c>
      <c r="GQ20" s="327">
        <f ca="1">Tbl_MeasureList[[#This Row],[ER Total Low Measure Electric Annual Consumption Savings (kWh/yr)]]*GAS_CUFT_PER_SITE_KWH_CES/1000</f>
        <v>-0.16375009905580504</v>
      </c>
      <c r="GR20" s="328">
        <f ca="1">Tbl_MeasureList[[#This Row],[ER Total Low Measure Natural Gas Annual Consumption Savings (therms/yr)]]*Btu_per_MMBtu/(GAS_BTU_PER_CUFT_CES*Therm_per_MMBtu*1000)</f>
        <v>-85.396811258573081</v>
      </c>
      <c r="GS20" s="329">
        <f ca="1">Tbl_MeasureList[[#This Row],[CES ER Low Measure Gas Source Fuel Savings (1,000 cu.ft. gas/year)]]+Tbl_MeasureList[[#This Row],[CES ER Low Measure Gas Site Fuel Savings (1,000 cu.ft gas/year)]]</f>
        <v>-85.560561357628885</v>
      </c>
      <c r="GT20" s="324">
        <f ca="1">IFERROR(Tbl_MeasureList[[#This Row],[ER Total High Measure Electric Annual Consumption Savings (kWh/yr)]]*COAL_BTU_PER_SITE_KWH_CES/Btu_per_MMBtu,"-")</f>
        <v>-1.5344155861957438E-2</v>
      </c>
      <c r="GU20" s="325">
        <f ca="1">IFERROR(Tbl_MeasureList[[#This Row],[ER Total High Measure Electric Annual Consumption Savings (kWh/yr)]]*COAL_LBS_PER_SITE_KWH_CES,"-")</f>
        <v>-1.3934031839772465</v>
      </c>
      <c r="GV20" s="326">
        <f ca="1">IFERROR(Tbl_MeasureList[[#This Row],[ER Total High Measure Electric Annual Consumption Savings (kWh/yr)]]*OIL_BTU_PER_SITE_KWH_CES/Btu_per_MMBtu,"-")</f>
        <v>-4.723022922458648E-3</v>
      </c>
      <c r="GW20" s="325">
        <f ca="1">IFERROR(Tbl_MeasureList[[#This Row],[ER Total High Measure Electric Annual Consumption Savings (kWh/yr)]]*OIL_GAL_PER_SITE_KWH_CES,"-")</f>
        <v>-3.1864090312355951E-2</v>
      </c>
      <c r="GX20" s="326">
        <f ca="1">IFERROR(Tbl_MeasureList[[#This Row],[ER Total High Measure Oil Annual Consumption Savings (MMBtu/yr)]]*Btu_per_MMBtu/OIL_BTU_PER_GAL_CES,"-")</f>
        <v>689.94674726540018</v>
      </c>
      <c r="GY20" s="325">
        <f ca="1">IFERROR(Tbl_MeasureList[[#This Row],[CES ER High Measure Oil Source Fuel Savings (gallons oil/year)]]+Tbl_MeasureList[[#This Row],[CES ER High Measure Oil Site Fuel Savings (gallons oil/year)]],"-")</f>
        <v>689.91488317508777</v>
      </c>
      <c r="GZ20" s="326">
        <f ca="1">IFERROR(Tbl_MeasureList[[#This Row],[ER Total High Measure Electric Annual Consumption Savings (kWh/yr)]]*GAS_BTU_PER_SITE_KWH_CES/Btu_per_MMBtu,"-")</f>
        <v>-0.13970033703286155</v>
      </c>
      <c r="HA20" s="327">
        <f ca="1">IFERROR(Tbl_MeasureList[[#This Row],[ER Total High Measure Electric Annual Consumption Savings (kWh/yr)]]*GAS_CUFT_PER_SITE_KWH_CES/1000,"-")</f>
        <v>-0.13563139517753547</v>
      </c>
      <c r="HB20" s="328">
        <f ca="1">IFERROR(Tbl_MeasureList[[#This Row],[ER Total High Measure Natural Gas Annual Consumption Savings (therms/yr)]]*Btu_per_MMBtu/(GAS_BTU_PER_CUFT_CES*Therm_per_MMBtu*1000),"-")</f>
        <v>-83.295323733194323</v>
      </c>
      <c r="HC20" s="329">
        <f ca="1">IFERROR(Tbl_MeasureList[[#This Row],[CES ER High Measure Gas Source Fuel Savings (1,000 cu.ft. gas/year)]]+Tbl_MeasureList[[#This Row],[CES ER High Measure Gas Site Fuel Savings (1,000 cu.ft gas/year)]],"-")</f>
        <v>-83.430955128371863</v>
      </c>
      <c r="HD20" s="315">
        <f ca="1">Tbl_MeasureList[[#This Row],[ROF Low Measure Electric Annual Consumption Savings (kWh/yr)]]*COAL_BTU_PER_SITE_KWH_CES/Btu_per_MMBtu</f>
        <v>-1.8525261345533978E-2</v>
      </c>
      <c r="HE20" s="316">
        <f ca="1">Tbl_MeasureList[[#This Row],[ROF Low Measure Electric Annual Consumption Savings (kWh/yr)]]*COAL_LBS_PER_SITE_KWH_CES</f>
        <v>-1.6822794538261878</v>
      </c>
      <c r="HF20" s="317">
        <f ca="1">Tbl_MeasureList[[#This Row],[ROF Low Measure Electric Annual Consumption Savings (kWh/yr)]]*OIL_BTU_PER_SITE_KWH_CES/Btu_per_MMBtu</f>
        <v>-5.7021862112610518E-3</v>
      </c>
      <c r="HG20" s="316">
        <f ca="1">Tbl_MeasureList[[#This Row],[ROF Low Measure Electric Annual Consumption Savings (kWh/yr)]]*OIL_GAL_PER_SITE_KWH_CES</f>
        <v>-3.8470060255161455E-2</v>
      </c>
      <c r="HH20" s="317">
        <f ca="1">Tbl_MeasureList[[#This Row],[ROF Low Measure Oil Annual Consumption Savings (MMBtu/yr)]]*Btu_per_MMBtu/OIL_BTU_PER_GAL_CES</f>
        <v>616.02388148696434</v>
      </c>
      <c r="HI20" s="316">
        <f ca="1">Tbl_MeasureList[[#This Row],[CES ROF Low Measure Oil Source Fuel Savings (gallons oil/year)]]+Tbl_MeasureList[[#This Row],[CES ROF Low Measure Oil Site Fuel Savings (gallons oil/year)]]</f>
        <v>615.98541142670922</v>
      </c>
      <c r="HJ20" s="317">
        <f ca="1">Tbl_MeasureList[[#This Row],[ROF Low Measure Electric Annual Consumption Savings (kWh/yr)]]*GAS_BTU_PER_SITE_KWH_CES/Btu_per_MMBtu</f>
        <v>-0.16866260202747918</v>
      </c>
      <c r="HK20" s="316">
        <f ca="1">Tbl_MeasureList[[#This Row],[ROF Low Measure Electric Annual Consumption Savings (kWh/yr)]]*GAS_CUFT_PER_SITE_KWH_CES/1000</f>
        <v>-0.16375009905580504</v>
      </c>
      <c r="HL20" s="317">
        <f ca="1">Tbl_MeasureList[[#This Row],[ROF Low Measure Natural Gas Annual Consumption Savings (therms/yr)]]*Btu_per_MMBtu/(GAS_BTU_PER_CUFT_CES*Therm_per_MMBtu*1000)</f>
        <v>-85.396811258573081</v>
      </c>
      <c r="HM20" s="318">
        <f ca="1">Tbl_MeasureList[[#This Row],[CES ROF Low Measure Gas Source Fuel Savings (1,000 cu.ft. gas/year)]]+Tbl_MeasureList[[#This Row],[CES ROF Low Measure Gas Site Fuel Savings (1,000 cu.ft gas/year)]]</f>
        <v>-85.560561357628885</v>
      </c>
      <c r="HN20" s="315">
        <f ca="1">IFERROR(Tbl_MeasureList[[#This Row],[ROF High Measure Electric Annual Consumption Savings (kWh/yr)]]*COAL_BTU_PER_SITE_KWH_CES/Btu_per_MMBtu,"-")</f>
        <v>-1.5344155861957438E-2</v>
      </c>
      <c r="HO20" s="316">
        <f ca="1">IFERROR(Tbl_MeasureList[[#This Row],[ROF High Measure Electric Annual Consumption Savings (kWh/yr)]]*COAL_LBS_PER_SITE_KWH_CES,"-")</f>
        <v>-1.3934031839772465</v>
      </c>
      <c r="HP20" s="317">
        <f ca="1">IFERROR(Tbl_MeasureList[[#This Row],[ROF High Measure Electric Annual Consumption Savings (kWh/yr)]]*OIL_BTU_PER_SITE_KWH_CES/Btu_per_MMBtu,"-")</f>
        <v>-4.723022922458648E-3</v>
      </c>
      <c r="HQ20" s="316">
        <f ca="1">IFERROR(Tbl_MeasureList[[#This Row],[ROF High Measure Electric Annual Consumption Savings (kWh/yr)]]*OIL_GAL_PER_SITE_KWH_CES,"-")</f>
        <v>-3.1864090312355951E-2</v>
      </c>
      <c r="HR20" s="317">
        <f ca="1">IFERROR(Tbl_MeasureList[[#This Row],[ROF High Measure Oil Annual Consumption Savings (MMBtu/yr)]]*Btu_per_MMBtu/OIL_BTU_PER_GAL_CES,"-")</f>
        <v>616.02388148696434</v>
      </c>
      <c r="HS20" s="316">
        <f ca="1">IFERROR(Tbl_MeasureList[[#This Row],[CES ROF High Measure Oil Source Fuel Savings (gallons oil/year)]]+Tbl_MeasureList[[#This Row],[CES ROF High Measure Oil Site Fuel Savings (gallons oil/year)]],"-")</f>
        <v>615.99201739665193</v>
      </c>
      <c r="HT20" s="317">
        <f ca="1">IFERROR(Tbl_MeasureList[[#This Row],[ROF High Measure Electric Annual Consumption Savings (kWh/yr)]]*GAS_BTU_PER_SITE_KWH_CES/Btu_per_MMBtu,"-")</f>
        <v>-0.13970033703286155</v>
      </c>
      <c r="HU20" s="316">
        <f ca="1">IFERROR(Tbl_MeasureList[[#This Row],[ROF High Measure Electric Annual Consumption Savings (kWh/yr)]]*GAS_CUFT_PER_SITE_KWH_CES/1000,"-")</f>
        <v>-0.13563139517753547</v>
      </c>
      <c r="HV20" s="317">
        <f ca="1">IFERROR(Tbl_MeasureList[[#This Row],[ROF High Measure Natural Gas Annual Consumption Savings (therms/yr)]]*Btu_per_MMBtu/(GAS_BTU_PER_CUFT_CES*Therm_per_MMBtu*1000),"-")</f>
        <v>-83.295323733194323</v>
      </c>
      <c r="HW20" s="318">
        <f ca="1">IFERROR(Tbl_MeasureList[[#This Row],[CES ROF High Measure Gas Source Fuel Savings (1,000 cu.ft. gas/year)]]+Tbl_MeasureList[[#This Row],[CES ROF High Measure Gas Site Fuel Savings (1,000 cu.ft gas/year)]],"-")</f>
        <v>-83.430955128371863</v>
      </c>
      <c r="HX20" s="248">
        <f>Tbl_MeasureList[[#This Row],[Baseline Energy Cost (USD/yr)]]-Tbl_MeasureList[[#This Row],[Code (old fuel) Energy Cost (USD/yr)]]</f>
        <v>246.09921407455477</v>
      </c>
      <c r="HY20" s="201">
        <f>0</f>
        <v>0</v>
      </c>
      <c r="HZ20" s="86">
        <f>Tbl_MeasureList[[#This Row],[Baseline Electric Annual Consumption (kWh/yr)]]-Tbl_MeasureList[[#This Row],[Code (old fuel) Electric Annual Consumption (kWh/yr)]]</f>
        <v>0</v>
      </c>
      <c r="IA20" s="86">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0</v>
      </c>
      <c r="IB20" s="86">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0</v>
      </c>
      <c r="IC20" s="152">
        <f>Tbl_MeasureList[[#This Row],[Baseline Electric Winter Peak Demand (kW)]]-Tbl_MeasureList[[#This Row],[Code (old fuel) Electric Winter Peak Demand (kW)]]</f>
        <v>0</v>
      </c>
      <c r="ID20" s="152">
        <f>Tbl_MeasureList[[#This Row],[Baseline Electric Summer Peak Demand (kW)]]-Tbl_MeasureList[[#This Row],[Code (old fuel) Electric Summer Peak Demand (kW)]]</f>
        <v>0</v>
      </c>
      <c r="IE20" s="251">
        <f>Tbl_MeasureList[[#This Row],[Baseline Natural Gas Annual Consumption (therms/yr)]]-Tbl_MeasureList[[#This Row],[Code (old fuel) Natural Gas Annual Consumption (therms/yr)]]</f>
        <v>0</v>
      </c>
      <c r="IF20" s="252">
        <f>Tbl_MeasureList[[#This Row],[Baseline Propane Annual Consumption (MMBtu/yr)]]-Tbl_MeasureList[[#This Row],[Code (old fuel) Propane Annual Consumption (MMBtu/yr)]]</f>
        <v>0</v>
      </c>
      <c r="IG20" s="253">
        <f>Tbl_MeasureList[[#This Row],[Baseline Oil Annual Consumption (MMBtu/yr)]]-Tbl_MeasureList[[#This Row],[Code (old fuel) Oil Annual Consumption (MMBtu/yr)]]</f>
        <v>10.957142857142856</v>
      </c>
      <c r="IH20" s="371">
        <f>Tbl_MeasureList[[#This Row],[Baseline Energy Consumption on MMBtu Basis (MMBtu/yr)]]-Tbl_MeasureList[[#This Row],[Code (old fuel) Energy Consumption on MMBtu Basis (MMBtu/yr)]]</f>
        <v>10.957142857142856</v>
      </c>
      <c r="II20" s="371">
        <f>Tbl_MeasureList[[#This Row],[Baseline Carbon Emissions, Site (tons CO2/yr)]]-Tbl_MeasureList[[#This Row],[Code (old fuel) Carbon Emissions, Site (tons CO2/yr)]]</f>
        <v>0.88369357142857208</v>
      </c>
      <c r="IJ20" s="279">
        <f>Tbl_MeasureList[[#This Row],[Baseline Carbon Emissions, Source (tons CO2/yr)]]-Tbl_MeasureList[[#This Row],[Code (old fuel) Carbon Emissions, Source (tons CO2/yr)]]</f>
        <v>0.88369357142857119</v>
      </c>
      <c r="IK20" s="273">
        <f ca="1">Tbl_MeasureList[[#This Row],[Code (new fuel) Energy Cost (USD/yr)]]-Tbl_MeasureList[[#This Row],[Low Measure Energy Cost (USD/yr)]]</f>
        <v>115.23107152955345</v>
      </c>
      <c r="IL20"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11854.575011161352</v>
      </c>
      <c r="IM20" s="85">
        <f ca="1">Tbl_MeasureList[[#This Row],[Code (old fuel) Electric Annual Consumption (kWh/yr)]]-Tbl_MeasureList[[#This Row],[Low Measure Electric Annual Consumption (kWh/yr)]]</f>
        <v>-99</v>
      </c>
      <c r="IN20" s="85">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-99</v>
      </c>
      <c r="IO20" s="85">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0</v>
      </c>
      <c r="IP20" s="152">
        <f ca="1">Tbl_MeasureList[[#This Row],[Code (old fuel) Electric Winter Peak Demand (kW)]]-Tbl_MeasureList[[#This Row],[Low Measure Electric Winter Peak Demand (kW)]]</f>
        <v>-1.5186960690316387E-2</v>
      </c>
      <c r="IQ20" s="152">
        <f ca="1">Tbl_MeasureList[[#This Row],[Code (old fuel) Electric Summer Peak Demand (kW)]]-Tbl_MeasureList[[#This Row],[Low Measure Electric Summer Peak Demand (kW)]]</f>
        <v>0</v>
      </c>
      <c r="IR20" s="204">
        <f ca="1">Tbl_MeasureList[[#This Row],[Code (old fuel) Natural Gas Annual Consumption (therms/yr)]]-Tbl_MeasureList[[#This Row],[Low Measure Natural Gas Annual Consumption (therms/yr)]]</f>
        <v>-879.58715596330273</v>
      </c>
      <c r="IS20" s="153">
        <f ca="1">Tbl_MeasureList[[#This Row],[Code (old fuel) Propane Annual Consumption (MMBtu/yr)]]-Tbl_MeasureList[[#This Row],[Low Measure Propane Annual Consumption (MMBtu/yr)]]</f>
        <v>0</v>
      </c>
      <c r="IT20" s="204">
        <f ca="1">Tbl_MeasureList[[#This Row],[Code (old fuel) Oil Annual Consumption (MMBtu/yr)]]-Tbl_MeasureList[[#This Row],[Low Measure Oil Annual Consumption (MMBtu/yr)]]</f>
        <v>91.30952380952381</v>
      </c>
      <c r="IU20" s="204">
        <f ca="1">Tbl_MeasureList[[#This Row],[Code (old fuel) Energy Consumption on MMBtu Basis (MMBtu/yr)]]-Tbl_MeasureList[[#This Row],[Low Measure Energy Consumption on MMBtu Basis (MMBtu/yr)]]</f>
        <v>3.013020213193542</v>
      </c>
      <c r="IV20" s="204">
        <f ca="1">Tbl_MeasureList[[#This Row],[Code (old fuel) Carbon Emissions, Site (tons CO2/yr)]]-Tbl_MeasureList[[#This Row],[Low Measure Carbon Emissions, Site (tons CO2/yr)]]</f>
        <v>2.2185282328527745</v>
      </c>
      <c r="IW20" s="260">
        <f ca="1">Tbl_MeasureList[[#This Row],[Code (old fuel) Carbon Emissions, Source (tons CO2/yr)]]-Tbl_MeasureList[[#This Row],[Low Measure Carbon Emissions, Source (tons CO2/yr)]]</f>
        <v>2.183565392852775</v>
      </c>
      <c r="IX20" s="27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650.74700498370612</v>
      </c>
      <c r="IY20" s="20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12115.575011161352</v>
      </c>
      <c r="IZ20"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-82</v>
      </c>
      <c r="JA20"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-82</v>
      </c>
      <c r="JB20"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0</v>
      </c>
      <c r="JC20"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-1.2579098753595391E-2</v>
      </c>
      <c r="JD20"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0</v>
      </c>
      <c r="JE20"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-857.94183445190151</v>
      </c>
      <c r="JF20" s="1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0</v>
      </c>
      <c r="JG20"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91.30952380952381</v>
      </c>
      <c r="JH20"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5.2355563643336609</v>
      </c>
      <c r="JI20"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2.3451533636944708</v>
      </c>
      <c r="JJ20"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2.316194243694472</v>
      </c>
      <c r="JK20" s="432">
        <f>Tbl_MeasureList[[#This Row],[ER (Retire) Electric Annual Consumption Savings (kWh/yr)]]*COAL_BTU_PER_SITE_KWH/Btu_per_MMBtu</f>
        <v>0</v>
      </c>
      <c r="JL20" s="428">
        <f>Tbl_MeasureList[[#This Row],[ER (Retire) Electric Annual Consumption Savings (kWh/yr)]]*COAL_LBS_PER_SITE_KWH</f>
        <v>0</v>
      </c>
      <c r="JM20" s="427">
        <f>Tbl_MeasureList[[#This Row],[ER (Retire) Electric Annual Consumption Savings (kWh/yr)]]*OIL_BTU_PER_SITE_KWH/Btu_per_MMBtu</f>
        <v>0</v>
      </c>
      <c r="JN20" s="428">
        <f>Tbl_MeasureList[[#This Row],[ER (Retire) Electric Annual Consumption Savings (kWh/yr)]]*OIL_GAL_PER_SITE_KWH</f>
        <v>0</v>
      </c>
      <c r="JO20" s="427">
        <f>Tbl_MeasureList[[#This Row],[ER (Retire) Oil Annual Consumption Savings (MMBtu/yr)]]*Btu_per_MMBtu/OIL_BTU_PER_GAL</f>
        <v>79.431243300901485</v>
      </c>
      <c r="JP20" s="428">
        <f ca="1">Tbl_MeasureList[[#This Row],[Current ER (Retire) Oil Source Fuel Savings (gallons oil/year)]]+Tbl_MeasureList[[#This Row],[Current ER Total Low Measure Oil Site Fuel Savings (gallons oil/year)]]</f>
        <v>741.35827080841398</v>
      </c>
      <c r="JQ20" s="427">
        <f>Tbl_MeasureList[[#This Row],[ER (Retire) Electric Annual Consumption Savings (kWh/yr)]]*GAS_BTU_PER_SITE_KWH/Btu_per_MMBtu</f>
        <v>0</v>
      </c>
      <c r="JR20" s="429">
        <f>Tbl_MeasureList[[#This Row],[ER (Retire) Electric Annual Consumption Savings (kWh/yr)]]*GAS_CUFT_PER_SITE_KWH/1000</f>
        <v>0</v>
      </c>
      <c r="JS20" s="430">
        <f>Tbl_MeasureList[[#This Row],[ER (Retire) Natural Gas Annual Consumption Savings (therms/yr)]]*Btu_per_MMBtu/(GAS_BTU_PER_CUFT*Therm_per_MMBtu*1000)</f>
        <v>0</v>
      </c>
      <c r="JT20" s="431">
        <f ca="1">Tbl_MeasureList[[#This Row],[Current ER (Retire) Gas Source Fuel Savings (1,000 cu.ft. gas/year)]]+Tbl_MeasureList[[#This Row],[Current ER Total Low Measure Gas Site Fuel Savings (1,000 cu.ft gas/year)]]</f>
        <v>-85.479801356977916</v>
      </c>
      <c r="JU20" s="432">
        <f ca="1">Tbl_MeasureList[[#This Row],[ER (EE) Low Measure Electric Annual Consumption Savings (kWh/yr)]]*COAL_BTU_PER_SITE_KWH/Btu_per_MMBtu</f>
        <v>-1.089721255619646E-2</v>
      </c>
      <c r="JV20" s="428">
        <f ca="1">Tbl_MeasureList[[#This Row],[ER (EE) Low Measure Electric Annual Consumption Savings (kWh/yr)]]*COAL_LBS_PER_SITE_KWH</f>
        <v>-0.9558958382628473</v>
      </c>
      <c r="JW20" s="427">
        <f ca="1">Tbl_MeasureList[[#This Row],[ER (EE) Low Measure Electric Annual Consumption Savings (kWh/yr)]]*OIL_BTU_PER_SITE_KWH/Btu_per_MMBtu</f>
        <v>-1.2544809664774313E-2</v>
      </c>
      <c r="JX20" s="428">
        <f ca="1">Tbl_MeasureList[[#This Row],[ER (EE) Low Measure Electric Annual Consumption Savings (kWh/yr)]]*OIL_GAL_PER_SITE_KWH</f>
        <v>-9.0940662327553101E-2</v>
      </c>
      <c r="JY20" s="427">
        <f ca="1">Tbl_MeasureList[[#This Row],[ER (EE) Low Measure Oil Annual Consumption Savings (MMBtu/yr)]]*Btu_per_MMBtu/OIL_BTU_PER_GAL</f>
        <v>661.92702750751243</v>
      </c>
      <c r="JZ20" s="428">
        <f ca="1">Tbl_MeasureList[[#This Row],[Current ER (EE) Low Measure Oil Source Fuel Savings (gallons oil/year)]]+Tbl_MeasureList[[#This Row],[Current ER (EE) Low Measure Oil Site Fuel Savings (gallons oil/year)]]</f>
        <v>661.83608684518492</v>
      </c>
      <c r="KA20" s="427">
        <f ca="1">Tbl_MeasureList[[#This Row],[ER (EE) Low Measure Electric Annual Consumption Savings (kWh/yr)]]*GAS_BTU_PER_SITE_KWH/Btu_per_MMBtu</f>
        <v>-0.4051209558503176</v>
      </c>
      <c r="KB20" s="429">
        <f ca="1">Tbl_MeasureList[[#This Row],[ER (EE) Low Measure Electric Annual Consumption Savings (kWh/yr)]]*GAS_CUFT_PER_SITE_KWH/1000</f>
        <v>-0.39370355281857877</v>
      </c>
      <c r="KC20" s="430">
        <f ca="1">Tbl_MeasureList[[#This Row],[ER (EE) Low Measure Natural Gas Annual Consumption Savings (therms/yr)]]*Btu_per_MMBtu/(GAS_BTU_PER_CUFT*Therm_per_MMBtu*1000)</f>
        <v>-85.479801356977916</v>
      </c>
      <c r="KD20" s="431">
        <f ca="1">Tbl_MeasureList[[#This Row],[Current ER (EE) Low Measure Gas Source Fuel Savings (1,000 cu.ft. gas/year)]]+Tbl_MeasureList[[#This Row],[Current ER (EE) Low Measure Gas Site Fuel Savings (1,000 cu.ft gas/year)]]</f>
        <v>-85.873504909796495</v>
      </c>
      <c r="KE20" s="432">
        <f ca="1">IFERROR(Tbl_MeasureList[[#This Row],[ER (EE) High Measure Electric Annual Consumption Savings (kWh/yr)]]*COAL_BTU_PER_SITE_KWH/Btu_per_MMBtu,"-")</f>
        <v>-9.0259740364455523E-3</v>
      </c>
      <c r="KF20" s="428">
        <f ca="1">IFERROR(Tbl_MeasureList[[#This Row],[ER (EE) High Measure Electric Annual Consumption Savings (kWh/yr)]]*COAL_LBS_PER_SITE_KWH,"-")</f>
        <v>-0.79175210846013611</v>
      </c>
      <c r="KG20" s="427">
        <f ca="1">IFERROR(Tbl_MeasureList[[#This Row],[ER (EE) High Measure Electric Annual Consumption Savings (kWh/yr)]]*OIL_BTU_PER_SITE_KWH/Btu_per_MMBtu,"-")</f>
        <v>-1.0390650429409027E-2</v>
      </c>
      <c r="KH20" s="428">
        <f ca="1">IFERROR(Tbl_MeasureList[[#This Row],[ER (EE) High Measure Electric Annual Consumption Savings (kWh/yr)]]*OIL_GAL_PER_SITE_KWH,"-")</f>
        <v>-7.5324588998579328E-2</v>
      </c>
      <c r="KI20" s="427">
        <f ca="1">IFERROR(Tbl_MeasureList[[#This Row],[ER (EE) High Measure Oil Annual Consumption Savings (MMBtu/yr)]]*Btu_per_MMBtu/OIL_BTU_PER_GAL,"-")</f>
        <v>661.92702750751243</v>
      </c>
      <c r="KJ20" s="428">
        <f ca="1">IFERROR(Tbl_MeasureList[[#This Row],[Current ER (EE) High Measure Oil Source Fuel Savings (gallons oil/year)]]+Tbl_MeasureList[[#This Row],[Current ER (EE) High Measure Oil Site Fuel Savings (gallons oil/year)]],"-")</f>
        <v>661.85170291851387</v>
      </c>
      <c r="KK20" s="427">
        <f ca="1">IFERROR(Tbl_MeasureList[[#This Row],[ER (EE) High Measure Electric Annual Consumption Savings (kWh/yr)]]*GAS_BTU_PER_SITE_KWH/Btu_per_MMBtu,"-")</f>
        <v>-0.33555473110834388</v>
      </c>
      <c r="KL20" s="429">
        <f ca="1">IFERROR(Tbl_MeasureList[[#This Row],[ER (EE) High Measure Electric Annual Consumption Savings (kWh/yr)]]*GAS_CUFT_PER_SITE_KWH/1000,"-")</f>
        <v>-0.32609789223357027</v>
      </c>
      <c r="KM20" s="430">
        <f ca="1">IFERROR(Tbl_MeasureList[[#This Row],[ER (EE) High Measure Natural Gas Annual Consumption Savings (therms/yr)]]*Btu_per_MMBtu/(GAS_BTU_PER_CUFT*Therm_per_MMBtu*1000),"-")</f>
        <v>-83.37627156966974</v>
      </c>
      <c r="KN20" s="431">
        <f ca="1">IFERROR(Tbl_MeasureList[[#This Row],[Current ER (EE) High Measure Gas Source Fuel Savings (1,000 cu.ft. gas/year)]]+Tbl_MeasureList[[#This Row],[Current ER (EE) High Measure Gas Site Fuel Savings (1,000 cu.ft gas/year)]],"-")</f>
        <v>-83.702369461903317</v>
      </c>
    </row>
    <row r="21" spans="2:300" x14ac:dyDescent="0.2">
      <c r="B21" s="16"/>
      <c r="C21" s="2" t="s">
        <v>95</v>
      </c>
      <c r="D21" s="12" t="str">
        <f>INDEX(Tbl_BaselineSummary[Equipment ID],MATCH(Tbl_MeasureList[[#This Row],[Baseline ID]],Tbl_BaselineSummary[Baseline ID],0))</f>
        <v>EQUI009</v>
      </c>
      <c r="E21" s="11" t="str">
        <f>INDEX(Tbl_EquipmentDefinitions[Equipment Name],MATCH('Measure List'!$D21,Tbl_EquipmentDefinitions[Equipment ID],0))</f>
        <v>Propane Boiler</v>
      </c>
      <c r="F21" s="3" t="s">
        <v>232</v>
      </c>
      <c r="G21" s="11" t="str">
        <f>INDEX(Tbl_EquipmentDefinitions[Function],MATCH('Measure List'!$D21,Tbl_EquipmentDefinitions[Equipment ID],0))</f>
        <v>Heat</v>
      </c>
      <c r="H21" s="3" t="s">
        <v>111</v>
      </c>
      <c r="I21" s="3" t="s">
        <v>39</v>
      </c>
      <c r="J21" s="11" t="str">
        <f>INDEX(Tbl_EquipmentDefinitions[Equipment Name],MATCH('Measure List'!$I21,Tbl_EquipmentDefinitions[Equipment ID],0))</f>
        <v>Gas Boiler</v>
      </c>
      <c r="K21" s="11">
        <f>INDEX(Tbl_EquipmentDefinitions[],MATCH(Tbl_MeasureList[[#This Row],[Replacement ID]],Tbl_EquipmentDefinitions[[Equipment ID]:[Equipment ID]],0),MATCH(Tbl_MeasureList[[#Headers],[New Unit Equipment Life (years)]],Tbl_EquipmentDefinitions[#Headers],0))</f>
        <v>20</v>
      </c>
      <c r="L21" s="11">
        <f>INDEX(Tbl_EquipmentDefinitions[],MATCH(Tbl_MeasureList[[#This Row],[Baseline Equipment ID]],Tbl_EquipmentDefinitions[[Equipment ID]:[Equipment ID]],0),MATCH(Tbl_MeasureList[[#Headers],[Remaining Life for Early Replacement (years)]],Tbl_EquipmentDefinitions[#Headers],0))</f>
        <v>10</v>
      </c>
      <c r="M21" s="12" t="str">
        <f>INDEX(Tbl_EquipmentDefinitions[Function],MATCH('Measure List'!$I21,Tbl_EquipmentDefinitions[Equipment ID],0))</f>
        <v>Heat</v>
      </c>
      <c r="N21" s="368" t="s">
        <v>118</v>
      </c>
      <c r="O21" s="14" t="str">
        <f t="shared" si="0"/>
        <v>OK</v>
      </c>
      <c r="P21" s="12" t="str">
        <f ca="1">IFERROR(INDIRECT(Tbl_MeasureList[[#This Row],[Measure ID]]&amp;"!D5"),"No tab")</f>
        <v>3. Ready</v>
      </c>
      <c r="Q21" s="11"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Propane</v>
      </c>
      <c r="R21" s="12"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v>
      </c>
      <c r="S21" s="11"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Natural Gas</v>
      </c>
      <c r="T21" s="247"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v>
      </c>
      <c r="U21" s="248">
        <f>INDEX(Tbl_BaselineSummary[Baseline Annual Energy Cost (USD)],MATCH(Tbl_MeasureList[[#This Row],[Baseline ID]],Tbl_BaselineSummary[Baseline ID],0))</f>
        <v>3714.9814759667006</v>
      </c>
      <c r="V21" s="249">
        <f>INDEX(Tbl_BaselineSummary[Baseline Electric Annual Consumption  (kWh)],MATCH(Tbl_MeasureList[[#This Row],[Baseline ID]],Tbl_BaselineSummary[Baseline ID],0))</f>
        <v>197</v>
      </c>
      <c r="W21" s="249">
        <f>INDEX(Tbl_BaselineSummary[Baseline Electric Winter Consumption (kWh)],MATCH(Tbl_MeasureList[[#This Row],[Baseline ID]],Tbl_BaselineSummary[Baseline ID],0))</f>
        <v>197</v>
      </c>
      <c r="X21" s="249">
        <f>INDEX(Tbl_BaselineSummary[Baseline Electric Summer Consumption (kWh)],MATCH(Tbl_MeasureList[[#This Row],[Baseline ID]],Tbl_BaselineSummary[Baseline ID],0))</f>
        <v>0</v>
      </c>
      <c r="Y21" s="250">
        <f>INDEX(Tbl_BaselineSummary[Baseline Electric Baseline Winter Peak Demand (kW)],MATCH(Tbl_MeasureList[[#This Row],[Baseline ID]],Tbl_BaselineSummary[Baseline ID],0))</f>
        <v>3.0220517737296261E-2</v>
      </c>
      <c r="Z21" s="452">
        <f>INDEX(Tbl_BaselineSummary[Baseline Electric Baseline Summer Peak Demand (kW)],MATCH(Tbl_MeasureList[[#This Row],[Baseline ID]],Tbl_BaselineSummary[Baseline ID],0))</f>
        <v>0</v>
      </c>
      <c r="AA21" s="458">
        <f>INDEX(Tbl_BaselineSummary[Baseline Natural Gas Annual Consumption  (therms)],MATCH(Tbl_MeasureList[[#This Row],[Baseline ID]],Tbl_BaselineSummary[Baseline ID],0))</f>
        <v>0</v>
      </c>
      <c r="AB21" s="455">
        <f>INDEX(Tbl_BaselineSummary[Baseline Propane Annual Consumption  (MMBtu)],MATCH(Tbl_MeasureList[[#This Row],[Baseline ID]],Tbl_BaselineSummary[Baseline ID],0))</f>
        <v>102.26666666666667</v>
      </c>
      <c r="AC21" s="252">
        <f>INDEX(Tbl_BaselineSummary[Baseline Oil Annual Consumption  (MMBtu)],MATCH(Tbl_MeasureList[[#This Row],[Baseline ID]],Tbl_BaselineSummary[Baseline ID],0))</f>
        <v>0</v>
      </c>
      <c r="AD21" s="371">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102.93883066666666</v>
      </c>
      <c r="AE21" s="460">
        <f>(lbCO2_per_Therm_Gas*Tbl_MeasureList[[#This Row],[Baseline Natural Gas Annual Consumption (therms/yr)]]+lbCO2_per_MMBtu_Prop*Tbl_MeasureList[[#This Row],[Baseline Propane Annual Consumption (MMBtu/yr)]]+lbCO2_per_MMBtu_Oil*Tbl_MeasureList[[#This Row],[Baseline Oil Annual Consumption (MMBtu/yr)]])*Lbs_per_ShortTon</f>
        <v>7.1075333333333326</v>
      </c>
      <c r="AF21" s="463">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7.177105853333333</v>
      </c>
      <c r="AG21" s="465">
        <f>INDEX(Tbl_BaselineSummary[Code Annual Energy Cost (USD)],MATCH(Tbl_MeasureList[[#This Row],[Baseline ID]],Tbl_BaselineSummary[Baseline ID],0))</f>
        <v>3515.6515394388721</v>
      </c>
      <c r="AH21" s="468">
        <f>INDEX(Tbl_BaselineSummary[Deferred Replacement Credit (USD)],MATCH(Tbl_MeasureList[[#This Row],[Baseline ID]],Tbl_BaselineSummary[Baseline ID],0))</f>
        <v>2838.7748035815443</v>
      </c>
      <c r="AI21" s="201">
        <f>INDEX(Tbl_BaselineSummary[A/C-only Deferred Replacement Credit (USD)],MATCH(Tbl_MeasureList[[#This Row],[Baseline ID]],Tbl_BaselineSummary[Baseline ID],0))</f>
        <v>0</v>
      </c>
      <c r="AJ21" s="468">
        <f>INDEX(Tbl_BaselineSummary[Code Installed Costs (USD)],MATCH(Tbl_MeasureList[[#This Row],[Baseline ID]],Tbl_BaselineSummary[Baseline ID],0))</f>
        <v>6595</v>
      </c>
      <c r="AK21" s="201">
        <f>INDEX(Tbl_BaselineSummary[Code A/C-only Installed Cost (USD)],MATCH(Tbl_MeasureList[[#This Row],[Baseline ID]],Tbl_BaselineSummary[Baseline ID],0))</f>
        <v>0</v>
      </c>
      <c r="AL21" s="86">
        <f>INDEX(Tbl_BaselineSummary[Code Electric Annual Consumption (kWh)],MATCH(Tbl_MeasureList[[#This Row],[Baseline ID]],Tbl_BaselineSummary[Baseline ID],0))</f>
        <v>197</v>
      </c>
      <c r="AM21" s="86">
        <f>INDEX(Tbl_BaselineSummary[Code Electric Winter Consumption (kWh)],MATCH(Tbl_MeasureList[[#This Row],[Baseline ID]],Tbl_BaselineSummary[Baseline ID],0))</f>
        <v>197</v>
      </c>
      <c r="AN21" s="86">
        <f>INDEX(Tbl_BaselineSummary[Code Electric Summer Consumption (kWh)],MATCH(Tbl_MeasureList[[#This Row],[Baseline ID]],Tbl_BaselineSummary[Baseline ID],0))</f>
        <v>0</v>
      </c>
      <c r="AO21" s="152">
        <f>INDEX(Tbl_BaselineSummary[Code Electric Winter Peak Demand (kW)],MATCH(Tbl_MeasureList[[#This Row],[Baseline ID]],Tbl_BaselineSummary[Baseline ID],0))</f>
        <v>3.0220517737296261E-2</v>
      </c>
      <c r="AP21" s="470">
        <f>INDEX(Tbl_BaselineSummary[Code Electric Summer Peak Demand (kW)],MATCH(Tbl_MeasureList[[#This Row],[Baseline ID]],Tbl_BaselineSummary[Baseline ID],0))</f>
        <v>0</v>
      </c>
      <c r="AQ21" s="467">
        <f>INDEX(Tbl_BaselineSummary[Code Natural Gas Annual Consumption (therms)],MATCH(Tbl_MeasureList[[#This Row],[Baseline ID]],Tbl_BaselineSummary[Baseline ID],0))</f>
        <v>0</v>
      </c>
      <c r="AR21" s="472">
        <f>INDEX(Tbl_BaselineSummary[Code Propane Annual Consumption (MMBtu)],MATCH(Tbl_MeasureList[[#This Row],[Baseline ID]],Tbl_BaselineSummary[Baseline ID],0))</f>
        <v>96.721311475409834</v>
      </c>
      <c r="AS21" s="467">
        <f>INDEX(Tbl_BaselineSummary[Code Oil Annual Consumption (MMBtu)],MATCH(Tbl_MeasureList[[#This Row],[Baseline ID]],Tbl_BaselineSummary[Baseline ID],0))</f>
        <v>0</v>
      </c>
      <c r="AT21" s="204">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97.393475475409829</v>
      </c>
      <c r="AU21" s="467">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6.722131147540984</v>
      </c>
      <c r="AV21" s="474">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6.7917036675409834</v>
      </c>
      <c r="AW21" s="248">
        <f ca="1">INDIRECT(Tbl_MeasureList[[#This Row],[Measure ID]]&amp;"!L26")</f>
        <v>1599.0813540983609</v>
      </c>
      <c r="AX21" s="477">
        <f ca="1">INDIRECT(Tbl_MeasureList[[#This Row],[Measure ID]]&amp;"!M26")</f>
        <v>11642</v>
      </c>
      <c r="AY21" s="481">
        <f ca="1">INDIRECT(Tbl_MeasureList[[#This Row],[Measure ID]]&amp;"!D26")</f>
        <v>197</v>
      </c>
      <c r="AZ21" s="481">
        <f ca="1">INDIRECT(Tbl_MeasureList[[#This Row],[Measure ID]]&amp;"!J26")</f>
        <v>197</v>
      </c>
      <c r="BA21" s="481">
        <f ca="1">INDIRECT(Tbl_MeasureList[[#This Row],[Measure ID]]&amp;"!I26")</f>
        <v>0</v>
      </c>
      <c r="BB21" s="479">
        <f ca="1">INDIRECT(Tbl_MeasureList[[#This Row],[Measure ID]]&amp;"!E26")</f>
        <v>3.0220517737296261E-2</v>
      </c>
      <c r="BC21" s="268">
        <f ca="1">INDIRECT(Tbl_MeasureList[[#This Row],[Measure ID]]&amp;"!H26")</f>
        <v>0</v>
      </c>
      <c r="BD21" s="253">
        <f ca="1">INDIRECT(Tbl_MeasureList[[#This Row],[Measure ID]]&amp;"!D32")</f>
        <v>967.21311475409834</v>
      </c>
      <c r="BE21" s="270">
        <f ca="1">INDIRECT(Tbl_MeasureList[[#This Row],[Measure ID]]&amp;"!D38")</f>
        <v>0</v>
      </c>
      <c r="BF21" s="253">
        <f ca="1">INDIRECT(Tbl_MeasureList[[#This Row],[Measure ID]]&amp;"!D44")</f>
        <v>0</v>
      </c>
      <c r="BG21" s="460">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97.393475475409829</v>
      </c>
      <c r="BH21" s="371">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5.6581967213114748</v>
      </c>
      <c r="BI21" s="272">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5.7277692413114751</v>
      </c>
      <c r="BJ21" s="273">
        <f ca="1">INDIRECT(Tbl_MeasureList[[#This Row],[Measure ID]]&amp;"!L27")</f>
        <v>1483.8502825688074</v>
      </c>
      <c r="BK21" s="201">
        <f ca="1">INDIRECT(Tbl_MeasureList[[#This Row],[Measure ID]]&amp;"!M27")</f>
        <v>14810</v>
      </c>
      <c r="BL21" s="85">
        <f ca="1">INDIRECT(Tbl_MeasureList[[#This Row],[Measure ID]]&amp;"!D27")</f>
        <v>329</v>
      </c>
      <c r="BM21" s="85">
        <f ca="1">INDIRECT(Tbl_MeasureList[[#This Row],[Measure ID]]&amp;"!J27")</f>
        <v>329</v>
      </c>
      <c r="BN21" s="85">
        <f ca="1">INDIRECT(Tbl_MeasureList[[#This Row],[Measure ID]]&amp;"!I27")</f>
        <v>0</v>
      </c>
      <c r="BO21" s="152">
        <f ca="1">INDIRECT(Tbl_MeasureList[[#This Row],[Measure ID]]&amp;"!E27")</f>
        <v>5.0469798657718119E-2</v>
      </c>
      <c r="BP21" s="470">
        <f ca="1">INDIRECT(Tbl_MeasureList[[#This Row],[Measure ID]]&amp;"!H27")</f>
        <v>0</v>
      </c>
      <c r="BQ21" s="467">
        <f ca="1">INDIRECT(Tbl_MeasureList[[#This Row],[Measure ID]]&amp;"!D33")</f>
        <v>879.58715596330273</v>
      </c>
      <c r="BR21" s="472">
        <f ca="1">INDIRECT(Tbl_MeasureList[[#This Row],[Measure ID]]&amp;"!D39")</f>
        <v>0</v>
      </c>
      <c r="BS21" s="467">
        <f ca="1">INDIRECT(Tbl_MeasureList[[#This Row],[Measure ID]]&amp;"!D45")</f>
        <v>0</v>
      </c>
      <c r="BT21" s="204">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89.081263596330274</v>
      </c>
      <c r="BU21" s="467">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5.1455848623853209</v>
      </c>
      <c r="BV21" s="260">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5.2617745023853209</v>
      </c>
      <c r="BW21" s="24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1445.5737789709174</v>
      </c>
      <c r="BX21" s="26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15071</v>
      </c>
      <c r="BY21"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312</v>
      </c>
      <c r="BZ21"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312</v>
      </c>
      <c r="CA21"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0</v>
      </c>
      <c r="CB21"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4.7861936720997124E-2</v>
      </c>
      <c r="CC21"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0</v>
      </c>
      <c r="CD21"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857.94183445190151</v>
      </c>
      <c r="CE21"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0</v>
      </c>
      <c r="CF21"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0</v>
      </c>
      <c r="CG21" s="460">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86.858727445190155</v>
      </c>
      <c r="CH21" s="37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5.0189597315436245</v>
      </c>
      <c r="CI21" s="26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5.1291456515436238</v>
      </c>
      <c r="CJ21" s="320">
        <f ca="1">-Tbl_MeasureList[[#This Row],[Low Measure Energy Cost (USD/yr)]]+Tbl_MeasureList[[#This Row],[Baseline Energy Cost (USD/yr)]]</f>
        <v>2231.1311933978932</v>
      </c>
      <c r="CK21"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11971.225196418456</v>
      </c>
      <c r="CL21" s="249">
        <f ca="1">-Tbl_MeasureList[[#This Row],[Low Measure Electric Annual Consumption (kWh/yr)]]+Tbl_MeasureList[[#This Row],[Baseline Electric Annual Consumption (kWh/yr)]]</f>
        <v>-132</v>
      </c>
      <c r="CM21" s="249">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-132</v>
      </c>
      <c r="CN21" s="249">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0</v>
      </c>
      <c r="CO21" s="268">
        <f ca="1">-Tbl_MeasureList[[#This Row],[Low Measure Electric Winter Peak Demand (kW)]]+Tbl_MeasureList[[#This Row],[Baseline Electric Winter Peak Demand (kW)]]</f>
        <v>-2.0249280920421858E-2</v>
      </c>
      <c r="CP21" s="479">
        <f ca="1">-Tbl_MeasureList[[#This Row],[Low Measure Electric Summer Peak Demand (kW)]]+Tbl_MeasureList[[#This Row],[Baseline Electric Summer Peak Demand (kW)]]</f>
        <v>0</v>
      </c>
      <c r="CQ21" s="481">
        <f ca="1">-Tbl_MeasureList[[#This Row],[Low Measure Natural Gas Annual Consumption (therms/yr)]]+Tbl_MeasureList[[#This Row],[Baseline Natural Gas Annual Consumption (therms/yr)]]</f>
        <v>-879.58715596330273</v>
      </c>
      <c r="CR21" s="490">
        <f ca="1">-Tbl_MeasureList[[#This Row],[Low Measure Propane Annual Consumption (MMBtu/yr)]]+Tbl_MeasureList[[#This Row],[Baseline Propane Annual Consumption (MMBtu/yr)]]</f>
        <v>102.26666666666667</v>
      </c>
      <c r="CS21" s="252">
        <f ca="1">-Tbl_MeasureList[[#This Row],[Low Measure Oil Annual Consumption (MMBtu/yr)]]+Tbl_MeasureList[[#This Row],[Baseline Oil Annual Consumption (MMBtu/yr)]]</f>
        <v>0</v>
      </c>
      <c r="CT21"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13.857567070336387</v>
      </c>
      <c r="CU21" s="487">
        <f ca="1">-Tbl_MeasureList[[#This Row],[Low Measure Carbon Emissions, Site (tons CO2/yr)]]+Tbl_MeasureList[[#This Row],[Baseline Carbon Emissions, Site (tons CO2/yr)]]</f>
        <v>1.9619484709480117</v>
      </c>
      <c r="CV21" s="491">
        <f ca="1">-Tbl_MeasureList[[#This Row],[Low Measure Carbon Emissions, Source (tons CO2/yr)]]+Tbl_MeasureList[[#This Row],[Baseline Carbon Emissions, Source (tons CO2/yr)]]</f>
        <v>1.9153313509480121</v>
      </c>
      <c r="CW21"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2269.4076969957832</v>
      </c>
      <c r="CX21"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12232.225196418456</v>
      </c>
      <c r="CY21"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-115</v>
      </c>
      <c r="CZ21"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-115</v>
      </c>
      <c r="DA21"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0</v>
      </c>
      <c r="DB21"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-1.7641418983700863E-2</v>
      </c>
      <c r="DC21"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0</v>
      </c>
      <c r="DD21"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-857.94183445190151</v>
      </c>
      <c r="DE21"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102.26666666666667</v>
      </c>
      <c r="DF21"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0</v>
      </c>
      <c r="DG21" s="270">
        <f ca="1">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16.080103221476506</v>
      </c>
      <c r="DH21"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2.0885736017897081</v>
      </c>
      <c r="DI21"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2.0479602017897092</v>
      </c>
      <c r="DJ21" s="320">
        <f ca="1">-Tbl_MeasureList[[#This Row],[Low Measure Energy Cost (USD/yr)]]+Tbl_MeasureList[[#This Row],[Code (old fuel) Energy Cost (USD/yr)]]</f>
        <v>2031.8012568700647</v>
      </c>
      <c r="DK21" s="267">
        <f ca="1">Tbl_MeasureList[[#This Row],[Low Measure Installed Costs (USD)]]-Tbl_MeasureList[[#This Row],[Code (old fuel) Installed Costs (USD)]]</f>
        <v>8215</v>
      </c>
      <c r="DL21" s="249">
        <f ca="1">-Tbl_MeasureList[[#This Row],[Low Measure Electric Annual Consumption (kWh/yr)]]+Tbl_MeasureList[[#This Row],[Code (old fuel) Electric Annual Consumption (kWh/yr)]]</f>
        <v>-132</v>
      </c>
      <c r="DM21" s="249">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-132</v>
      </c>
      <c r="DN21" s="249">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0</v>
      </c>
      <c r="DO21" s="268">
        <f ca="1">-Tbl_MeasureList[[#This Row],[Low Measure Electric Winter Peak Demand (kW)]]+Tbl_MeasureList[[#This Row],[Code (old fuel) Electric Winter Peak Demand (kW)]]</f>
        <v>-2.0249280920421858E-2</v>
      </c>
      <c r="DP21" s="479">
        <f ca="1">-Tbl_MeasureList[[#This Row],[Low Measure Electric Summer Peak Demand (kW)]]+Tbl_MeasureList[[#This Row],[Code (old fuel) Electric Summer Peak Demand (kW)]]</f>
        <v>0</v>
      </c>
      <c r="DQ21" s="481">
        <f ca="1">-Tbl_MeasureList[[#This Row],[Low Measure Natural Gas Annual Consumption (therms/yr)]]+Tbl_MeasureList[[#This Row],[Code (old fuel) Natural Gas Annual Consumption (therms/yr)]]</f>
        <v>-879.58715596330273</v>
      </c>
      <c r="DR21" s="490">
        <f ca="1">-Tbl_MeasureList[[#This Row],[Low Measure Propane Annual Consumption (MMBtu/yr)]]+Tbl_MeasureList[[#This Row],[Code (old fuel) Propane Annual Consumption (MMBtu/yr)]]</f>
        <v>96.721311475409834</v>
      </c>
      <c r="DS21" s="252">
        <f ca="1">-Tbl_MeasureList[[#This Row],[Low Measure Oil Annual Consumption (MMBtu/yr)]]+Tbl_MeasureList[[#This Row],[Code (old fuel) Oil Annual Consumption (MMBtu/yr)]]</f>
        <v>0</v>
      </c>
      <c r="DT21"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8.3122118790795554</v>
      </c>
      <c r="DU21" s="487">
        <f ca="1">-Tbl_MeasureList[[#This Row],[Low Measure Carbon Emissions, Site (tons CO2/yr)]]+Tbl_MeasureList[[#This Row],[Code (old fuel) Carbon Emissions, Site (tons CO2/yr)]]</f>
        <v>1.5765462851556631</v>
      </c>
      <c r="DV21" s="491">
        <f ca="1">-Tbl_MeasureList[[#This Row],[Low Measure Carbon Emissions, Source (tons CO2/yr)]]+Tbl_MeasureList[[#This Row],[Code (old fuel) Carbon Emissions, Source (tons CO2/yr)]]</f>
        <v>1.5299291651556626</v>
      </c>
      <c r="DW21"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(old fuel) Energy Cost (USD/yr)]],
        "-")</f>
        <v>2070.0777604679547</v>
      </c>
      <c r="DX21"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8476</v>
      </c>
      <c r="DY21"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-115</v>
      </c>
      <c r="DZ21"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-115</v>
      </c>
      <c r="EA21"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0</v>
      </c>
      <c r="EB21"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-1.7641418983700863E-2</v>
      </c>
      <c r="EC21"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0</v>
      </c>
      <c r="ED21"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-857.94183445190151</v>
      </c>
      <c r="EE21"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96.721311475409834</v>
      </c>
      <c r="EF21"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0</v>
      </c>
      <c r="EG21" s="270">
        <f ca="1">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10.534748030219674</v>
      </c>
      <c r="EH21"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1.7031714159973594</v>
      </c>
      <c r="EI21"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1.6625580159973596</v>
      </c>
      <c r="EJ21" s="477">
        <f ca="1">Tbl_MeasureList[[#This Row],[Code (old fuel) Energy Cost (USD/yr)]]-Tbl_MeasureList[[#This Row],[Code (new fuel) Energy Cost (USD/yr)]]</f>
        <v>1916.5701853405112</v>
      </c>
      <c r="EK21" s="496">
        <f ca="1">Tbl_MeasureList[[#This Row],[Code (old fuel) Electric Annual Consumption (kWh/yr)]]-Tbl_MeasureList[[#This Row],[Code (new fuel) Electric Annual Consumption (kWh/yr)]]</f>
        <v>0</v>
      </c>
      <c r="EL21" s="496">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0</v>
      </c>
      <c r="EM21" s="496">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0</v>
      </c>
      <c r="EN21" s="500">
        <f ca="1">Tbl_MeasureList[[#This Row],[Code (old fuel) Electric Winter Peak Demand (kW)]]-Tbl_MeasureList[[#This Row],[Code (new fuel) Electric Winter Peak Demand (kW)]]</f>
        <v>0</v>
      </c>
      <c r="EO21" s="493">
        <f ca="1">Tbl_MeasureList[[#This Row],[Code (old fuel) Electric Summer Peak Demand (kW)]]-Tbl_MeasureList[[#This Row],[Code (new fuel) Electric Summer Peak Demand (kW)]]</f>
        <v>0</v>
      </c>
      <c r="EP21" s="502">
        <f ca="1">Tbl_MeasureList[[#This Row],[Code (old fuel) Natural Gas Annual Consumption (therms/yr)]]-Tbl_MeasureList[[#This Row],[Code (new fuel) Natural Gas Annual Consumption (therms/yr)]]</f>
        <v>-967.21311475409834</v>
      </c>
      <c r="EQ21" s="215">
        <f ca="1">Tbl_MeasureList[[#This Row],[Code (old fuel) Propane Annual Consumption (MMBtu/yr)]]-Tbl_MeasureList[[#This Row],[Code (new fuel) Propane Annual Consumption (MMBtu/yr)]]</f>
        <v>96.721311475409834</v>
      </c>
      <c r="ER21" s="502">
        <f ca="1">Tbl_MeasureList[[#This Row],[Code (old fuel) Oil Annual Consumption (MMBtu/yr)]]-Tbl_MeasureList[[#This Row],[Code (new fuel) Oil Annual Consumption (MMBtu/yr)]]</f>
        <v>0</v>
      </c>
      <c r="ES21" s="215">
        <f ca="1">Tbl_MeasureList[[#This Row],[Code (old fuel) Energy Consumption on MMBtu Basis (MMBtu/yr)]]-Tbl_MeasureList[[#This Row],[Code (new fuel) Energy Consumption on MMBtu Basis (MMBtu/yr)]]</f>
        <v>0</v>
      </c>
      <c r="ET21" s="502">
        <f ca="1">Tbl_MeasureList[[#This Row],[Code (old fuel) Carbon Emissions, Site (tons CO2/yr)]]-Tbl_MeasureList[[#This Row],[Code (new fuel) Carbon Emissions, Site (tons CO2/yr)]]</f>
        <v>1.0639344262295092</v>
      </c>
      <c r="EU21" s="498">
        <f ca="1">Tbl_MeasureList[[#This Row],[Code (old fuel) Carbon Emissions, Source (tons CO2/yr)]]-Tbl_MeasureList[[#This Row],[Code (new fuel) Carbon Emissions, Source (tons CO2/yr)]]</f>
        <v>1.0639344262295083</v>
      </c>
      <c r="EV21" s="450">
        <f ca="1">Tbl_MeasureList[[#This Row],[ER Total Low Measure Electric Annual Consumption Savings (kWh/yr)]]*COAL_BTU_PER_SITE_KWH/Btu_per_MMBtu</f>
        <v>-1.4529616741595279E-2</v>
      </c>
      <c r="EW21" s="411">
        <f ca="1">Tbl_MeasureList[[#This Row],[ER Total Low Measure Electric Annual Consumption Savings (kWh/yr)]]*COAL_LBS_PER_SITE_KWH</f>
        <v>-1.274527784350463</v>
      </c>
      <c r="EX21" s="326">
        <f ca="1">Tbl_MeasureList[[#This Row],[ER Total Low Measure Electric Annual Consumption Savings (kWh/yr)]]*OIL_BTU_PER_SITE_KWH/Btu_per_MMBtu</f>
        <v>-1.6726412886365751E-2</v>
      </c>
      <c r="EY21" s="325">
        <f ca="1">Tbl_MeasureList[[#This Row],[ER Total Low Measure Electric Annual Consumption Savings (kWh/yr)]]*OIL_GAL_PER_SITE_KWH</f>
        <v>-0.12125421643673746</v>
      </c>
      <c r="EZ21" s="326">
        <f ca="1">Tbl_MeasureList[[#This Row],[ER Total Low Measure Oil Annual Consumption Savings (MMBtu/yr)]]*Btu_per_MMBtu/OIL_BTU_PER_GAL</f>
        <v>0</v>
      </c>
      <c r="FA21" s="325">
        <f ca="1">Tbl_MeasureList[[#This Row],[Current ER Total Low Measure Oil Source Fuel Savings (gallons oil/year)]]+Tbl_MeasureList[[#This Row],[Current ER Total Low Measure Oil Site Fuel Savings (gallons oil/year)]]</f>
        <v>-0.12125421643673746</v>
      </c>
      <c r="FB21" s="326">
        <f ca="1">Tbl_MeasureList[[#This Row],[ER Total Low Measure Electric Annual Consumption Savings (kWh/yr)]]*GAS_BTU_PER_SITE_KWH/Btu_per_MMBtu</f>
        <v>-0.54016127446709017</v>
      </c>
      <c r="FC21" s="327">
        <f ca="1">Tbl_MeasureList[[#This Row],[ER Total Low Measure Electric Annual Consumption Savings (kWh/yr)]]*GAS_CUFT_PER_SITE_KWH/1000</f>
        <v>-0.5249380704247717</v>
      </c>
      <c r="FD21" s="328">
        <f ca="1">Tbl_MeasureList[[#This Row],[ER Total Low Measure Natural Gas Annual Consumption Savings (therms/yr)]]*Btu_per_MMBtu/(GAS_BTU_PER_CUFT*Therm_per_MMBtu*1000)</f>
        <v>-85.479801356977916</v>
      </c>
      <c r="FE21" s="329">
        <f ca="1">Tbl_MeasureList[[#This Row],[Current ER Total Low Measure Gas Source Fuel Savings (1,000 cu.ft. gas/year)]]+Tbl_MeasureList[[#This Row],[Current ER Total Low Measure Gas Site Fuel Savings (1,000 cu.ft gas/year)]]</f>
        <v>-86.004739427402683</v>
      </c>
      <c r="FF21" s="324">
        <f ca="1">IFERROR(Tbl_MeasureList[[#This Row],[ER Total High Measure Electric Annual Consumption Savings (kWh/yr)]]*COAL_BTU_PER_SITE_KWH/Btu_per_MMBtu,"-")</f>
        <v>-1.2658378221844372E-2</v>
      </c>
      <c r="FG21" s="325">
        <f ca="1">IFERROR(Tbl_MeasureList[[#This Row],[ER Total High Measure Electric Annual Consumption Savings (kWh/yr)]]*COAL_LBS_PER_SITE_KWH,"-")</f>
        <v>-1.1103840545477519</v>
      </c>
      <c r="FH21" s="326">
        <f ca="1">IFERROR(Tbl_MeasureList[[#This Row],[ER Total High Measure Electric Annual Consumption Savings (kWh/yr)]]*OIL_BTU_PER_SITE_KWH/Btu_per_MMBtu,"-")</f>
        <v>-1.4572253651000464E-2</v>
      </c>
      <c r="FI21" s="325">
        <f ca="1">IFERROR(Tbl_MeasureList[[#This Row],[ER Total High Measure Electric Annual Consumption Savings (kWh/yr)]]*OIL_GAL_PER_SITE_KWH,"-")</f>
        <v>-0.1056381431077637</v>
      </c>
      <c r="FJ21" s="326">
        <f ca="1">IFERROR(Tbl_MeasureList[[#This Row],[ER Total High Measure Oil Annual Consumption Savings (MMBtu/yr)]]*Btu_per_MMBtu/OIL_BTU_PER_GAL,"-")</f>
        <v>0</v>
      </c>
      <c r="FK21" s="325">
        <f ca="1">IFERROR(Tbl_MeasureList[[#This Row],[Current ER Total High Measure Oil Source Fuel Savings (gallons oil/year)]]+Tbl_MeasureList[[#This Row],[Current ER Total High Measure Oil Site Fuel Savings (gallons oil/year)]],"-")</f>
        <v>-0.1056381431077637</v>
      </c>
      <c r="FL21" s="326">
        <f ca="1">IFERROR(Tbl_MeasureList[[#This Row],[ER Total High Measure Electric Annual Consumption Savings (kWh/yr)]]*GAS_BTU_PER_SITE_KWH/Btu_per_MMBtu,"-")</f>
        <v>-0.4705950497251164</v>
      </c>
      <c r="FM21" s="327">
        <f ca="1">IFERROR(Tbl_MeasureList[[#This Row],[ER Total High Measure Electric Annual Consumption Savings (kWh/yr)]]*GAS_CUFT_PER_SITE_KWH/1000,"-")</f>
        <v>-0.45733240983976325</v>
      </c>
      <c r="FN21" s="328">
        <f ca="1">IFERROR(Tbl_MeasureList[[#This Row],[ER Total High Measure Natural Gas Annual Consumption Savings (therms/yr)]]*Btu_per_MMBtu/(GAS_BTU_PER_CUFT*Therm_per_MMBtu*1000),"-")</f>
        <v>-83.37627156966974</v>
      </c>
      <c r="FO21" s="329">
        <f ca="1">IFERROR(Tbl_MeasureList[[#This Row],[Current ER Total High Measure Gas Source Fuel Savings (1,000 cu.ft. gas/year)]]+Tbl_MeasureList[[#This Row],[Current ER Total High Measure Gas Site Fuel Savings (1,000 cu.ft gas/year)]],"-")</f>
        <v>-83.833603979509505</v>
      </c>
      <c r="FP21" s="412">
        <f ca="1">Tbl_MeasureList[[#This Row],[ROF Low Measure Electric Annual Consumption Savings (kWh/yr)]]*COAL_BTU_PER_SITE_KWH/Btu_per_MMBtu</f>
        <v>-1.4529616741595279E-2</v>
      </c>
      <c r="FQ21" s="327">
        <f ca="1">Tbl_MeasureList[[#This Row],[ROF Low Measure Electric Annual Consumption Savings (kWh/yr)]]*COAL_LBS_PER_SITE_KWH</f>
        <v>-1.274527784350463</v>
      </c>
      <c r="FR21" s="412">
        <f ca="1">Tbl_MeasureList[[#This Row],[ROF Low Measure Electric Annual Consumption Savings (kWh/yr)]]*OIL_BTU_PER_SITE_KWH/Btu_per_MMBtu</f>
        <v>-1.6726412886365751E-2</v>
      </c>
      <c r="FS21" s="327">
        <f ca="1">Tbl_MeasureList[[#This Row],[ROF Low Measure Electric Annual Consumption Savings (kWh/yr)]]*OIL_GAL_PER_SITE_KWH</f>
        <v>-0.12125421643673746</v>
      </c>
      <c r="FT21" s="412">
        <f ca="1">Tbl_MeasureList[[#This Row],[ROF Low Measure Oil Annual Consumption Savings (MMBtu/yr)]]*Btu_per_MMBtu/OIL_BTU_PER_GAL</f>
        <v>0</v>
      </c>
      <c r="FU21" s="327">
        <f ca="1">Tbl_MeasureList[[#This Row],[Current ROF Low Measure Oil Source Fuel Savings (gallons oil/year)]]+Tbl_MeasureList[[#This Row],[Current ROF Low Measure Oil Site Fuel Savings (gallons oil/year)]]</f>
        <v>-0.12125421643673746</v>
      </c>
      <c r="FV21" s="412">
        <f ca="1">Tbl_MeasureList[[#This Row],[ROF Low Measure Electric Annual Consumption Savings (kWh/yr)]]*GAS_BTU_PER_SITE_KWH/Btu_per_MMBtu</f>
        <v>-0.54016127446709017</v>
      </c>
      <c r="FW21" s="327">
        <f ca="1">Tbl_MeasureList[[#This Row],[ROF Low Measure Electric Annual Consumption Savings (kWh/yr)]]*GAS_CUFT_PER_SITE_KWH/1000</f>
        <v>-0.5249380704247717</v>
      </c>
      <c r="FX21" s="412">
        <f ca="1">Tbl_MeasureList[[#This Row],[ROF Low Measure Natural Gas Annual Consumption Savings (therms/yr)]]*Btu_per_MMBtu/(GAS_BTU_PER_CUFT*Therm_per_MMBtu*1000)</f>
        <v>-85.479801356977916</v>
      </c>
      <c r="FY21" s="327">
        <f ca="1">Tbl_MeasureList[[#This Row],[Current ROF Low Measure Gas Source Fuel Savings (1,000 cu.ft. gas/year)]]+Tbl_MeasureList[[#This Row],[Current ROF Low Measure Gas Site Fuel Savings (1,000 cu.ft gas/year)]]</f>
        <v>-86.004739427402683</v>
      </c>
      <c r="FZ21" s="414">
        <f ca="1">IFERROR(Tbl_MeasureList[[#This Row],[ROF High Measure Electric Annual Consumption Savings (kWh/yr)]]*COAL_BTU_PER_SITE_KWH/Btu_per_MMBtu,"-")</f>
        <v>-1.2658378221844372E-2</v>
      </c>
      <c r="GA21" s="327">
        <f ca="1">IFERROR(Tbl_MeasureList[[#This Row],[ROF High Measure Electric Annual Consumption Savings (kWh/yr)]]*COAL_LBS_PER_SITE_KWH,"-")</f>
        <v>-1.1103840545477519</v>
      </c>
      <c r="GB21" s="412">
        <f ca="1">IFERROR(Tbl_MeasureList[[#This Row],[ROF High Measure Electric Annual Consumption Savings (kWh/yr)]]*OIL_BTU_PER_SITE_KWH/Btu_per_MMBtu,"-")</f>
        <v>-1.4572253651000464E-2</v>
      </c>
      <c r="GC21" s="327">
        <f ca="1">IFERROR(Tbl_MeasureList[[#This Row],[ROF High Measure Electric Annual Consumption Savings (kWh/yr)]]*OIL_GAL_PER_SITE_KWH,"-")</f>
        <v>-0.1056381431077637</v>
      </c>
      <c r="GD21" s="412">
        <f ca="1">IFERROR(Tbl_MeasureList[[#This Row],[ROF High Measure Oil Annual Consumption Savings (MMBtu/yr)]]*Btu_per_MMBtu/OIL_BTU_PER_GAL,"-")</f>
        <v>0</v>
      </c>
      <c r="GE21" s="327">
        <f ca="1">IFERROR(Tbl_MeasureList[[#This Row],[Current ROF High Measure Oil Source Fuel Savings (gallons oil/year)]]+Tbl_MeasureList[[#This Row],[Current ROF High Measure Oil Site Fuel Savings (gallons oil/year)]],"-")</f>
        <v>-0.1056381431077637</v>
      </c>
      <c r="GF21" s="412">
        <f ca="1">IFERROR(Tbl_MeasureList[[#This Row],[ROF High Measure Electric Annual Consumption Savings (kWh/yr)]]*GAS_BTU_PER_SITE_KWH/Btu_per_MMBtu,"-")</f>
        <v>-0.4705950497251164</v>
      </c>
      <c r="GG21" s="327">
        <f ca="1">IFERROR(Tbl_MeasureList[[#This Row],[ROF High Measure Electric Annual Consumption Savings (kWh/yr)]]*GAS_CUFT_PER_SITE_KWH/1000,"-")</f>
        <v>-0.45733240983976325</v>
      </c>
      <c r="GH21" s="412">
        <f ca="1">IFERROR(Tbl_MeasureList[[#This Row],[ROF High Measure Natural Gas Annual Consumption Savings (therms/yr)]]*Btu_per_MMBtu/(GAS_BTU_PER_CUFT*Therm_per_MMBtu*1000),"-")</f>
        <v>-83.37627156966974</v>
      </c>
      <c r="GI21" s="327">
        <f ca="1">IFERROR(Tbl_MeasureList[[#This Row],[Current ROF High Measure Gas Source Fuel Savings (1,000 cu.ft. gas/year)]]+Tbl_MeasureList[[#This Row],[Current ROF High Measure Gas Site Fuel Savings (1,000 cu.ft gas/year)]],"-")</f>
        <v>-83.833603979509505</v>
      </c>
      <c r="GJ21" s="324">
        <f ca="1">Tbl_MeasureList[[#This Row],[ER Total Low Measure Electric Annual Consumption Savings (kWh/yr)]]*COAL_BTU_PER_SITE_KWH_CES/Btu_per_MMBtu</f>
        <v>-2.4700348460711972E-2</v>
      </c>
      <c r="GK21" s="325">
        <f ca="1">Tbl_MeasureList[[#This Row],[ER Total Low Measure Electric Annual Consumption Savings (kWh/yr)]]*COAL_LBS_PER_SITE_KWH_CES</f>
        <v>-2.2430392717682506</v>
      </c>
      <c r="GL21" s="326">
        <f ca="1">Tbl_MeasureList[[#This Row],[ER Total Low Measure Electric Annual Consumption Savings (kWh/yr)]]*OIL_BTU_PER_SITE_KWH_CES/Btu_per_MMBtu</f>
        <v>-7.602914948348069E-3</v>
      </c>
      <c r="GM21" s="325">
        <f ca="1">Tbl_MeasureList[[#This Row],[ER Total Low Measure Electric Annual Consumption Savings (kWh/yr)]]*OIL_GAL_PER_SITE_KWH_CES</f>
        <v>-5.1293413673548609E-2</v>
      </c>
      <c r="GN21" s="326">
        <f ca="1">Tbl_MeasureList[[#This Row],[ER Total Low Measure Oil Annual Consumption Savings (MMBtu/yr)]]*Btu_per_MMBtu/OIL_BTU_PER_GAL_CES</f>
        <v>0</v>
      </c>
      <c r="GO21" s="325">
        <f ca="1">Tbl_MeasureList[[#This Row],[CES ER Low Measure Oil Source Fuel Savings (gallons oil/year)]]+Tbl_MeasureList[[#This Row],[CES ER Low Measure Oil Site Fuel Savings (gallons oil/year)]]</f>
        <v>-5.1293413673548609E-2</v>
      </c>
      <c r="GP21" s="326">
        <f ca="1">Tbl_MeasureList[[#This Row],[ER Total Low Measure Electric Annual Consumption Savings (kWh/yr)]]*GAS_BTU_PER_SITE_KWH_CES/Btu_per_MMBtu</f>
        <v>-0.22488346936997225</v>
      </c>
      <c r="GQ21" s="327">
        <f ca="1">Tbl_MeasureList[[#This Row],[ER Total Low Measure Electric Annual Consumption Savings (kWh/yr)]]*GAS_CUFT_PER_SITE_KWH_CES/1000</f>
        <v>-0.21833346540774004</v>
      </c>
      <c r="GR21" s="328">
        <f ca="1">Tbl_MeasureList[[#This Row],[ER Total Low Measure Natural Gas Annual Consumption Savings (therms/yr)]]*Btu_per_MMBtu/(GAS_BTU_PER_CUFT_CES*Therm_per_MMBtu*1000)</f>
        <v>-85.396811258573081</v>
      </c>
      <c r="GS21" s="329">
        <f ca="1">Tbl_MeasureList[[#This Row],[CES ER Low Measure Gas Source Fuel Savings (1,000 cu.ft. gas/year)]]+Tbl_MeasureList[[#This Row],[CES ER Low Measure Gas Site Fuel Savings (1,000 cu.ft gas/year)]]</f>
        <v>-85.615144723980819</v>
      </c>
      <c r="GT21" s="324">
        <f ca="1">IFERROR(Tbl_MeasureList[[#This Row],[ER Total High Measure Electric Annual Consumption Savings (kWh/yr)]]*COAL_BTU_PER_SITE_KWH_CES/Btu_per_MMBtu,"-")</f>
        <v>-2.1519242977135429E-2</v>
      </c>
      <c r="GU21" s="325">
        <f ca="1">IFERROR(Tbl_MeasureList[[#This Row],[ER Total High Measure Electric Annual Consumption Savings (kWh/yr)]]*COAL_LBS_PER_SITE_KWH_CES,"-")</f>
        <v>-1.954163001919309</v>
      </c>
      <c r="GV21" s="326">
        <f ca="1">IFERROR(Tbl_MeasureList[[#This Row],[ER Total High Measure Electric Annual Consumption Savings (kWh/yr)]]*OIL_BTU_PER_SITE_KWH_CES/Btu_per_MMBtu,"-")</f>
        <v>-6.6237516595456652E-3</v>
      </c>
      <c r="GW21" s="325">
        <f ca="1">IFERROR(Tbl_MeasureList[[#This Row],[ER Total High Measure Electric Annual Consumption Savings (kWh/yr)]]*OIL_GAL_PER_SITE_KWH_CES,"-")</f>
        <v>-4.4687443730743105E-2</v>
      </c>
      <c r="GX21" s="326">
        <f ca="1">IFERROR(Tbl_MeasureList[[#This Row],[ER Total High Measure Oil Annual Consumption Savings (MMBtu/yr)]]*Btu_per_MMBtu/OIL_BTU_PER_GAL_CES,"-")</f>
        <v>0</v>
      </c>
      <c r="GY21" s="325">
        <f ca="1">IFERROR(Tbl_MeasureList[[#This Row],[CES ER High Measure Oil Source Fuel Savings (gallons oil/year)]]+Tbl_MeasureList[[#This Row],[CES ER High Measure Oil Site Fuel Savings (gallons oil/year)]],"-")</f>
        <v>-4.4687443730743105E-2</v>
      </c>
      <c r="GZ21" s="326">
        <f ca="1">IFERROR(Tbl_MeasureList[[#This Row],[ER Total High Measure Electric Annual Consumption Savings (kWh/yr)]]*GAS_BTU_PER_SITE_KWH_CES/Btu_per_MMBtu,"-")</f>
        <v>-0.1959212043753546</v>
      </c>
      <c r="HA21" s="327">
        <f ca="1">IFERROR(Tbl_MeasureList[[#This Row],[ER Total High Measure Electric Annual Consumption Savings (kWh/yr)]]*GAS_CUFT_PER_SITE_KWH_CES/1000,"-")</f>
        <v>-0.19021476152947048</v>
      </c>
      <c r="HB21" s="328">
        <f ca="1">IFERROR(Tbl_MeasureList[[#This Row],[ER Total High Measure Natural Gas Annual Consumption Savings (therms/yr)]]*Btu_per_MMBtu/(GAS_BTU_PER_CUFT_CES*Therm_per_MMBtu*1000),"-")</f>
        <v>-83.295323733194323</v>
      </c>
      <c r="HC21" s="329">
        <f ca="1">IFERROR(Tbl_MeasureList[[#This Row],[CES ER High Measure Gas Source Fuel Savings (1,000 cu.ft. gas/year)]]+Tbl_MeasureList[[#This Row],[CES ER High Measure Gas Site Fuel Savings (1,000 cu.ft gas/year)]],"-")</f>
        <v>-83.485538494723798</v>
      </c>
      <c r="HD21" s="315">
        <f ca="1">Tbl_MeasureList[[#This Row],[ROF Low Measure Electric Annual Consumption Savings (kWh/yr)]]*COAL_BTU_PER_SITE_KWH_CES/Btu_per_MMBtu</f>
        <v>-2.4700348460711972E-2</v>
      </c>
      <c r="HE21" s="316">
        <f ca="1">Tbl_MeasureList[[#This Row],[ROF Low Measure Electric Annual Consumption Savings (kWh/yr)]]*COAL_LBS_PER_SITE_KWH_CES</f>
        <v>-2.2430392717682506</v>
      </c>
      <c r="HF21" s="317">
        <f ca="1">Tbl_MeasureList[[#This Row],[ROF Low Measure Electric Annual Consumption Savings (kWh/yr)]]*OIL_BTU_PER_SITE_KWH_CES/Btu_per_MMBtu</f>
        <v>-7.602914948348069E-3</v>
      </c>
      <c r="HG21" s="316">
        <f ca="1">Tbl_MeasureList[[#This Row],[ROF Low Measure Electric Annual Consumption Savings (kWh/yr)]]*OIL_GAL_PER_SITE_KWH_CES</f>
        <v>-5.1293413673548609E-2</v>
      </c>
      <c r="HH21" s="317">
        <f ca="1">Tbl_MeasureList[[#This Row],[ROF Low Measure Oil Annual Consumption Savings (MMBtu/yr)]]*Btu_per_MMBtu/OIL_BTU_PER_GAL_CES</f>
        <v>0</v>
      </c>
      <c r="HI21" s="316">
        <f ca="1">Tbl_MeasureList[[#This Row],[CES ROF Low Measure Oil Source Fuel Savings (gallons oil/year)]]+Tbl_MeasureList[[#This Row],[CES ROF Low Measure Oil Site Fuel Savings (gallons oil/year)]]</f>
        <v>-5.1293413673548609E-2</v>
      </c>
      <c r="HJ21" s="317">
        <f ca="1">Tbl_MeasureList[[#This Row],[ROF Low Measure Electric Annual Consumption Savings (kWh/yr)]]*GAS_BTU_PER_SITE_KWH_CES/Btu_per_MMBtu</f>
        <v>-0.22488346936997225</v>
      </c>
      <c r="HK21" s="316">
        <f ca="1">Tbl_MeasureList[[#This Row],[ROF Low Measure Electric Annual Consumption Savings (kWh/yr)]]*GAS_CUFT_PER_SITE_KWH_CES/1000</f>
        <v>-0.21833346540774004</v>
      </c>
      <c r="HL21" s="317">
        <f ca="1">Tbl_MeasureList[[#This Row],[ROF Low Measure Natural Gas Annual Consumption Savings (therms/yr)]]*Btu_per_MMBtu/(GAS_BTU_PER_CUFT_CES*Therm_per_MMBtu*1000)</f>
        <v>-85.396811258573081</v>
      </c>
      <c r="HM21" s="318">
        <f ca="1">Tbl_MeasureList[[#This Row],[CES ROF Low Measure Gas Source Fuel Savings (1,000 cu.ft. gas/year)]]+Tbl_MeasureList[[#This Row],[CES ROF Low Measure Gas Site Fuel Savings (1,000 cu.ft gas/year)]]</f>
        <v>-85.615144723980819</v>
      </c>
      <c r="HN21" s="315">
        <f ca="1">IFERROR(Tbl_MeasureList[[#This Row],[ROF High Measure Electric Annual Consumption Savings (kWh/yr)]]*COAL_BTU_PER_SITE_KWH_CES/Btu_per_MMBtu,"-")</f>
        <v>-2.1519242977135429E-2</v>
      </c>
      <c r="HO21" s="316">
        <f ca="1">IFERROR(Tbl_MeasureList[[#This Row],[ROF High Measure Electric Annual Consumption Savings (kWh/yr)]]*COAL_LBS_PER_SITE_KWH_CES,"-")</f>
        <v>-1.954163001919309</v>
      </c>
      <c r="HP21" s="317">
        <f ca="1">IFERROR(Tbl_MeasureList[[#This Row],[ROF High Measure Electric Annual Consumption Savings (kWh/yr)]]*OIL_BTU_PER_SITE_KWH_CES/Btu_per_MMBtu,"-")</f>
        <v>-6.6237516595456652E-3</v>
      </c>
      <c r="HQ21" s="316">
        <f ca="1">IFERROR(Tbl_MeasureList[[#This Row],[ROF High Measure Electric Annual Consumption Savings (kWh/yr)]]*OIL_GAL_PER_SITE_KWH_CES,"-")</f>
        <v>-4.4687443730743105E-2</v>
      </c>
      <c r="HR21" s="317">
        <f ca="1">IFERROR(Tbl_MeasureList[[#This Row],[ROF High Measure Oil Annual Consumption Savings (MMBtu/yr)]]*Btu_per_MMBtu/OIL_BTU_PER_GAL_CES,"-")</f>
        <v>0</v>
      </c>
      <c r="HS21" s="316">
        <f ca="1">IFERROR(Tbl_MeasureList[[#This Row],[CES ROF High Measure Oil Source Fuel Savings (gallons oil/year)]]+Tbl_MeasureList[[#This Row],[CES ROF High Measure Oil Site Fuel Savings (gallons oil/year)]],"-")</f>
        <v>-4.4687443730743105E-2</v>
      </c>
      <c r="HT21" s="317">
        <f ca="1">IFERROR(Tbl_MeasureList[[#This Row],[ROF High Measure Electric Annual Consumption Savings (kWh/yr)]]*GAS_BTU_PER_SITE_KWH_CES/Btu_per_MMBtu,"-")</f>
        <v>-0.1959212043753546</v>
      </c>
      <c r="HU21" s="316">
        <f ca="1">IFERROR(Tbl_MeasureList[[#This Row],[ROF High Measure Electric Annual Consumption Savings (kWh/yr)]]*GAS_CUFT_PER_SITE_KWH_CES/1000,"-")</f>
        <v>-0.19021476152947048</v>
      </c>
      <c r="HV21" s="317">
        <f ca="1">IFERROR(Tbl_MeasureList[[#This Row],[ROF High Measure Natural Gas Annual Consumption Savings (therms/yr)]]*Btu_per_MMBtu/(GAS_BTU_PER_CUFT_CES*Therm_per_MMBtu*1000),"-")</f>
        <v>-83.295323733194323</v>
      </c>
      <c r="HW21" s="318">
        <f ca="1">IFERROR(Tbl_MeasureList[[#This Row],[CES ROF High Measure Gas Source Fuel Savings (1,000 cu.ft. gas/year)]]+Tbl_MeasureList[[#This Row],[CES ROF High Measure Gas Site Fuel Savings (1,000 cu.ft gas/year)]],"-")</f>
        <v>-83.485538494723798</v>
      </c>
      <c r="HX21" s="248">
        <f>Tbl_MeasureList[[#This Row],[Baseline Energy Cost (USD/yr)]]-Tbl_MeasureList[[#This Row],[Code (old fuel) Energy Cost (USD/yr)]]</f>
        <v>199.32993652782852</v>
      </c>
      <c r="HY21" s="201">
        <f>0</f>
        <v>0</v>
      </c>
      <c r="HZ21" s="86">
        <f>Tbl_MeasureList[[#This Row],[Baseline Electric Annual Consumption (kWh/yr)]]-Tbl_MeasureList[[#This Row],[Code (old fuel) Electric Annual Consumption (kWh/yr)]]</f>
        <v>0</v>
      </c>
      <c r="IA21" s="86">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0</v>
      </c>
      <c r="IB21" s="86">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0</v>
      </c>
      <c r="IC21" s="152">
        <f>Tbl_MeasureList[[#This Row],[Baseline Electric Winter Peak Demand (kW)]]-Tbl_MeasureList[[#This Row],[Code (old fuel) Electric Winter Peak Demand (kW)]]</f>
        <v>0</v>
      </c>
      <c r="ID21" s="152">
        <f>Tbl_MeasureList[[#This Row],[Baseline Electric Summer Peak Demand (kW)]]-Tbl_MeasureList[[#This Row],[Code (old fuel) Electric Summer Peak Demand (kW)]]</f>
        <v>0</v>
      </c>
      <c r="IE21" s="251">
        <f>Tbl_MeasureList[[#This Row],[Baseline Natural Gas Annual Consumption (therms/yr)]]-Tbl_MeasureList[[#This Row],[Code (old fuel) Natural Gas Annual Consumption (therms/yr)]]</f>
        <v>0</v>
      </c>
      <c r="IF21" s="252">
        <f>Tbl_MeasureList[[#This Row],[Baseline Propane Annual Consumption (MMBtu/yr)]]-Tbl_MeasureList[[#This Row],[Code (old fuel) Propane Annual Consumption (MMBtu/yr)]]</f>
        <v>5.5453551912568315</v>
      </c>
      <c r="IG21" s="253">
        <f>Tbl_MeasureList[[#This Row],[Baseline Oil Annual Consumption (MMBtu/yr)]]-Tbl_MeasureList[[#This Row],[Code (old fuel) Oil Annual Consumption (MMBtu/yr)]]</f>
        <v>0</v>
      </c>
      <c r="IH21" s="371">
        <f>Tbl_MeasureList[[#This Row],[Baseline Energy Consumption on MMBtu Basis (MMBtu/yr)]]-Tbl_MeasureList[[#This Row],[Code (old fuel) Energy Consumption on MMBtu Basis (MMBtu/yr)]]</f>
        <v>5.5453551912568315</v>
      </c>
      <c r="II21" s="371">
        <f>Tbl_MeasureList[[#This Row],[Baseline Carbon Emissions, Site (tons CO2/yr)]]-Tbl_MeasureList[[#This Row],[Code (old fuel) Carbon Emissions, Site (tons CO2/yr)]]</f>
        <v>0.38540218579234864</v>
      </c>
      <c r="IJ21" s="279">
        <f>Tbl_MeasureList[[#This Row],[Baseline Carbon Emissions, Source (tons CO2/yr)]]-Tbl_MeasureList[[#This Row],[Code (old fuel) Carbon Emissions, Source (tons CO2/yr)]]</f>
        <v>0.38540218579234953</v>
      </c>
      <c r="IK21" s="273">
        <f ca="1">Tbl_MeasureList[[#This Row],[Code (new fuel) Energy Cost (USD/yr)]]-Tbl_MeasureList[[#This Row],[Low Measure Energy Cost (USD/yr)]]</f>
        <v>115.23107152955345</v>
      </c>
      <c r="IL21"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11971.225196418456</v>
      </c>
      <c r="IM21" s="85">
        <f ca="1">Tbl_MeasureList[[#This Row],[Code (old fuel) Electric Annual Consumption (kWh/yr)]]-Tbl_MeasureList[[#This Row],[Low Measure Electric Annual Consumption (kWh/yr)]]</f>
        <v>-132</v>
      </c>
      <c r="IN21" s="85">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-132</v>
      </c>
      <c r="IO21" s="85">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0</v>
      </c>
      <c r="IP21" s="152">
        <f ca="1">Tbl_MeasureList[[#This Row],[Code (old fuel) Electric Winter Peak Demand (kW)]]-Tbl_MeasureList[[#This Row],[Low Measure Electric Winter Peak Demand (kW)]]</f>
        <v>-2.0249280920421858E-2</v>
      </c>
      <c r="IQ21" s="152">
        <f ca="1">Tbl_MeasureList[[#This Row],[Code (old fuel) Electric Summer Peak Demand (kW)]]-Tbl_MeasureList[[#This Row],[Low Measure Electric Summer Peak Demand (kW)]]</f>
        <v>0</v>
      </c>
      <c r="IR21" s="204">
        <f ca="1">Tbl_MeasureList[[#This Row],[Code (old fuel) Natural Gas Annual Consumption (therms/yr)]]-Tbl_MeasureList[[#This Row],[Low Measure Natural Gas Annual Consumption (therms/yr)]]</f>
        <v>-879.58715596330273</v>
      </c>
      <c r="IS21" s="153">
        <f ca="1">Tbl_MeasureList[[#This Row],[Code (old fuel) Propane Annual Consumption (MMBtu/yr)]]-Tbl_MeasureList[[#This Row],[Low Measure Propane Annual Consumption (MMBtu/yr)]]</f>
        <v>96.721311475409834</v>
      </c>
      <c r="IT21" s="204">
        <f ca="1">Tbl_MeasureList[[#This Row],[Code (old fuel) Oil Annual Consumption (MMBtu/yr)]]-Tbl_MeasureList[[#This Row],[Low Measure Oil Annual Consumption (MMBtu/yr)]]</f>
        <v>0</v>
      </c>
      <c r="IU21" s="204">
        <f ca="1">Tbl_MeasureList[[#This Row],[Code (old fuel) Energy Consumption on MMBtu Basis (MMBtu/yr)]]-Tbl_MeasureList[[#This Row],[Low Measure Energy Consumption on MMBtu Basis (MMBtu/yr)]]</f>
        <v>8.3122118790795554</v>
      </c>
      <c r="IV21" s="204">
        <f ca="1">Tbl_MeasureList[[#This Row],[Code (old fuel) Carbon Emissions, Site (tons CO2/yr)]]-Tbl_MeasureList[[#This Row],[Low Measure Carbon Emissions, Site (tons CO2/yr)]]</f>
        <v>1.5765462851556631</v>
      </c>
      <c r="IW21" s="260">
        <f ca="1">Tbl_MeasureList[[#This Row],[Code (old fuel) Carbon Emissions, Source (tons CO2/yr)]]-Tbl_MeasureList[[#This Row],[Low Measure Carbon Emissions, Source (tons CO2/yr)]]</f>
        <v>1.5299291651556626</v>
      </c>
      <c r="IX21" s="27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2070.0777604679547</v>
      </c>
      <c r="IY21" s="20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12232.225196418456</v>
      </c>
      <c r="IZ21"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-115</v>
      </c>
      <c r="JA21"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-115</v>
      </c>
      <c r="JB21"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0</v>
      </c>
      <c r="JC21"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-1.7641418983700863E-2</v>
      </c>
      <c r="JD21"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0</v>
      </c>
      <c r="JE21"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-857.94183445190151</v>
      </c>
      <c r="JF21" s="1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96.721311475409834</v>
      </c>
      <c r="JG21"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0</v>
      </c>
      <c r="JH21"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10.534748030219674</v>
      </c>
      <c r="JI21"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1.7031714159973594</v>
      </c>
      <c r="JJ21"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1.6625580159973596</v>
      </c>
      <c r="JK21" s="432">
        <f>Tbl_MeasureList[[#This Row],[ER (Retire) Electric Annual Consumption Savings (kWh/yr)]]*COAL_BTU_PER_SITE_KWH/Btu_per_MMBtu</f>
        <v>0</v>
      </c>
      <c r="JL21" s="428">
        <f>Tbl_MeasureList[[#This Row],[ER (Retire) Electric Annual Consumption Savings (kWh/yr)]]*COAL_LBS_PER_SITE_KWH</f>
        <v>0</v>
      </c>
      <c r="JM21" s="427">
        <f>Tbl_MeasureList[[#This Row],[ER (Retire) Electric Annual Consumption Savings (kWh/yr)]]*OIL_BTU_PER_SITE_KWH/Btu_per_MMBtu</f>
        <v>0</v>
      </c>
      <c r="JN21" s="428">
        <f>Tbl_MeasureList[[#This Row],[ER (Retire) Electric Annual Consumption Savings (kWh/yr)]]*OIL_GAL_PER_SITE_KWH</f>
        <v>0</v>
      </c>
      <c r="JO21" s="427">
        <f>Tbl_MeasureList[[#This Row],[ER (Retire) Oil Annual Consumption Savings (MMBtu/yr)]]*Btu_per_MMBtu/OIL_BTU_PER_GAL</f>
        <v>0</v>
      </c>
      <c r="JP21" s="428">
        <f ca="1">Tbl_MeasureList[[#This Row],[Current ER (Retire) Oil Source Fuel Savings (gallons oil/year)]]+Tbl_MeasureList[[#This Row],[Current ER Total Low Measure Oil Site Fuel Savings (gallons oil/year)]]</f>
        <v>0</v>
      </c>
      <c r="JQ21" s="427">
        <f>Tbl_MeasureList[[#This Row],[ER (Retire) Electric Annual Consumption Savings (kWh/yr)]]*GAS_BTU_PER_SITE_KWH/Btu_per_MMBtu</f>
        <v>0</v>
      </c>
      <c r="JR21" s="429">
        <f>Tbl_MeasureList[[#This Row],[ER (Retire) Electric Annual Consumption Savings (kWh/yr)]]*GAS_CUFT_PER_SITE_KWH/1000</f>
        <v>0</v>
      </c>
      <c r="JS21" s="430">
        <f>Tbl_MeasureList[[#This Row],[ER (Retire) Natural Gas Annual Consumption Savings (therms/yr)]]*Btu_per_MMBtu/(GAS_BTU_PER_CUFT*Therm_per_MMBtu*1000)</f>
        <v>0</v>
      </c>
      <c r="JT21" s="431">
        <f ca="1">Tbl_MeasureList[[#This Row],[Current ER (Retire) Gas Source Fuel Savings (1,000 cu.ft. gas/year)]]+Tbl_MeasureList[[#This Row],[Current ER Total Low Measure Gas Site Fuel Savings (1,000 cu.ft gas/year)]]</f>
        <v>-85.479801356977916</v>
      </c>
      <c r="JU21" s="432">
        <f ca="1">Tbl_MeasureList[[#This Row],[ER (EE) Low Measure Electric Annual Consumption Savings (kWh/yr)]]*COAL_BTU_PER_SITE_KWH/Btu_per_MMBtu</f>
        <v>-1.4529616741595279E-2</v>
      </c>
      <c r="JV21" s="428">
        <f ca="1">Tbl_MeasureList[[#This Row],[ER (EE) Low Measure Electric Annual Consumption Savings (kWh/yr)]]*COAL_LBS_PER_SITE_KWH</f>
        <v>-1.274527784350463</v>
      </c>
      <c r="JW21" s="427">
        <f ca="1">Tbl_MeasureList[[#This Row],[ER (EE) Low Measure Electric Annual Consumption Savings (kWh/yr)]]*OIL_BTU_PER_SITE_KWH/Btu_per_MMBtu</f>
        <v>-1.6726412886365751E-2</v>
      </c>
      <c r="JX21" s="428">
        <f ca="1">Tbl_MeasureList[[#This Row],[ER (EE) Low Measure Electric Annual Consumption Savings (kWh/yr)]]*OIL_GAL_PER_SITE_KWH</f>
        <v>-0.12125421643673746</v>
      </c>
      <c r="JY21" s="427">
        <f ca="1">Tbl_MeasureList[[#This Row],[ER (EE) Low Measure Oil Annual Consumption Savings (MMBtu/yr)]]*Btu_per_MMBtu/OIL_BTU_PER_GAL</f>
        <v>0</v>
      </c>
      <c r="JZ21" s="428">
        <f ca="1">Tbl_MeasureList[[#This Row],[Current ER (EE) Low Measure Oil Source Fuel Savings (gallons oil/year)]]+Tbl_MeasureList[[#This Row],[Current ER (EE) Low Measure Oil Site Fuel Savings (gallons oil/year)]]</f>
        <v>-0.12125421643673746</v>
      </c>
      <c r="KA21" s="427">
        <f ca="1">Tbl_MeasureList[[#This Row],[ER (EE) Low Measure Electric Annual Consumption Savings (kWh/yr)]]*GAS_BTU_PER_SITE_KWH/Btu_per_MMBtu</f>
        <v>-0.54016127446709017</v>
      </c>
      <c r="KB21" s="429">
        <f ca="1">Tbl_MeasureList[[#This Row],[ER (EE) Low Measure Electric Annual Consumption Savings (kWh/yr)]]*GAS_CUFT_PER_SITE_KWH/1000</f>
        <v>-0.5249380704247717</v>
      </c>
      <c r="KC21" s="430">
        <f ca="1">Tbl_MeasureList[[#This Row],[ER (EE) Low Measure Natural Gas Annual Consumption Savings (therms/yr)]]*Btu_per_MMBtu/(GAS_BTU_PER_CUFT*Therm_per_MMBtu*1000)</f>
        <v>-85.479801356977916</v>
      </c>
      <c r="KD21" s="431">
        <f ca="1">Tbl_MeasureList[[#This Row],[Current ER (EE) Low Measure Gas Source Fuel Savings (1,000 cu.ft. gas/year)]]+Tbl_MeasureList[[#This Row],[Current ER (EE) Low Measure Gas Site Fuel Savings (1,000 cu.ft gas/year)]]</f>
        <v>-86.004739427402683</v>
      </c>
      <c r="KE21" s="432">
        <f ca="1">IFERROR(Tbl_MeasureList[[#This Row],[ER (EE) High Measure Electric Annual Consumption Savings (kWh/yr)]]*COAL_BTU_PER_SITE_KWH/Btu_per_MMBtu,"-")</f>
        <v>-1.2658378221844372E-2</v>
      </c>
      <c r="KF21" s="428">
        <f ca="1">IFERROR(Tbl_MeasureList[[#This Row],[ER (EE) High Measure Electric Annual Consumption Savings (kWh/yr)]]*COAL_LBS_PER_SITE_KWH,"-")</f>
        <v>-1.1103840545477519</v>
      </c>
      <c r="KG21" s="427">
        <f ca="1">IFERROR(Tbl_MeasureList[[#This Row],[ER (EE) High Measure Electric Annual Consumption Savings (kWh/yr)]]*OIL_BTU_PER_SITE_KWH/Btu_per_MMBtu,"-")</f>
        <v>-1.4572253651000464E-2</v>
      </c>
      <c r="KH21" s="428">
        <f ca="1">IFERROR(Tbl_MeasureList[[#This Row],[ER (EE) High Measure Electric Annual Consumption Savings (kWh/yr)]]*OIL_GAL_PER_SITE_KWH,"-")</f>
        <v>-0.1056381431077637</v>
      </c>
      <c r="KI21" s="427">
        <f ca="1">IFERROR(Tbl_MeasureList[[#This Row],[ER (EE) High Measure Oil Annual Consumption Savings (MMBtu/yr)]]*Btu_per_MMBtu/OIL_BTU_PER_GAL,"-")</f>
        <v>0</v>
      </c>
      <c r="KJ21" s="428">
        <f ca="1">IFERROR(Tbl_MeasureList[[#This Row],[Current ER (EE) High Measure Oil Source Fuel Savings (gallons oil/year)]]+Tbl_MeasureList[[#This Row],[Current ER (EE) High Measure Oil Site Fuel Savings (gallons oil/year)]],"-")</f>
        <v>-0.1056381431077637</v>
      </c>
      <c r="KK21" s="427">
        <f ca="1">IFERROR(Tbl_MeasureList[[#This Row],[ER (EE) High Measure Electric Annual Consumption Savings (kWh/yr)]]*GAS_BTU_PER_SITE_KWH/Btu_per_MMBtu,"-")</f>
        <v>-0.4705950497251164</v>
      </c>
      <c r="KL21" s="429">
        <f ca="1">IFERROR(Tbl_MeasureList[[#This Row],[ER (EE) High Measure Electric Annual Consumption Savings (kWh/yr)]]*GAS_CUFT_PER_SITE_KWH/1000,"-")</f>
        <v>-0.45733240983976325</v>
      </c>
      <c r="KM21" s="430">
        <f ca="1">IFERROR(Tbl_MeasureList[[#This Row],[ER (EE) High Measure Natural Gas Annual Consumption Savings (therms/yr)]]*Btu_per_MMBtu/(GAS_BTU_PER_CUFT*Therm_per_MMBtu*1000),"-")</f>
        <v>-83.37627156966974</v>
      </c>
      <c r="KN21" s="431">
        <f ca="1">IFERROR(Tbl_MeasureList[[#This Row],[Current ER (EE) High Measure Gas Source Fuel Savings (1,000 cu.ft. gas/year)]]+Tbl_MeasureList[[#This Row],[Current ER (EE) High Measure Gas Site Fuel Savings (1,000 cu.ft gas/year)]],"-")</f>
        <v>-83.833603979509505</v>
      </c>
    </row>
    <row r="22" spans="2:300" x14ac:dyDescent="0.2">
      <c r="B22" s="16"/>
      <c r="C22" s="2" t="s">
        <v>96</v>
      </c>
      <c r="D22" s="12" t="str">
        <f>INDEX(Tbl_BaselineSummary[Equipment ID],MATCH(Tbl_MeasureList[[#This Row],[Baseline ID]],Tbl_BaselineSummary[Baseline ID],0))</f>
        <v>EQUI017</v>
      </c>
      <c r="E22" s="11" t="str">
        <f>INDEX(Tbl_EquipmentDefinitions[Equipment Name],MATCH('Measure List'!$D22,Tbl_EquipmentDefinitions[Equipment ID],0))</f>
        <v>Oil Boiler+Indirect WH</v>
      </c>
      <c r="F22" s="3" t="s">
        <v>235</v>
      </c>
      <c r="G22" s="11" t="str">
        <f>INDEX(Tbl_EquipmentDefinitions[Function],MATCH('Measure List'!$D22,Tbl_EquipmentDefinitions[Equipment ID],0))</f>
        <v>Heat+HW</v>
      </c>
      <c r="H22" s="3" t="s">
        <v>111</v>
      </c>
      <c r="I22" s="3" t="s">
        <v>42</v>
      </c>
      <c r="J22" s="11" t="str">
        <f>INDEX(Tbl_EquipmentDefinitions[Equipment Name],MATCH('Measure List'!$I22,Tbl_EquipmentDefinitions[Equipment ID],0))</f>
        <v>Gas Boiler+Indirect WH</v>
      </c>
      <c r="K22" s="11">
        <f>INDEX(Tbl_EquipmentDefinitions[],MATCH(Tbl_MeasureList[[#This Row],[Replacement ID]],Tbl_EquipmentDefinitions[[Equipment ID]:[Equipment ID]],0),MATCH(Tbl_MeasureList[[#Headers],[New Unit Equipment Life (years)]],Tbl_EquipmentDefinitions[#Headers],0))</f>
        <v>20</v>
      </c>
      <c r="L22" s="11">
        <f>INDEX(Tbl_EquipmentDefinitions[],MATCH(Tbl_MeasureList[[#This Row],[Baseline Equipment ID]],Tbl_EquipmentDefinitions[[Equipment ID]:[Equipment ID]],0),MATCH(Tbl_MeasureList[[#Headers],[Remaining Life for Early Replacement (years)]],Tbl_EquipmentDefinitions[#Headers],0))</f>
        <v>10</v>
      </c>
      <c r="M22" s="12" t="str">
        <f>INDEX(Tbl_EquipmentDefinitions[Function],MATCH('Measure List'!$I22,Tbl_EquipmentDefinitions[Equipment ID],0))</f>
        <v>Heat+HW</v>
      </c>
      <c r="N22" s="368" t="s">
        <v>118</v>
      </c>
      <c r="O22" s="14" t="str">
        <f t="shared" si="0"/>
        <v>OK</v>
      </c>
      <c r="P22" s="12" t="str">
        <f ca="1">IFERROR(INDIRECT(Tbl_MeasureList[[#This Row],[Measure ID]]&amp;"!D5"),"No tab")</f>
        <v>3. Ready</v>
      </c>
      <c r="Q22" s="11"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Oil</v>
      </c>
      <c r="R22" s="12"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v>
      </c>
      <c r="S22" s="11"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Natural Gas</v>
      </c>
      <c r="T22" s="247"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v>
      </c>
      <c r="U22" s="248">
        <f>INDEX(Tbl_BaselineSummary[Baseline Annual Energy Cost (USD)],MATCH(Tbl_MeasureList[[#This Row],[Baseline ID]],Tbl_BaselineSummary[Baseline ID],0))</f>
        <v>2766.9662989400827</v>
      </c>
      <c r="V22" s="249">
        <f>INDEX(Tbl_BaselineSummary[Baseline Electric Annual Consumption  (kWh)],MATCH(Tbl_MeasureList[[#This Row],[Baseline ID]],Tbl_BaselineSummary[Baseline ID],0))</f>
        <v>230</v>
      </c>
      <c r="W22" s="249" t="str">
        <f>INDEX(Tbl_BaselineSummary[Baseline Electric Winter Consumption (kWh)],MATCH(Tbl_MeasureList[[#This Row],[Baseline ID]],Tbl_BaselineSummary[Baseline ID],0))</f>
        <v>n/a</v>
      </c>
      <c r="X22" s="249" t="str">
        <f>INDEX(Tbl_BaselineSummary[Baseline Electric Summer Consumption (kWh)],MATCH(Tbl_MeasureList[[#This Row],[Baseline ID]],Tbl_BaselineSummary[Baseline ID],0))</f>
        <v>n/a</v>
      </c>
      <c r="Y22" s="250">
        <f>INDEX(Tbl_BaselineSummary[Baseline Electric Baseline Winter Peak Demand (kW)],MATCH(Tbl_MeasureList[[#This Row],[Baseline ID]],Tbl_BaselineSummary[Baseline ID],0))</f>
        <v>3.5282837967401733E-2</v>
      </c>
      <c r="Z22" s="452">
        <f>INDEX(Tbl_BaselineSummary[Baseline Electric Baseline Summer Peak Demand (kW)],MATCH(Tbl_MeasureList[[#This Row],[Baseline ID]],Tbl_BaselineSummary[Baseline ID],0))</f>
        <v>0</v>
      </c>
      <c r="AA22" s="458">
        <f>INDEX(Tbl_BaselineSummary[Baseline Natural Gas Annual Consumption  (therms)],MATCH(Tbl_MeasureList[[#This Row],[Baseline ID]],Tbl_BaselineSummary[Baseline ID],0))</f>
        <v>0</v>
      </c>
      <c r="AB22" s="455">
        <f>INDEX(Tbl_BaselineSummary[Baseline Propane Annual Consumption  (MMBtu)],MATCH(Tbl_MeasureList[[#This Row],[Baseline ID]],Tbl_BaselineSummary[Baseline ID],0))</f>
        <v>0</v>
      </c>
      <c r="AC22" s="252">
        <f>INDEX(Tbl_BaselineSummary[Baseline Oil Annual Consumption  (MMBtu)],MATCH(Tbl_MeasureList[[#This Row],[Baseline ID]],Tbl_BaselineSummary[Baseline ID],0))</f>
        <v>123.19440000000002</v>
      </c>
      <c r="AD22" s="371">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123.97916000000002</v>
      </c>
      <c r="AE22" s="460">
        <f>(lbCO2_per_Therm_Gas*Tbl_MeasureList[[#This Row],[Baseline Natural Gas Annual Consumption (therms/yr)]]+lbCO2_per_MMBtu_Prop*Tbl_MeasureList[[#This Row],[Baseline Propane Annual Consumption (MMBtu/yr)]]+lbCO2_per_MMBtu_Oil*Tbl_MeasureList[[#This Row],[Baseline Oil Annual Consumption (MMBtu/yr)]])*Lbs_per_ShortTon</f>
        <v>9.9356283600000026</v>
      </c>
      <c r="AF22" s="463">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10.016855160000002</v>
      </c>
      <c r="AG22" s="465">
        <f>INDEX(Tbl_BaselineSummary[Code Annual Energy Cost (USD)],MATCH(Tbl_MeasureList[[#This Row],[Baseline ID]],Tbl_BaselineSummary[Baseline ID],0))</f>
        <v>2470.5056240536455</v>
      </c>
      <c r="AH22" s="468">
        <f>INDEX(Tbl_BaselineSummary[Deferred Replacement Credit (USD)],MATCH(Tbl_MeasureList[[#This Row],[Baseline ID]],Tbl_BaselineSummary[Baseline ID],0))</f>
        <v>4498.9953369271116</v>
      </c>
      <c r="AI22" s="201">
        <f>INDEX(Tbl_BaselineSummary[A/C-only Deferred Replacement Credit (USD)],MATCH(Tbl_MeasureList[[#This Row],[Baseline ID]],Tbl_BaselineSummary[Baseline ID],0))</f>
        <v>0</v>
      </c>
      <c r="AJ22" s="468">
        <f>INDEX(Tbl_BaselineSummary[Code Installed Costs (USD)],MATCH(Tbl_MeasureList[[#This Row],[Baseline ID]],Tbl_BaselineSummary[Baseline ID],0))</f>
        <v>10452</v>
      </c>
      <c r="AK22" s="201">
        <f>INDEX(Tbl_BaselineSummary[Code A/C-only Installed Cost (USD)],MATCH(Tbl_MeasureList[[#This Row],[Baseline ID]],Tbl_BaselineSummary[Baseline ID],0))</f>
        <v>0</v>
      </c>
      <c r="AL22" s="86">
        <f>INDEX(Tbl_BaselineSummary[Code Electric Annual Consumption (kWh)],MATCH(Tbl_MeasureList[[#This Row],[Baseline ID]],Tbl_BaselineSummary[Baseline ID],0))</f>
        <v>230</v>
      </c>
      <c r="AM22" s="86" t="str">
        <f>INDEX(Tbl_BaselineSummary[Code Electric Winter Consumption (kWh)],MATCH(Tbl_MeasureList[[#This Row],[Baseline ID]],Tbl_BaselineSummary[Baseline ID],0))</f>
        <v>n/a</v>
      </c>
      <c r="AN22" s="86" t="str">
        <f>INDEX(Tbl_BaselineSummary[Code Electric Summer Consumption (kWh)],MATCH(Tbl_MeasureList[[#This Row],[Baseline ID]],Tbl_BaselineSummary[Baseline ID],0))</f>
        <v>n/a</v>
      </c>
      <c r="AO22" s="152">
        <f>INDEX(Tbl_BaselineSummary[Code Electric Winter Peak Demand (kW)],MATCH(Tbl_MeasureList[[#This Row],[Baseline ID]],Tbl_BaselineSummary[Baseline ID],0))</f>
        <v>3.5282837967401733E-2</v>
      </c>
      <c r="AP22" s="470">
        <f>INDEX(Tbl_BaselineSummary[Code Electric Summer Peak Demand (kW)],MATCH(Tbl_MeasureList[[#This Row],[Baseline ID]],Tbl_BaselineSummary[Baseline ID],0))</f>
        <v>0</v>
      </c>
      <c r="AQ22" s="467">
        <f>INDEX(Tbl_BaselineSummary[Code Natural Gas Annual Consumption (therms)],MATCH(Tbl_MeasureList[[#This Row],[Baseline ID]],Tbl_BaselineSummary[Baseline ID],0))</f>
        <v>0</v>
      </c>
      <c r="AR22" s="472">
        <f>INDEX(Tbl_BaselineSummary[Code Propane Annual Consumption (MMBtu)],MATCH(Tbl_MeasureList[[#This Row],[Baseline ID]],Tbl_BaselineSummary[Baseline ID],0))</f>
        <v>0</v>
      </c>
      <c r="AS22" s="467">
        <f>INDEX(Tbl_BaselineSummary[Code Oil Annual Consumption (MMBtu)],MATCH(Tbl_MeasureList[[#This Row],[Baseline ID]],Tbl_BaselineSummary[Baseline ID],0))</f>
        <v>109.99500000000002</v>
      </c>
      <c r="AT22" s="204">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110.77976000000002</v>
      </c>
      <c r="AU22" s="467">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8.8710967500000031</v>
      </c>
      <c r="AV22" s="474">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8.9523235500000027</v>
      </c>
      <c r="AW22" s="248">
        <f ca="1">INDIRECT(Tbl_MeasureList[[#This Row],[Measure ID]]&amp;"!L26")</f>
        <v>1944.4510474148806</v>
      </c>
      <c r="AX22" s="477">
        <f ca="1">INDIRECT(Tbl_MeasureList[[#This Row],[Measure ID]]&amp;"!M26")</f>
        <v>15228</v>
      </c>
      <c r="AY22" s="481">
        <f ca="1">INDIRECT(Tbl_MeasureList[[#This Row],[Measure ID]]&amp;"!D26")</f>
        <v>329</v>
      </c>
      <c r="AZ22" s="481" t="str">
        <f ca="1">INDIRECT(Tbl_MeasureList[[#This Row],[Measure ID]]&amp;"!J26")</f>
        <v>n/a</v>
      </c>
      <c r="BA22" s="481" t="str">
        <f ca="1">INDIRECT(Tbl_MeasureList[[#This Row],[Measure ID]]&amp;"!I26")</f>
        <v>n/a</v>
      </c>
      <c r="BB22" s="479">
        <f ca="1">INDIRECT(Tbl_MeasureList[[#This Row],[Measure ID]]&amp;"!E26")</f>
        <v>5.0469798657718119E-2</v>
      </c>
      <c r="BC22" s="268">
        <f ca="1">INDIRECT(Tbl_MeasureList[[#This Row],[Measure ID]]&amp;"!H26")</f>
        <v>0</v>
      </c>
      <c r="BD22" s="253">
        <f ca="1">INDIRECT(Tbl_MeasureList[[#This Row],[Measure ID]]&amp;"!D32")</f>
        <v>1165.142496847415</v>
      </c>
      <c r="BE22" s="270">
        <f ca="1">INDIRECT(Tbl_MeasureList[[#This Row],[Measure ID]]&amp;"!D38")</f>
        <v>0</v>
      </c>
      <c r="BF22" s="253">
        <f ca="1">INDIRECT(Tbl_MeasureList[[#This Row],[Measure ID]]&amp;"!D44")</f>
        <v>0</v>
      </c>
      <c r="BG22" s="460">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117.6367976847415</v>
      </c>
      <c r="BH22" s="371">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6.8160836065573775</v>
      </c>
      <c r="BI22" s="272">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6.9322732465573775</v>
      </c>
      <c r="BJ22" s="273">
        <f ca="1">INDIRECT(Tbl_MeasureList[[#This Row],[Measure ID]]&amp;"!L27")</f>
        <v>1774.1865830275233</v>
      </c>
      <c r="BK22" s="201">
        <f ca="1">INDIRECT(Tbl_MeasureList[[#This Row],[Measure ID]]&amp;"!M27")</f>
        <v>18396</v>
      </c>
      <c r="BL22" s="85">
        <f ca="1">INDIRECT(Tbl_MeasureList[[#This Row],[Measure ID]]&amp;"!D27")</f>
        <v>329</v>
      </c>
      <c r="BM22" s="85" t="str">
        <f ca="1">INDIRECT(Tbl_MeasureList[[#This Row],[Measure ID]]&amp;"!J27")</f>
        <v>n/a</v>
      </c>
      <c r="BN22" s="85" t="str">
        <f ca="1">INDIRECT(Tbl_MeasureList[[#This Row],[Measure ID]]&amp;"!I27")</f>
        <v>n/a</v>
      </c>
      <c r="BO22" s="152">
        <f ca="1">INDIRECT(Tbl_MeasureList[[#This Row],[Measure ID]]&amp;"!E27")</f>
        <v>5.0469798657718119E-2</v>
      </c>
      <c r="BP22" s="470">
        <f ca="1">INDIRECT(Tbl_MeasureList[[#This Row],[Measure ID]]&amp;"!H27")</f>
        <v>0</v>
      </c>
      <c r="BQ22" s="467">
        <f ca="1">INDIRECT(Tbl_MeasureList[[#This Row],[Measure ID]]&amp;"!D33")</f>
        <v>1059.5848623853212</v>
      </c>
      <c r="BR22" s="472">
        <f ca="1">INDIRECT(Tbl_MeasureList[[#This Row],[Measure ID]]&amp;"!D39")</f>
        <v>0</v>
      </c>
      <c r="BS22" s="467">
        <f ca="1">INDIRECT(Tbl_MeasureList[[#This Row],[Measure ID]]&amp;"!D45")</f>
        <v>0</v>
      </c>
      <c r="BT22" s="204">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107.08103423853211</v>
      </c>
      <c r="BU22" s="467">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6.1985714449541289</v>
      </c>
      <c r="BV22" s="260">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6.3147610849541289</v>
      </c>
      <c r="BW22" s="24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1728.7653382550338</v>
      </c>
      <c r="BX22" s="26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18657</v>
      </c>
      <c r="BY22"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312</v>
      </c>
      <c r="BZ22"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n/a</v>
      </c>
      <c r="CA22"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n/a</v>
      </c>
      <c r="CB22"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4.7861936720997124E-2</v>
      </c>
      <c r="CC22"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0</v>
      </c>
      <c r="CD22"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1033.510067114094</v>
      </c>
      <c r="CE22"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0</v>
      </c>
      <c r="CF22"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0</v>
      </c>
      <c r="CG22" s="460">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104.4155507114094</v>
      </c>
      <c r="CH22" s="37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6.0460338926174497</v>
      </c>
      <c r="CI22" s="26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6.1562198126174499</v>
      </c>
      <c r="CJ22" s="320">
        <f ca="1">-Tbl_MeasureList[[#This Row],[Low Measure Energy Cost (USD/yr)]]+Tbl_MeasureList[[#This Row],[Baseline Energy Cost (USD/yr)]]</f>
        <v>992.77971591255937</v>
      </c>
      <c r="CK22"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13897.004663072888</v>
      </c>
      <c r="CL22" s="249">
        <f ca="1">-Tbl_MeasureList[[#This Row],[Low Measure Electric Annual Consumption (kWh/yr)]]+Tbl_MeasureList[[#This Row],[Baseline Electric Annual Consumption (kWh/yr)]]</f>
        <v>-99</v>
      </c>
      <c r="CM22" s="249" t="str">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v>
      </c>
      <c r="CN22" s="249" t="str">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v>
      </c>
      <c r="CO22" s="268">
        <f ca="1">-Tbl_MeasureList[[#This Row],[Low Measure Electric Winter Peak Demand (kW)]]+Tbl_MeasureList[[#This Row],[Baseline Electric Winter Peak Demand (kW)]]</f>
        <v>-1.5186960690316387E-2</v>
      </c>
      <c r="CP22" s="479">
        <f ca="1">-Tbl_MeasureList[[#This Row],[Low Measure Electric Summer Peak Demand (kW)]]+Tbl_MeasureList[[#This Row],[Baseline Electric Summer Peak Demand (kW)]]</f>
        <v>0</v>
      </c>
      <c r="CQ22" s="481">
        <f ca="1">-Tbl_MeasureList[[#This Row],[Low Measure Natural Gas Annual Consumption (therms/yr)]]+Tbl_MeasureList[[#This Row],[Baseline Natural Gas Annual Consumption (therms/yr)]]</f>
        <v>-1059.5848623853212</v>
      </c>
      <c r="CR22" s="490">
        <f ca="1">-Tbl_MeasureList[[#This Row],[Low Measure Propane Annual Consumption (MMBtu/yr)]]+Tbl_MeasureList[[#This Row],[Baseline Propane Annual Consumption (MMBtu/yr)]]</f>
        <v>0</v>
      </c>
      <c r="CS22" s="252">
        <f ca="1">-Tbl_MeasureList[[#This Row],[Low Measure Oil Annual Consumption (MMBtu/yr)]]+Tbl_MeasureList[[#This Row],[Baseline Oil Annual Consumption (MMBtu/yr)]]</f>
        <v>123.19440000000002</v>
      </c>
      <c r="CT22"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16.898125761467895</v>
      </c>
      <c r="CU22" s="487">
        <f ca="1">-Tbl_MeasureList[[#This Row],[Low Measure Carbon Emissions, Site (tons CO2/yr)]]+Tbl_MeasureList[[#This Row],[Baseline Carbon Emissions, Site (tons CO2/yr)]]</f>
        <v>3.7370569150458737</v>
      </c>
      <c r="CV22" s="491">
        <f ca="1">-Tbl_MeasureList[[#This Row],[Low Measure Carbon Emissions, Source (tons CO2/yr)]]+Tbl_MeasureList[[#This Row],[Baseline Carbon Emissions, Source (tons CO2/yr)]]</f>
        <v>3.7020940750458733</v>
      </c>
      <c r="CW22"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1038.2009606850488</v>
      </c>
      <c r="CX22"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14158.004663072888</v>
      </c>
      <c r="CY22"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-82</v>
      </c>
      <c r="CZ22"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v>
      </c>
      <c r="DA22"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v>
      </c>
      <c r="DB22"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-1.2579098753595391E-2</v>
      </c>
      <c r="DC22"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0</v>
      </c>
      <c r="DD22"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-1033.510067114094</v>
      </c>
      <c r="DE22"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0</v>
      </c>
      <c r="DF22"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123.19440000000002</v>
      </c>
      <c r="DG22" s="270">
        <f ca="1">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19.563609288590612</v>
      </c>
      <c r="DH22"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3.8895944673825529</v>
      </c>
      <c r="DI22"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3.8606353473825523</v>
      </c>
      <c r="DJ22" s="320">
        <f ca="1">-Tbl_MeasureList[[#This Row],[Low Measure Energy Cost (USD/yr)]]+Tbl_MeasureList[[#This Row],[Code (old fuel) Energy Cost (USD/yr)]]</f>
        <v>696.31904102612225</v>
      </c>
      <c r="DK22" s="267">
        <f ca="1">Tbl_MeasureList[[#This Row],[Low Measure Installed Costs (USD)]]-Tbl_MeasureList[[#This Row],[Code (old fuel) Installed Costs (USD)]]</f>
        <v>7944</v>
      </c>
      <c r="DL22" s="249">
        <f ca="1">-Tbl_MeasureList[[#This Row],[Low Measure Electric Annual Consumption (kWh/yr)]]+Tbl_MeasureList[[#This Row],[Code (old fuel) Electric Annual Consumption (kWh/yr)]]</f>
        <v>-99</v>
      </c>
      <c r="DM22" s="249" t="str">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v>
      </c>
      <c r="DN22" s="249" t="str">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v>
      </c>
      <c r="DO22" s="268">
        <f ca="1">-Tbl_MeasureList[[#This Row],[Low Measure Electric Winter Peak Demand (kW)]]+Tbl_MeasureList[[#This Row],[Code (old fuel) Electric Winter Peak Demand (kW)]]</f>
        <v>-1.5186960690316387E-2</v>
      </c>
      <c r="DP22" s="479">
        <f ca="1">-Tbl_MeasureList[[#This Row],[Low Measure Electric Summer Peak Demand (kW)]]+Tbl_MeasureList[[#This Row],[Code (old fuel) Electric Summer Peak Demand (kW)]]</f>
        <v>0</v>
      </c>
      <c r="DQ22" s="481">
        <f ca="1">-Tbl_MeasureList[[#This Row],[Low Measure Natural Gas Annual Consumption (therms/yr)]]+Tbl_MeasureList[[#This Row],[Code (old fuel) Natural Gas Annual Consumption (therms/yr)]]</f>
        <v>-1059.5848623853212</v>
      </c>
      <c r="DR22" s="490">
        <f ca="1">-Tbl_MeasureList[[#This Row],[Low Measure Propane Annual Consumption (MMBtu/yr)]]+Tbl_MeasureList[[#This Row],[Code (old fuel) Propane Annual Consumption (MMBtu/yr)]]</f>
        <v>0</v>
      </c>
      <c r="DS22" s="252">
        <f ca="1">-Tbl_MeasureList[[#This Row],[Low Measure Oil Annual Consumption (MMBtu/yr)]]+Tbl_MeasureList[[#This Row],[Code (old fuel) Oil Annual Consumption (MMBtu/yr)]]</f>
        <v>109.99500000000002</v>
      </c>
      <c r="DT22"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3.6987257614678981</v>
      </c>
      <c r="DU22" s="487">
        <f ca="1">-Tbl_MeasureList[[#This Row],[Low Measure Carbon Emissions, Site (tons CO2/yr)]]+Tbl_MeasureList[[#This Row],[Code (old fuel) Carbon Emissions, Site (tons CO2/yr)]]</f>
        <v>2.6725253050458742</v>
      </c>
      <c r="DV22" s="491">
        <f ca="1">-Tbl_MeasureList[[#This Row],[Low Measure Carbon Emissions, Source (tons CO2/yr)]]+Tbl_MeasureList[[#This Row],[Code (old fuel) Carbon Emissions, Source (tons CO2/yr)]]</f>
        <v>2.6375624650458738</v>
      </c>
      <c r="DW22"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(old fuel) Energy Cost (USD/yr)]],
        "-")</f>
        <v>741.74028579861169</v>
      </c>
      <c r="DX22"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8205</v>
      </c>
      <c r="DY22"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-82</v>
      </c>
      <c r="DZ22"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v>
      </c>
      <c r="EA22"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v>
      </c>
      <c r="EB22"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-1.2579098753595391E-2</v>
      </c>
      <c r="EC22"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0</v>
      </c>
      <c r="ED22"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-1033.510067114094</v>
      </c>
      <c r="EE22"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0</v>
      </c>
      <c r="EF22"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109.99500000000002</v>
      </c>
      <c r="EG22" s="270">
        <f ca="1">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6.3642092885906152</v>
      </c>
      <c r="EH22"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2.8250628573825534</v>
      </c>
      <c r="EI22"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2.7961037373825528</v>
      </c>
      <c r="EJ22" s="477">
        <f ca="1">Tbl_MeasureList[[#This Row],[Code (old fuel) Energy Cost (USD/yr)]]-Tbl_MeasureList[[#This Row],[Code (new fuel) Energy Cost (USD/yr)]]</f>
        <v>526.05457663876496</v>
      </c>
      <c r="EK22" s="496">
        <f ca="1">Tbl_MeasureList[[#This Row],[Code (old fuel) Electric Annual Consumption (kWh/yr)]]-Tbl_MeasureList[[#This Row],[Code (new fuel) Electric Annual Consumption (kWh/yr)]]</f>
        <v>-99</v>
      </c>
      <c r="EL22" s="496" t="str">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v>
      </c>
      <c r="EM22" s="496" t="str">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v>
      </c>
      <c r="EN22" s="500">
        <f ca="1">Tbl_MeasureList[[#This Row],[Code (old fuel) Electric Winter Peak Demand (kW)]]-Tbl_MeasureList[[#This Row],[Code (new fuel) Electric Winter Peak Demand (kW)]]</f>
        <v>-1.5186960690316387E-2</v>
      </c>
      <c r="EO22" s="493">
        <f ca="1">Tbl_MeasureList[[#This Row],[Code (old fuel) Electric Summer Peak Demand (kW)]]-Tbl_MeasureList[[#This Row],[Code (new fuel) Electric Summer Peak Demand (kW)]]</f>
        <v>0</v>
      </c>
      <c r="EP22" s="502">
        <f ca="1">Tbl_MeasureList[[#This Row],[Code (old fuel) Natural Gas Annual Consumption (therms/yr)]]-Tbl_MeasureList[[#This Row],[Code (new fuel) Natural Gas Annual Consumption (therms/yr)]]</f>
        <v>-1165.142496847415</v>
      </c>
      <c r="EQ22" s="215">
        <f ca="1">Tbl_MeasureList[[#This Row],[Code (old fuel) Propane Annual Consumption (MMBtu/yr)]]-Tbl_MeasureList[[#This Row],[Code (new fuel) Propane Annual Consumption (MMBtu/yr)]]</f>
        <v>0</v>
      </c>
      <c r="ER22" s="502">
        <f ca="1">Tbl_MeasureList[[#This Row],[Code (old fuel) Oil Annual Consumption (MMBtu/yr)]]-Tbl_MeasureList[[#This Row],[Code (new fuel) Oil Annual Consumption (MMBtu/yr)]]</f>
        <v>109.99500000000002</v>
      </c>
      <c r="ES22" s="215">
        <f ca="1">Tbl_MeasureList[[#This Row],[Code (old fuel) Energy Consumption on MMBtu Basis (MMBtu/yr)]]-Tbl_MeasureList[[#This Row],[Code (new fuel) Energy Consumption on MMBtu Basis (MMBtu/yr)]]</f>
        <v>-6.8570376847414707</v>
      </c>
      <c r="ET22" s="502">
        <f ca="1">Tbl_MeasureList[[#This Row],[Code (old fuel) Carbon Emissions, Site (tons CO2/yr)]]-Tbl_MeasureList[[#This Row],[Code (new fuel) Carbon Emissions, Site (tons CO2/yr)]]</f>
        <v>2.0550131434426255</v>
      </c>
      <c r="EU22" s="498">
        <f ca="1">Tbl_MeasureList[[#This Row],[Code (old fuel) Carbon Emissions, Source (tons CO2/yr)]]-Tbl_MeasureList[[#This Row],[Code (new fuel) Carbon Emissions, Source (tons CO2/yr)]]</f>
        <v>2.0200503034426252</v>
      </c>
      <c r="EV22" s="450">
        <f ca="1">Tbl_MeasureList[[#This Row],[ER Total Low Measure Electric Annual Consumption Savings (kWh/yr)]]*COAL_BTU_PER_SITE_KWH/Btu_per_MMBtu</f>
        <v>-1.089721255619646E-2</v>
      </c>
      <c r="EW22" s="411">
        <f ca="1">Tbl_MeasureList[[#This Row],[ER Total Low Measure Electric Annual Consumption Savings (kWh/yr)]]*COAL_LBS_PER_SITE_KWH</f>
        <v>-0.9558958382628473</v>
      </c>
      <c r="EX22" s="326">
        <f ca="1">Tbl_MeasureList[[#This Row],[ER Total Low Measure Electric Annual Consumption Savings (kWh/yr)]]*OIL_BTU_PER_SITE_KWH/Btu_per_MMBtu</f>
        <v>-1.2544809664774313E-2</v>
      </c>
      <c r="EY22" s="325">
        <f ca="1">Tbl_MeasureList[[#This Row],[ER Total Low Measure Electric Annual Consumption Savings (kWh/yr)]]*OIL_GAL_PER_SITE_KWH</f>
        <v>-9.0940662327553101E-2</v>
      </c>
      <c r="EZ22" s="326">
        <f ca="1">Tbl_MeasureList[[#This Row],[ER Total Low Measure Oil Annual Consumption Savings (MMBtu/yr)]]*Btu_per_MMBtu/OIL_BTU_PER_GAL</f>
        <v>893.06897676610254</v>
      </c>
      <c r="FA22" s="325">
        <f ca="1">Tbl_MeasureList[[#This Row],[Current ER Total Low Measure Oil Source Fuel Savings (gallons oil/year)]]+Tbl_MeasureList[[#This Row],[Current ER Total Low Measure Oil Site Fuel Savings (gallons oil/year)]]</f>
        <v>892.97803610377503</v>
      </c>
      <c r="FB22" s="326">
        <f ca="1">Tbl_MeasureList[[#This Row],[ER Total Low Measure Electric Annual Consumption Savings (kWh/yr)]]*GAS_BTU_PER_SITE_KWH/Btu_per_MMBtu</f>
        <v>-0.4051209558503176</v>
      </c>
      <c r="FC22" s="327">
        <f ca="1">Tbl_MeasureList[[#This Row],[ER Total Low Measure Electric Annual Consumption Savings (kWh/yr)]]*GAS_CUFT_PER_SITE_KWH/1000</f>
        <v>-0.39370355281857877</v>
      </c>
      <c r="FD22" s="328">
        <f ca="1">Tbl_MeasureList[[#This Row],[ER Total Low Measure Natural Gas Annual Consumption Savings (therms/yr)]]*Btu_per_MMBtu/(GAS_BTU_PER_CUFT*Therm_per_MMBtu*1000)</f>
        <v>-102.97228983336456</v>
      </c>
      <c r="FE22" s="329">
        <f ca="1">Tbl_MeasureList[[#This Row],[Current ER Total Low Measure Gas Source Fuel Savings (1,000 cu.ft. gas/year)]]+Tbl_MeasureList[[#This Row],[Current ER Total Low Measure Gas Site Fuel Savings (1,000 cu.ft gas/year)]]</f>
        <v>-103.36599338618313</v>
      </c>
      <c r="FF22" s="324">
        <f ca="1">IFERROR(Tbl_MeasureList[[#This Row],[ER Total High Measure Electric Annual Consumption Savings (kWh/yr)]]*COAL_BTU_PER_SITE_KWH/Btu_per_MMBtu,"-")</f>
        <v>-9.0259740364455523E-3</v>
      </c>
      <c r="FG22" s="325">
        <f ca="1">IFERROR(Tbl_MeasureList[[#This Row],[ER Total High Measure Electric Annual Consumption Savings (kWh/yr)]]*COAL_LBS_PER_SITE_KWH,"-")</f>
        <v>-0.79175210846013611</v>
      </c>
      <c r="FH22" s="326">
        <f ca="1">IFERROR(Tbl_MeasureList[[#This Row],[ER Total High Measure Electric Annual Consumption Savings (kWh/yr)]]*OIL_BTU_PER_SITE_KWH/Btu_per_MMBtu,"-")</f>
        <v>-1.0390650429409027E-2</v>
      </c>
      <c r="FI22" s="325">
        <f ca="1">IFERROR(Tbl_MeasureList[[#This Row],[ER Total High Measure Electric Annual Consumption Savings (kWh/yr)]]*OIL_GAL_PER_SITE_KWH,"-")</f>
        <v>-7.5324588998579328E-2</v>
      </c>
      <c r="FJ22" s="326">
        <f ca="1">IFERROR(Tbl_MeasureList[[#This Row],[ER Total High Measure Oil Annual Consumption Savings (MMBtu/yr)]]*Btu_per_MMBtu/OIL_BTU_PER_GAL,"-")</f>
        <v>893.06897676610254</v>
      </c>
      <c r="FK22" s="325">
        <f ca="1">IFERROR(Tbl_MeasureList[[#This Row],[Current ER Total High Measure Oil Source Fuel Savings (gallons oil/year)]]+Tbl_MeasureList[[#This Row],[Current ER Total High Measure Oil Site Fuel Savings (gallons oil/year)]],"-")</f>
        <v>892.99365217710397</v>
      </c>
      <c r="FL22" s="326">
        <f ca="1">IFERROR(Tbl_MeasureList[[#This Row],[ER Total High Measure Electric Annual Consumption Savings (kWh/yr)]]*GAS_BTU_PER_SITE_KWH/Btu_per_MMBtu,"-")</f>
        <v>-0.33555473110834388</v>
      </c>
      <c r="FM22" s="327">
        <f ca="1">IFERROR(Tbl_MeasureList[[#This Row],[ER Total High Measure Electric Annual Consumption Savings (kWh/yr)]]*GAS_CUFT_PER_SITE_KWH/1000,"-")</f>
        <v>-0.32609789223357027</v>
      </c>
      <c r="FN22" s="328">
        <f ca="1">IFERROR(Tbl_MeasureList[[#This Row],[ER Total High Measure Natural Gas Annual Consumption Savings (therms/yr)]]*Btu_per_MMBtu/(GAS_BTU_PER_CUFT*Therm_per_MMBtu*1000),"-")</f>
        <v>-100.43829612381866</v>
      </c>
      <c r="FO22" s="329">
        <f ca="1">IFERROR(Tbl_MeasureList[[#This Row],[Current ER Total High Measure Gas Source Fuel Savings (1,000 cu.ft. gas/year)]]+Tbl_MeasureList[[#This Row],[Current ER Total High Measure Gas Site Fuel Savings (1,000 cu.ft gas/year)]],"-")</f>
        <v>-100.76439401605224</v>
      </c>
      <c r="FP22" s="412">
        <f ca="1">Tbl_MeasureList[[#This Row],[ROF Low Measure Electric Annual Consumption Savings (kWh/yr)]]*COAL_BTU_PER_SITE_KWH/Btu_per_MMBtu</f>
        <v>-1.089721255619646E-2</v>
      </c>
      <c r="FQ22" s="327">
        <f ca="1">Tbl_MeasureList[[#This Row],[ROF Low Measure Electric Annual Consumption Savings (kWh/yr)]]*COAL_LBS_PER_SITE_KWH</f>
        <v>-0.9558958382628473</v>
      </c>
      <c r="FR22" s="412">
        <f ca="1">Tbl_MeasureList[[#This Row],[ROF Low Measure Electric Annual Consumption Savings (kWh/yr)]]*OIL_BTU_PER_SITE_KWH/Btu_per_MMBtu</f>
        <v>-1.2544809664774313E-2</v>
      </c>
      <c r="FS22" s="327">
        <f ca="1">Tbl_MeasureList[[#This Row],[ROF Low Measure Electric Annual Consumption Savings (kWh/yr)]]*OIL_GAL_PER_SITE_KWH</f>
        <v>-9.0940662327553101E-2</v>
      </c>
      <c r="FT22" s="412">
        <f ca="1">Tbl_MeasureList[[#This Row],[ROF Low Measure Oil Annual Consumption Savings (MMBtu/yr)]]*Btu_per_MMBtu/OIL_BTU_PER_GAL</f>
        <v>797.3830149697344</v>
      </c>
      <c r="FU22" s="327">
        <f ca="1">Tbl_MeasureList[[#This Row],[Current ROF Low Measure Oil Source Fuel Savings (gallons oil/year)]]+Tbl_MeasureList[[#This Row],[Current ROF Low Measure Oil Site Fuel Savings (gallons oil/year)]]</f>
        <v>797.29207430740689</v>
      </c>
      <c r="FV22" s="412">
        <f ca="1">Tbl_MeasureList[[#This Row],[ROF Low Measure Electric Annual Consumption Savings (kWh/yr)]]*GAS_BTU_PER_SITE_KWH/Btu_per_MMBtu</f>
        <v>-0.4051209558503176</v>
      </c>
      <c r="FW22" s="327">
        <f ca="1">Tbl_MeasureList[[#This Row],[ROF Low Measure Electric Annual Consumption Savings (kWh/yr)]]*GAS_CUFT_PER_SITE_KWH/1000</f>
        <v>-0.39370355281857877</v>
      </c>
      <c r="FX22" s="412">
        <f ca="1">Tbl_MeasureList[[#This Row],[ROF Low Measure Natural Gas Annual Consumption Savings (therms/yr)]]*Btu_per_MMBtu/(GAS_BTU_PER_CUFT*Therm_per_MMBtu*1000)</f>
        <v>-102.97228983336456</v>
      </c>
      <c r="FY22" s="327">
        <f ca="1">Tbl_MeasureList[[#This Row],[Current ROF Low Measure Gas Source Fuel Savings (1,000 cu.ft. gas/year)]]+Tbl_MeasureList[[#This Row],[Current ROF Low Measure Gas Site Fuel Savings (1,000 cu.ft gas/year)]]</f>
        <v>-103.36599338618313</v>
      </c>
      <c r="FZ22" s="414">
        <f ca="1">IFERROR(Tbl_MeasureList[[#This Row],[ROF High Measure Electric Annual Consumption Savings (kWh/yr)]]*COAL_BTU_PER_SITE_KWH/Btu_per_MMBtu,"-")</f>
        <v>-9.0259740364455523E-3</v>
      </c>
      <c r="GA22" s="327">
        <f ca="1">IFERROR(Tbl_MeasureList[[#This Row],[ROF High Measure Electric Annual Consumption Savings (kWh/yr)]]*COAL_LBS_PER_SITE_KWH,"-")</f>
        <v>-0.79175210846013611</v>
      </c>
      <c r="GB22" s="412">
        <f ca="1">IFERROR(Tbl_MeasureList[[#This Row],[ROF High Measure Electric Annual Consumption Savings (kWh/yr)]]*OIL_BTU_PER_SITE_KWH/Btu_per_MMBtu,"-")</f>
        <v>-1.0390650429409027E-2</v>
      </c>
      <c r="GC22" s="327">
        <f ca="1">IFERROR(Tbl_MeasureList[[#This Row],[ROF High Measure Electric Annual Consumption Savings (kWh/yr)]]*OIL_GAL_PER_SITE_KWH,"-")</f>
        <v>-7.5324588998579328E-2</v>
      </c>
      <c r="GD22" s="412">
        <f ca="1">IFERROR(Tbl_MeasureList[[#This Row],[ROF High Measure Oil Annual Consumption Savings (MMBtu/yr)]]*Btu_per_MMBtu/OIL_BTU_PER_GAL,"-")</f>
        <v>797.3830149697344</v>
      </c>
      <c r="GE22" s="327">
        <f ca="1">IFERROR(Tbl_MeasureList[[#This Row],[Current ROF High Measure Oil Source Fuel Savings (gallons oil/year)]]+Tbl_MeasureList[[#This Row],[Current ROF High Measure Oil Site Fuel Savings (gallons oil/year)]],"-")</f>
        <v>797.30769038073583</v>
      </c>
      <c r="GF22" s="412">
        <f ca="1">IFERROR(Tbl_MeasureList[[#This Row],[ROF High Measure Electric Annual Consumption Savings (kWh/yr)]]*GAS_BTU_PER_SITE_KWH/Btu_per_MMBtu,"-")</f>
        <v>-0.33555473110834388</v>
      </c>
      <c r="GG22" s="327">
        <f ca="1">IFERROR(Tbl_MeasureList[[#This Row],[ROF High Measure Electric Annual Consumption Savings (kWh/yr)]]*GAS_CUFT_PER_SITE_KWH/1000,"-")</f>
        <v>-0.32609789223357027</v>
      </c>
      <c r="GH22" s="412">
        <f ca="1">IFERROR(Tbl_MeasureList[[#This Row],[ROF High Measure Natural Gas Annual Consumption Savings (therms/yr)]]*Btu_per_MMBtu/(GAS_BTU_PER_CUFT*Therm_per_MMBtu*1000),"-")</f>
        <v>-100.43829612381866</v>
      </c>
      <c r="GI22" s="327">
        <f ca="1">IFERROR(Tbl_MeasureList[[#This Row],[Current ROF High Measure Gas Source Fuel Savings (1,000 cu.ft. gas/year)]]+Tbl_MeasureList[[#This Row],[Current ROF High Measure Gas Site Fuel Savings (1,000 cu.ft gas/year)]],"-")</f>
        <v>-100.76439401605224</v>
      </c>
      <c r="GJ22" s="324">
        <f ca="1">Tbl_MeasureList[[#This Row],[ER Total Low Measure Electric Annual Consumption Savings (kWh/yr)]]*COAL_BTU_PER_SITE_KWH_CES/Btu_per_MMBtu</f>
        <v>-1.8525261345533978E-2</v>
      </c>
      <c r="GK22" s="325">
        <f ca="1">Tbl_MeasureList[[#This Row],[ER Total Low Measure Electric Annual Consumption Savings (kWh/yr)]]*COAL_LBS_PER_SITE_KWH_CES</f>
        <v>-1.6822794538261878</v>
      </c>
      <c r="GL22" s="326">
        <f ca="1">Tbl_MeasureList[[#This Row],[ER Total Low Measure Electric Annual Consumption Savings (kWh/yr)]]*OIL_BTU_PER_SITE_KWH_CES/Btu_per_MMBtu</f>
        <v>-5.7021862112610518E-3</v>
      </c>
      <c r="GM22" s="325">
        <f ca="1">Tbl_MeasureList[[#This Row],[ER Total Low Measure Electric Annual Consumption Savings (kWh/yr)]]*OIL_GAL_PER_SITE_KWH_CES</f>
        <v>-3.8470060255161455E-2</v>
      </c>
      <c r="GN22" s="326">
        <f ca="1">Tbl_MeasureList[[#This Row],[ER Total Low Measure Oil Annual Consumption Savings (MMBtu/yr)]]*Btu_per_MMBtu/OIL_BTU_PER_GAL_CES</f>
        <v>831.13665803108813</v>
      </c>
      <c r="GO22" s="325">
        <f ca="1">Tbl_MeasureList[[#This Row],[CES ER Low Measure Oil Source Fuel Savings (gallons oil/year)]]+Tbl_MeasureList[[#This Row],[CES ER Low Measure Oil Site Fuel Savings (gallons oil/year)]]</f>
        <v>831.09818797083301</v>
      </c>
      <c r="GP22" s="326">
        <f ca="1">Tbl_MeasureList[[#This Row],[ER Total Low Measure Electric Annual Consumption Savings (kWh/yr)]]*GAS_BTU_PER_SITE_KWH_CES/Btu_per_MMBtu</f>
        <v>-0.16866260202747918</v>
      </c>
      <c r="GQ22" s="327">
        <f ca="1">Tbl_MeasureList[[#This Row],[ER Total Low Measure Electric Annual Consumption Savings (kWh/yr)]]*GAS_CUFT_PER_SITE_KWH_CES/1000</f>
        <v>-0.16375009905580504</v>
      </c>
      <c r="GR22" s="328">
        <f ca="1">Tbl_MeasureList[[#This Row],[ER Total Low Measure Natural Gas Annual Consumption Savings (therms/yr)]]*Btu_per_MMBtu/(GAS_BTU_PER_CUFT_CES*Therm_per_MMBtu*1000)</f>
        <v>-102.87231673643896</v>
      </c>
      <c r="GS22" s="329">
        <f ca="1">Tbl_MeasureList[[#This Row],[CES ER Low Measure Gas Source Fuel Savings (1,000 cu.ft. gas/year)]]+Tbl_MeasureList[[#This Row],[CES ER Low Measure Gas Site Fuel Savings (1,000 cu.ft gas/year)]]</f>
        <v>-103.03606683549476</v>
      </c>
      <c r="GT22" s="324">
        <f ca="1">IFERROR(Tbl_MeasureList[[#This Row],[ER Total High Measure Electric Annual Consumption Savings (kWh/yr)]]*COAL_BTU_PER_SITE_KWH_CES/Btu_per_MMBtu,"-")</f>
        <v>-1.5344155861957438E-2</v>
      </c>
      <c r="GU22" s="325">
        <f ca="1">IFERROR(Tbl_MeasureList[[#This Row],[ER Total High Measure Electric Annual Consumption Savings (kWh/yr)]]*COAL_LBS_PER_SITE_KWH_CES,"-")</f>
        <v>-1.3934031839772465</v>
      </c>
      <c r="GV22" s="326">
        <f ca="1">IFERROR(Tbl_MeasureList[[#This Row],[ER Total High Measure Electric Annual Consumption Savings (kWh/yr)]]*OIL_BTU_PER_SITE_KWH_CES/Btu_per_MMBtu,"-")</f>
        <v>-4.723022922458648E-3</v>
      </c>
      <c r="GW22" s="325">
        <f ca="1">IFERROR(Tbl_MeasureList[[#This Row],[ER Total High Measure Electric Annual Consumption Savings (kWh/yr)]]*OIL_GAL_PER_SITE_KWH_CES,"-")</f>
        <v>-3.1864090312355951E-2</v>
      </c>
      <c r="GX22" s="326">
        <f ca="1">IFERROR(Tbl_MeasureList[[#This Row],[ER Total High Measure Oil Annual Consumption Savings (MMBtu/yr)]]*Btu_per_MMBtu/OIL_BTU_PER_GAL_CES,"-")</f>
        <v>831.13665803108813</v>
      </c>
      <c r="GY22" s="325">
        <f ca="1">IFERROR(Tbl_MeasureList[[#This Row],[CES ER High Measure Oil Source Fuel Savings (gallons oil/year)]]+Tbl_MeasureList[[#This Row],[CES ER High Measure Oil Site Fuel Savings (gallons oil/year)]],"-")</f>
        <v>831.10479394077572</v>
      </c>
      <c r="GZ22" s="326">
        <f ca="1">IFERROR(Tbl_MeasureList[[#This Row],[ER Total High Measure Electric Annual Consumption Savings (kWh/yr)]]*GAS_BTU_PER_SITE_KWH_CES/Btu_per_MMBtu,"-")</f>
        <v>-0.13970033703286155</v>
      </c>
      <c r="HA22" s="327">
        <f ca="1">IFERROR(Tbl_MeasureList[[#This Row],[ER Total High Measure Electric Annual Consumption Savings (kWh/yr)]]*GAS_CUFT_PER_SITE_KWH_CES/1000,"-")</f>
        <v>-0.13563139517753547</v>
      </c>
      <c r="HB22" s="328">
        <f ca="1">IFERROR(Tbl_MeasureList[[#This Row],[ER Total High Measure Natural Gas Annual Consumption Savings (therms/yr)]]*Btu_per_MMBtu/(GAS_BTU_PER_CUFT_CES*Therm_per_MMBtu*1000),"-")</f>
        <v>-100.34078321496058</v>
      </c>
      <c r="HC22" s="329">
        <f ca="1">IFERROR(Tbl_MeasureList[[#This Row],[CES ER High Measure Gas Source Fuel Savings (1,000 cu.ft. gas/year)]]+Tbl_MeasureList[[#This Row],[CES ER High Measure Gas Site Fuel Savings (1,000 cu.ft gas/year)]],"-")</f>
        <v>-100.47641461013812</v>
      </c>
      <c r="HD22" s="315">
        <f ca="1">Tbl_MeasureList[[#This Row],[ROF Low Measure Electric Annual Consumption Savings (kWh/yr)]]*COAL_BTU_PER_SITE_KWH_CES/Btu_per_MMBtu</f>
        <v>-1.8525261345533978E-2</v>
      </c>
      <c r="HE22" s="316">
        <f ca="1">Tbl_MeasureList[[#This Row],[ROF Low Measure Electric Annual Consumption Savings (kWh/yr)]]*COAL_LBS_PER_SITE_KWH_CES</f>
        <v>-1.6822794538261878</v>
      </c>
      <c r="HF22" s="317">
        <f ca="1">Tbl_MeasureList[[#This Row],[ROF Low Measure Electric Annual Consumption Savings (kWh/yr)]]*OIL_BTU_PER_SITE_KWH_CES/Btu_per_MMBtu</f>
        <v>-5.7021862112610518E-3</v>
      </c>
      <c r="HG22" s="316">
        <f ca="1">Tbl_MeasureList[[#This Row],[ROF Low Measure Electric Annual Consumption Savings (kWh/yr)]]*OIL_GAL_PER_SITE_KWH_CES</f>
        <v>-3.8470060255161455E-2</v>
      </c>
      <c r="HH22" s="317">
        <f ca="1">Tbl_MeasureList[[#This Row],[ROF Low Measure Oil Annual Consumption Savings (MMBtu/yr)]]*Btu_per_MMBtu/OIL_BTU_PER_GAL_CES</f>
        <v>742.08630181347155</v>
      </c>
      <c r="HI22" s="316">
        <f ca="1">Tbl_MeasureList[[#This Row],[CES ROF Low Measure Oil Source Fuel Savings (gallons oil/year)]]+Tbl_MeasureList[[#This Row],[CES ROF Low Measure Oil Site Fuel Savings (gallons oil/year)]]</f>
        <v>742.04783175321643</v>
      </c>
      <c r="HJ22" s="317">
        <f ca="1">Tbl_MeasureList[[#This Row],[ROF Low Measure Electric Annual Consumption Savings (kWh/yr)]]*GAS_BTU_PER_SITE_KWH_CES/Btu_per_MMBtu</f>
        <v>-0.16866260202747918</v>
      </c>
      <c r="HK22" s="316">
        <f ca="1">Tbl_MeasureList[[#This Row],[ROF Low Measure Electric Annual Consumption Savings (kWh/yr)]]*GAS_CUFT_PER_SITE_KWH_CES/1000</f>
        <v>-0.16375009905580504</v>
      </c>
      <c r="HL22" s="317">
        <f ca="1">Tbl_MeasureList[[#This Row],[ROF Low Measure Natural Gas Annual Consumption Savings (therms/yr)]]*Btu_per_MMBtu/(GAS_BTU_PER_CUFT_CES*Therm_per_MMBtu*1000)</f>
        <v>-102.87231673643896</v>
      </c>
      <c r="HM22" s="318">
        <f ca="1">Tbl_MeasureList[[#This Row],[CES ROF Low Measure Gas Source Fuel Savings (1,000 cu.ft. gas/year)]]+Tbl_MeasureList[[#This Row],[CES ROF Low Measure Gas Site Fuel Savings (1,000 cu.ft gas/year)]]</f>
        <v>-103.03606683549476</v>
      </c>
      <c r="HN22" s="315">
        <f ca="1">IFERROR(Tbl_MeasureList[[#This Row],[ROF High Measure Electric Annual Consumption Savings (kWh/yr)]]*COAL_BTU_PER_SITE_KWH_CES/Btu_per_MMBtu,"-")</f>
        <v>-1.5344155861957438E-2</v>
      </c>
      <c r="HO22" s="316">
        <f ca="1">IFERROR(Tbl_MeasureList[[#This Row],[ROF High Measure Electric Annual Consumption Savings (kWh/yr)]]*COAL_LBS_PER_SITE_KWH_CES,"-")</f>
        <v>-1.3934031839772465</v>
      </c>
      <c r="HP22" s="317">
        <f ca="1">IFERROR(Tbl_MeasureList[[#This Row],[ROF High Measure Electric Annual Consumption Savings (kWh/yr)]]*OIL_BTU_PER_SITE_KWH_CES/Btu_per_MMBtu,"-")</f>
        <v>-4.723022922458648E-3</v>
      </c>
      <c r="HQ22" s="316">
        <f ca="1">IFERROR(Tbl_MeasureList[[#This Row],[ROF High Measure Electric Annual Consumption Savings (kWh/yr)]]*OIL_GAL_PER_SITE_KWH_CES,"-")</f>
        <v>-3.1864090312355951E-2</v>
      </c>
      <c r="HR22" s="317">
        <f ca="1">IFERROR(Tbl_MeasureList[[#This Row],[ROF High Measure Oil Annual Consumption Savings (MMBtu/yr)]]*Btu_per_MMBtu/OIL_BTU_PER_GAL_CES,"-")</f>
        <v>742.08630181347155</v>
      </c>
      <c r="HS22" s="316">
        <f ca="1">IFERROR(Tbl_MeasureList[[#This Row],[CES ROF High Measure Oil Source Fuel Savings (gallons oil/year)]]+Tbl_MeasureList[[#This Row],[CES ROF High Measure Oil Site Fuel Savings (gallons oil/year)]],"-")</f>
        <v>742.05443772315914</v>
      </c>
      <c r="HT22" s="317">
        <f ca="1">IFERROR(Tbl_MeasureList[[#This Row],[ROF High Measure Electric Annual Consumption Savings (kWh/yr)]]*GAS_BTU_PER_SITE_KWH_CES/Btu_per_MMBtu,"-")</f>
        <v>-0.13970033703286155</v>
      </c>
      <c r="HU22" s="316">
        <f ca="1">IFERROR(Tbl_MeasureList[[#This Row],[ROF High Measure Electric Annual Consumption Savings (kWh/yr)]]*GAS_CUFT_PER_SITE_KWH_CES/1000,"-")</f>
        <v>-0.13563139517753547</v>
      </c>
      <c r="HV22" s="317">
        <f ca="1">IFERROR(Tbl_MeasureList[[#This Row],[ROF High Measure Natural Gas Annual Consumption Savings (therms/yr)]]*Btu_per_MMBtu/(GAS_BTU_PER_CUFT_CES*Therm_per_MMBtu*1000),"-")</f>
        <v>-100.34078321496058</v>
      </c>
      <c r="HW22" s="318">
        <f ca="1">IFERROR(Tbl_MeasureList[[#This Row],[CES ROF High Measure Gas Source Fuel Savings (1,000 cu.ft. gas/year)]]+Tbl_MeasureList[[#This Row],[CES ROF High Measure Gas Site Fuel Savings (1,000 cu.ft gas/year)]],"-")</f>
        <v>-100.47641461013812</v>
      </c>
      <c r="HX22" s="248">
        <f>Tbl_MeasureList[[#This Row],[Baseline Energy Cost (USD/yr)]]-Tbl_MeasureList[[#This Row],[Code (old fuel) Energy Cost (USD/yr)]]</f>
        <v>296.46067488643712</v>
      </c>
      <c r="HY22" s="201">
        <f>0</f>
        <v>0</v>
      </c>
      <c r="HZ22" s="86">
        <f>Tbl_MeasureList[[#This Row],[Baseline Electric Annual Consumption (kWh/yr)]]-Tbl_MeasureList[[#This Row],[Code (old fuel) Electric Annual Consumption (kWh/yr)]]</f>
        <v>0</v>
      </c>
      <c r="IA22" s="86" t="str">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v>
      </c>
      <c r="IB22" s="86" t="str">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v>
      </c>
      <c r="IC22" s="152">
        <f>Tbl_MeasureList[[#This Row],[Baseline Electric Winter Peak Demand (kW)]]-Tbl_MeasureList[[#This Row],[Code (old fuel) Electric Winter Peak Demand (kW)]]</f>
        <v>0</v>
      </c>
      <c r="ID22" s="152">
        <f>Tbl_MeasureList[[#This Row],[Baseline Electric Summer Peak Demand (kW)]]-Tbl_MeasureList[[#This Row],[Code (old fuel) Electric Summer Peak Demand (kW)]]</f>
        <v>0</v>
      </c>
      <c r="IE22" s="251">
        <f>Tbl_MeasureList[[#This Row],[Baseline Natural Gas Annual Consumption (therms/yr)]]-Tbl_MeasureList[[#This Row],[Code (old fuel) Natural Gas Annual Consumption (therms/yr)]]</f>
        <v>0</v>
      </c>
      <c r="IF22" s="252">
        <f>Tbl_MeasureList[[#This Row],[Baseline Propane Annual Consumption (MMBtu/yr)]]-Tbl_MeasureList[[#This Row],[Code (old fuel) Propane Annual Consumption (MMBtu/yr)]]</f>
        <v>0</v>
      </c>
      <c r="IG22" s="253">
        <f>Tbl_MeasureList[[#This Row],[Baseline Oil Annual Consumption (MMBtu/yr)]]-Tbl_MeasureList[[#This Row],[Code (old fuel) Oil Annual Consumption (MMBtu/yr)]]</f>
        <v>13.199399999999997</v>
      </c>
      <c r="IH22" s="371">
        <f>Tbl_MeasureList[[#This Row],[Baseline Energy Consumption on MMBtu Basis (MMBtu/yr)]]-Tbl_MeasureList[[#This Row],[Code (old fuel) Energy Consumption on MMBtu Basis (MMBtu/yr)]]</f>
        <v>13.199399999999997</v>
      </c>
      <c r="II22" s="371">
        <f>Tbl_MeasureList[[#This Row],[Baseline Carbon Emissions, Site (tons CO2/yr)]]-Tbl_MeasureList[[#This Row],[Code (old fuel) Carbon Emissions, Site (tons CO2/yr)]]</f>
        <v>1.0645316099999995</v>
      </c>
      <c r="IJ22" s="279">
        <f>Tbl_MeasureList[[#This Row],[Baseline Carbon Emissions, Source (tons CO2/yr)]]-Tbl_MeasureList[[#This Row],[Code (old fuel) Carbon Emissions, Source (tons CO2/yr)]]</f>
        <v>1.0645316099999995</v>
      </c>
      <c r="IK22" s="273">
        <f ca="1">Tbl_MeasureList[[#This Row],[Code (new fuel) Energy Cost (USD/yr)]]-Tbl_MeasureList[[#This Row],[Low Measure Energy Cost (USD/yr)]]</f>
        <v>170.26446438735729</v>
      </c>
      <c r="IL22"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13897.004663072888</v>
      </c>
      <c r="IM22" s="85">
        <f ca="1">Tbl_MeasureList[[#This Row],[Code (old fuel) Electric Annual Consumption (kWh/yr)]]-Tbl_MeasureList[[#This Row],[Low Measure Electric Annual Consumption (kWh/yr)]]</f>
        <v>-99</v>
      </c>
      <c r="IN22" s="85" t="str">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v>
      </c>
      <c r="IO22" s="85" t="str">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v>
      </c>
      <c r="IP22" s="152">
        <f ca="1">Tbl_MeasureList[[#This Row],[Code (old fuel) Electric Winter Peak Demand (kW)]]-Tbl_MeasureList[[#This Row],[Low Measure Electric Winter Peak Demand (kW)]]</f>
        <v>-1.5186960690316387E-2</v>
      </c>
      <c r="IQ22" s="152">
        <f ca="1">Tbl_MeasureList[[#This Row],[Code (old fuel) Electric Summer Peak Demand (kW)]]-Tbl_MeasureList[[#This Row],[Low Measure Electric Summer Peak Demand (kW)]]</f>
        <v>0</v>
      </c>
      <c r="IR22" s="204">
        <f ca="1">Tbl_MeasureList[[#This Row],[Code (old fuel) Natural Gas Annual Consumption (therms/yr)]]-Tbl_MeasureList[[#This Row],[Low Measure Natural Gas Annual Consumption (therms/yr)]]</f>
        <v>-1059.5848623853212</v>
      </c>
      <c r="IS22" s="153">
        <f ca="1">Tbl_MeasureList[[#This Row],[Code (old fuel) Propane Annual Consumption (MMBtu/yr)]]-Tbl_MeasureList[[#This Row],[Low Measure Propane Annual Consumption (MMBtu/yr)]]</f>
        <v>0</v>
      </c>
      <c r="IT22" s="204">
        <f ca="1">Tbl_MeasureList[[#This Row],[Code (old fuel) Oil Annual Consumption (MMBtu/yr)]]-Tbl_MeasureList[[#This Row],[Low Measure Oil Annual Consumption (MMBtu/yr)]]</f>
        <v>109.99500000000002</v>
      </c>
      <c r="IU22" s="204">
        <f ca="1">Tbl_MeasureList[[#This Row],[Code (old fuel) Energy Consumption on MMBtu Basis (MMBtu/yr)]]-Tbl_MeasureList[[#This Row],[Low Measure Energy Consumption on MMBtu Basis (MMBtu/yr)]]</f>
        <v>3.6987257614679123</v>
      </c>
      <c r="IV22" s="204">
        <f ca="1">Tbl_MeasureList[[#This Row],[Code (old fuel) Carbon Emissions, Site (tons CO2/yr)]]-Tbl_MeasureList[[#This Row],[Low Measure Carbon Emissions, Site (tons CO2/yr)]]</f>
        <v>2.6725253050458742</v>
      </c>
      <c r="IW22" s="260">
        <f ca="1">Tbl_MeasureList[[#This Row],[Code (old fuel) Carbon Emissions, Source (tons CO2/yr)]]-Tbl_MeasureList[[#This Row],[Low Measure Carbon Emissions, Source (tons CO2/yr)]]</f>
        <v>2.6375624650458738</v>
      </c>
      <c r="IX22" s="27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741.74028579861169</v>
      </c>
      <c r="IY22" s="20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14158.004663072888</v>
      </c>
      <c r="IZ22"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-82</v>
      </c>
      <c r="JA22" s="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v>
      </c>
      <c r="JB22" s="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v>
      </c>
      <c r="JC22"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-1.2579098753595391E-2</v>
      </c>
      <c r="JD22"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0</v>
      </c>
      <c r="JE22"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-1033.510067114094</v>
      </c>
      <c r="JF22" s="1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0</v>
      </c>
      <c r="JG22"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109.99500000000002</v>
      </c>
      <c r="JH22"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6.3642092885906294</v>
      </c>
      <c r="JI22"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2.8250628573825534</v>
      </c>
      <c r="JJ22"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2.7961037373825528</v>
      </c>
      <c r="JK22" s="432">
        <f>Tbl_MeasureList[[#This Row],[ER (Retire) Electric Annual Consumption Savings (kWh/yr)]]*COAL_BTU_PER_SITE_KWH/Btu_per_MMBtu</f>
        <v>0</v>
      </c>
      <c r="JL22" s="428">
        <f>Tbl_MeasureList[[#This Row],[ER (Retire) Electric Annual Consumption Savings (kWh/yr)]]*COAL_LBS_PER_SITE_KWH</f>
        <v>0</v>
      </c>
      <c r="JM22" s="427">
        <f>Tbl_MeasureList[[#This Row],[ER (Retire) Electric Annual Consumption Savings (kWh/yr)]]*OIL_BTU_PER_SITE_KWH/Btu_per_MMBtu</f>
        <v>0</v>
      </c>
      <c r="JN22" s="428">
        <f>Tbl_MeasureList[[#This Row],[ER (Retire) Electric Annual Consumption Savings (kWh/yr)]]*OIL_GAL_PER_SITE_KWH</f>
        <v>0</v>
      </c>
      <c r="JO22" s="427">
        <f>Tbl_MeasureList[[#This Row],[ER (Retire) Oil Annual Consumption Savings (MMBtu/yr)]]*Btu_per_MMBtu/OIL_BTU_PER_GAL</f>
        <v>95.68596179636809</v>
      </c>
      <c r="JP22" s="428">
        <f ca="1">Tbl_MeasureList[[#This Row],[Current ER (Retire) Oil Source Fuel Savings (gallons oil/year)]]+Tbl_MeasureList[[#This Row],[Current ER Total Low Measure Oil Site Fuel Savings (gallons oil/year)]]</f>
        <v>893.06897676610254</v>
      </c>
      <c r="JQ22" s="427">
        <f>Tbl_MeasureList[[#This Row],[ER (Retire) Electric Annual Consumption Savings (kWh/yr)]]*GAS_BTU_PER_SITE_KWH/Btu_per_MMBtu</f>
        <v>0</v>
      </c>
      <c r="JR22" s="429">
        <f>Tbl_MeasureList[[#This Row],[ER (Retire) Electric Annual Consumption Savings (kWh/yr)]]*GAS_CUFT_PER_SITE_KWH/1000</f>
        <v>0</v>
      </c>
      <c r="JS22" s="430">
        <f>Tbl_MeasureList[[#This Row],[ER (Retire) Natural Gas Annual Consumption Savings (therms/yr)]]*Btu_per_MMBtu/(GAS_BTU_PER_CUFT*Therm_per_MMBtu*1000)</f>
        <v>0</v>
      </c>
      <c r="JT22" s="431">
        <f ca="1">Tbl_MeasureList[[#This Row],[Current ER (Retire) Gas Source Fuel Savings (1,000 cu.ft. gas/year)]]+Tbl_MeasureList[[#This Row],[Current ER Total Low Measure Gas Site Fuel Savings (1,000 cu.ft gas/year)]]</f>
        <v>-102.97228983336456</v>
      </c>
      <c r="JU22" s="432">
        <f ca="1">Tbl_MeasureList[[#This Row],[ER (EE) Low Measure Electric Annual Consumption Savings (kWh/yr)]]*COAL_BTU_PER_SITE_KWH/Btu_per_MMBtu</f>
        <v>-1.089721255619646E-2</v>
      </c>
      <c r="JV22" s="428">
        <f ca="1">Tbl_MeasureList[[#This Row],[ER (EE) Low Measure Electric Annual Consumption Savings (kWh/yr)]]*COAL_LBS_PER_SITE_KWH</f>
        <v>-0.9558958382628473</v>
      </c>
      <c r="JW22" s="427">
        <f ca="1">Tbl_MeasureList[[#This Row],[ER (EE) Low Measure Electric Annual Consumption Savings (kWh/yr)]]*OIL_BTU_PER_SITE_KWH/Btu_per_MMBtu</f>
        <v>-1.2544809664774313E-2</v>
      </c>
      <c r="JX22" s="428">
        <f ca="1">Tbl_MeasureList[[#This Row],[ER (EE) Low Measure Electric Annual Consumption Savings (kWh/yr)]]*OIL_GAL_PER_SITE_KWH</f>
        <v>-9.0940662327553101E-2</v>
      </c>
      <c r="JY22" s="427">
        <f ca="1">Tbl_MeasureList[[#This Row],[ER (EE) Low Measure Oil Annual Consumption Savings (MMBtu/yr)]]*Btu_per_MMBtu/OIL_BTU_PER_GAL</f>
        <v>797.3830149697344</v>
      </c>
      <c r="JZ22" s="428">
        <f ca="1">Tbl_MeasureList[[#This Row],[Current ER (EE) Low Measure Oil Source Fuel Savings (gallons oil/year)]]+Tbl_MeasureList[[#This Row],[Current ER (EE) Low Measure Oil Site Fuel Savings (gallons oil/year)]]</f>
        <v>797.29207430740689</v>
      </c>
      <c r="KA22" s="427">
        <f ca="1">Tbl_MeasureList[[#This Row],[ER (EE) Low Measure Electric Annual Consumption Savings (kWh/yr)]]*GAS_BTU_PER_SITE_KWH/Btu_per_MMBtu</f>
        <v>-0.4051209558503176</v>
      </c>
      <c r="KB22" s="429">
        <f ca="1">Tbl_MeasureList[[#This Row],[ER (EE) Low Measure Electric Annual Consumption Savings (kWh/yr)]]*GAS_CUFT_PER_SITE_KWH/1000</f>
        <v>-0.39370355281857877</v>
      </c>
      <c r="KC22" s="430">
        <f ca="1">Tbl_MeasureList[[#This Row],[ER (EE) Low Measure Natural Gas Annual Consumption Savings (therms/yr)]]*Btu_per_MMBtu/(GAS_BTU_PER_CUFT*Therm_per_MMBtu*1000)</f>
        <v>-102.97228983336456</v>
      </c>
      <c r="KD22" s="431">
        <f ca="1">Tbl_MeasureList[[#This Row],[Current ER (EE) Low Measure Gas Source Fuel Savings (1,000 cu.ft. gas/year)]]+Tbl_MeasureList[[#This Row],[Current ER (EE) Low Measure Gas Site Fuel Savings (1,000 cu.ft gas/year)]]</f>
        <v>-103.36599338618313</v>
      </c>
      <c r="KE22" s="432">
        <f ca="1">IFERROR(Tbl_MeasureList[[#This Row],[ER (EE) High Measure Electric Annual Consumption Savings (kWh/yr)]]*COAL_BTU_PER_SITE_KWH/Btu_per_MMBtu,"-")</f>
        <v>-9.0259740364455523E-3</v>
      </c>
      <c r="KF22" s="428">
        <f ca="1">IFERROR(Tbl_MeasureList[[#This Row],[ER (EE) High Measure Electric Annual Consumption Savings (kWh/yr)]]*COAL_LBS_PER_SITE_KWH,"-")</f>
        <v>-0.79175210846013611</v>
      </c>
      <c r="KG22" s="427">
        <f ca="1">IFERROR(Tbl_MeasureList[[#This Row],[ER (EE) High Measure Electric Annual Consumption Savings (kWh/yr)]]*OIL_BTU_PER_SITE_KWH/Btu_per_MMBtu,"-")</f>
        <v>-1.0390650429409027E-2</v>
      </c>
      <c r="KH22" s="428">
        <f ca="1">IFERROR(Tbl_MeasureList[[#This Row],[ER (EE) High Measure Electric Annual Consumption Savings (kWh/yr)]]*OIL_GAL_PER_SITE_KWH,"-")</f>
        <v>-7.5324588998579328E-2</v>
      </c>
      <c r="KI22" s="427">
        <f ca="1">IFERROR(Tbl_MeasureList[[#This Row],[ER (EE) High Measure Oil Annual Consumption Savings (MMBtu/yr)]]*Btu_per_MMBtu/OIL_BTU_PER_GAL,"-")</f>
        <v>797.3830149697344</v>
      </c>
      <c r="KJ22" s="428">
        <f ca="1">IFERROR(Tbl_MeasureList[[#This Row],[Current ER (EE) High Measure Oil Source Fuel Savings (gallons oil/year)]]+Tbl_MeasureList[[#This Row],[Current ER (EE) High Measure Oil Site Fuel Savings (gallons oil/year)]],"-")</f>
        <v>797.30769038073583</v>
      </c>
      <c r="KK22" s="427">
        <f ca="1">IFERROR(Tbl_MeasureList[[#This Row],[ER (EE) High Measure Electric Annual Consumption Savings (kWh/yr)]]*GAS_BTU_PER_SITE_KWH/Btu_per_MMBtu,"-")</f>
        <v>-0.33555473110834388</v>
      </c>
      <c r="KL22" s="429">
        <f ca="1">IFERROR(Tbl_MeasureList[[#This Row],[ER (EE) High Measure Electric Annual Consumption Savings (kWh/yr)]]*GAS_CUFT_PER_SITE_KWH/1000,"-")</f>
        <v>-0.32609789223357027</v>
      </c>
      <c r="KM22" s="430">
        <f ca="1">IFERROR(Tbl_MeasureList[[#This Row],[ER (EE) High Measure Natural Gas Annual Consumption Savings (therms/yr)]]*Btu_per_MMBtu/(GAS_BTU_PER_CUFT*Therm_per_MMBtu*1000),"-")</f>
        <v>-100.43829612381866</v>
      </c>
      <c r="KN22" s="431">
        <f ca="1">IFERROR(Tbl_MeasureList[[#This Row],[Current ER (EE) High Measure Gas Source Fuel Savings (1,000 cu.ft. gas/year)]]+Tbl_MeasureList[[#This Row],[Current ER (EE) High Measure Gas Site Fuel Savings (1,000 cu.ft gas/year)]],"-")</f>
        <v>-100.76439401605224</v>
      </c>
    </row>
    <row r="23" spans="2:300" x14ac:dyDescent="0.2">
      <c r="B23" s="16"/>
      <c r="C23" s="2" t="s">
        <v>97</v>
      </c>
      <c r="D23" s="12" t="str">
        <f>INDEX(Tbl_BaselineSummary[Equipment ID],MATCH(Tbl_MeasureList[[#This Row],[Baseline ID]],Tbl_BaselineSummary[Baseline ID],0))</f>
        <v>EQUI018</v>
      </c>
      <c r="E23" s="11" t="str">
        <f>INDEX(Tbl_EquipmentDefinitions[Equipment Name],MATCH('Measure List'!$D23,Tbl_EquipmentDefinitions[Equipment ID],0))</f>
        <v>Propane Boiler+Indirect WH</v>
      </c>
      <c r="F23" s="3" t="s">
        <v>236</v>
      </c>
      <c r="G23" s="11" t="str">
        <f>INDEX(Tbl_EquipmentDefinitions[Function],MATCH('Measure List'!$D23,Tbl_EquipmentDefinitions[Equipment ID],0))</f>
        <v>Heat+HW</v>
      </c>
      <c r="H23" s="3" t="s">
        <v>111</v>
      </c>
      <c r="I23" s="3" t="s">
        <v>42</v>
      </c>
      <c r="J23" s="11" t="str">
        <f>INDEX(Tbl_EquipmentDefinitions[Equipment Name],MATCH('Measure List'!$I23,Tbl_EquipmentDefinitions[Equipment ID],0))</f>
        <v>Gas Boiler+Indirect WH</v>
      </c>
      <c r="K23" s="11">
        <f>INDEX(Tbl_EquipmentDefinitions[],MATCH(Tbl_MeasureList[[#This Row],[Replacement ID]],Tbl_EquipmentDefinitions[[Equipment ID]:[Equipment ID]],0),MATCH(Tbl_MeasureList[[#Headers],[New Unit Equipment Life (years)]],Tbl_EquipmentDefinitions[#Headers],0))</f>
        <v>20</v>
      </c>
      <c r="L23" s="11">
        <f>INDEX(Tbl_EquipmentDefinitions[],MATCH(Tbl_MeasureList[[#This Row],[Baseline Equipment ID]],Tbl_EquipmentDefinitions[[Equipment ID]:[Equipment ID]],0),MATCH(Tbl_MeasureList[[#Headers],[Remaining Life for Early Replacement (years)]],Tbl_EquipmentDefinitions[#Headers],0))</f>
        <v>10</v>
      </c>
      <c r="M23" s="12" t="str">
        <f>INDEX(Tbl_EquipmentDefinitions[Function],MATCH('Measure List'!$I23,Tbl_EquipmentDefinitions[Equipment ID],0))</f>
        <v>Heat+HW</v>
      </c>
      <c r="N23" s="368" t="s">
        <v>118</v>
      </c>
      <c r="O23" s="14" t="str">
        <f t="shared" si="0"/>
        <v>OK</v>
      </c>
      <c r="P23" s="12" t="str">
        <f ca="1">IFERROR(INDIRECT(Tbl_MeasureList[[#This Row],[Measure ID]]&amp;"!D5"),"No tab")</f>
        <v>3. Ready</v>
      </c>
      <c r="Q23" s="11"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Propane</v>
      </c>
      <c r="R23" s="12"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v>
      </c>
      <c r="S23" s="11"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Natural Gas</v>
      </c>
      <c r="T23" s="247"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v>
      </c>
      <c r="U23" s="248">
        <f>INDEX(Tbl_BaselineSummary[Baseline Annual Energy Cost (USD)],MATCH(Tbl_MeasureList[[#This Row],[Baseline ID]],Tbl_BaselineSummary[Baseline ID],0))</f>
        <v>4303.6596688309082</v>
      </c>
      <c r="V23" s="249">
        <f>INDEX(Tbl_BaselineSummary[Baseline Electric Annual Consumption  (kWh)],MATCH(Tbl_MeasureList[[#This Row],[Baseline ID]],Tbl_BaselineSummary[Baseline ID],0))</f>
        <v>197</v>
      </c>
      <c r="W23" s="249" t="str">
        <f>INDEX(Tbl_BaselineSummary[Baseline Electric Winter Consumption (kWh)],MATCH(Tbl_MeasureList[[#This Row],[Baseline ID]],Tbl_BaselineSummary[Baseline ID],0))</f>
        <v>n/a</v>
      </c>
      <c r="X23" s="249" t="str">
        <f>INDEX(Tbl_BaselineSummary[Baseline Electric Summer Consumption (kWh)],MATCH(Tbl_MeasureList[[#This Row],[Baseline ID]],Tbl_BaselineSummary[Baseline ID],0))</f>
        <v>n/a</v>
      </c>
      <c r="Y23" s="250">
        <f>INDEX(Tbl_BaselineSummary[Baseline Electric Baseline Winter Peak Demand (kW)],MATCH(Tbl_MeasureList[[#This Row],[Baseline ID]],Tbl_BaselineSummary[Baseline ID],0))</f>
        <v>3.0220517737296261E-2</v>
      </c>
      <c r="Z23" s="452">
        <f>INDEX(Tbl_BaselineSummary[Baseline Electric Baseline Summer Peak Demand (kW)],MATCH(Tbl_MeasureList[[#This Row],[Baseline ID]],Tbl_BaselineSummary[Baseline ID],0))</f>
        <v>0</v>
      </c>
      <c r="AA23" s="458">
        <f>INDEX(Tbl_BaselineSummary[Baseline Natural Gas Annual Consumption  (therms)],MATCH(Tbl_MeasureList[[#This Row],[Baseline ID]],Tbl_BaselineSummary[Baseline ID],0))</f>
        <v>0</v>
      </c>
      <c r="AB23" s="455">
        <f>INDEX(Tbl_BaselineSummary[Baseline Propane Annual Consumption  (MMBtu)],MATCH(Tbl_MeasureList[[#This Row],[Baseline ID]],Tbl_BaselineSummary[Baseline ID],0))</f>
        <v>119.72773333333333</v>
      </c>
      <c r="AC23" s="252">
        <f>INDEX(Tbl_BaselineSummary[Baseline Oil Annual Consumption  (MMBtu)],MATCH(Tbl_MeasureList[[#This Row],[Baseline ID]],Tbl_BaselineSummary[Baseline ID],0))</f>
        <v>0</v>
      </c>
      <c r="AD23" s="371">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120.39989733333333</v>
      </c>
      <c r="AE23" s="460">
        <f>(lbCO2_per_Therm_Gas*Tbl_MeasureList[[#This Row],[Baseline Natural Gas Annual Consumption (therms/yr)]]+lbCO2_per_MMBtu_Prop*Tbl_MeasureList[[#This Row],[Baseline Propane Annual Consumption (MMBtu/yr)]]+lbCO2_per_MMBtu_Oil*Tbl_MeasureList[[#This Row],[Baseline Oil Annual Consumption (MMBtu/yr)]])*Lbs_per_ShortTon</f>
        <v>8.3210774666666669</v>
      </c>
      <c r="AF23" s="463">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8.3906499866666682</v>
      </c>
      <c r="AG23" s="465">
        <f>INDEX(Tbl_BaselineSummary[Code Annual Energy Cost (USD)],MATCH(Tbl_MeasureList[[#This Row],[Baseline ID]],Tbl_BaselineSummary[Baseline ID],0))</f>
        <v>3936.2740873453431</v>
      </c>
      <c r="AH23" s="468">
        <f>INDEX(Tbl_BaselineSummary[Deferred Replacement Credit (USD)],MATCH(Tbl_MeasureList[[#This Row],[Baseline ID]],Tbl_BaselineSummary[Baseline ID],0))</f>
        <v>4382.3451516700088</v>
      </c>
      <c r="AI23" s="201">
        <f>INDEX(Tbl_BaselineSummary[A/C-only Deferred Replacement Credit (USD)],MATCH(Tbl_MeasureList[[#This Row],[Baseline ID]],Tbl_BaselineSummary[Baseline ID],0))</f>
        <v>0</v>
      </c>
      <c r="AJ23" s="468">
        <f>INDEX(Tbl_BaselineSummary[Code Installed Costs (USD)],MATCH(Tbl_MeasureList[[#This Row],[Baseline ID]],Tbl_BaselineSummary[Baseline ID],0))</f>
        <v>10181</v>
      </c>
      <c r="AK23" s="201">
        <f>INDEX(Tbl_BaselineSummary[Code A/C-only Installed Cost (USD)],MATCH(Tbl_MeasureList[[#This Row],[Baseline ID]],Tbl_BaselineSummary[Baseline ID],0))</f>
        <v>0</v>
      </c>
      <c r="AL23" s="86">
        <f>INDEX(Tbl_BaselineSummary[Code Electric Annual Consumption (kWh)],MATCH(Tbl_MeasureList[[#This Row],[Baseline ID]],Tbl_BaselineSummary[Baseline ID],0))</f>
        <v>197</v>
      </c>
      <c r="AM23" s="86" t="str">
        <f>INDEX(Tbl_BaselineSummary[Code Electric Winter Consumption (kWh)],MATCH(Tbl_MeasureList[[#This Row],[Baseline ID]],Tbl_BaselineSummary[Baseline ID],0))</f>
        <v>n/a</v>
      </c>
      <c r="AN23" s="86" t="str">
        <f>INDEX(Tbl_BaselineSummary[Code Electric Summer Consumption (kWh)],MATCH(Tbl_MeasureList[[#This Row],[Baseline ID]],Tbl_BaselineSummary[Baseline ID],0))</f>
        <v>n/a</v>
      </c>
      <c r="AO23" s="152">
        <f>INDEX(Tbl_BaselineSummary[Code Electric Winter Peak Demand (kW)],MATCH(Tbl_MeasureList[[#This Row],[Baseline ID]],Tbl_BaselineSummary[Baseline ID],0))</f>
        <v>3.7430488974113135E-2</v>
      </c>
      <c r="AP23" s="470">
        <f>INDEX(Tbl_BaselineSummary[Code Electric Summer Peak Demand (kW)],MATCH(Tbl_MeasureList[[#This Row],[Baseline ID]],Tbl_BaselineSummary[Baseline ID],0))</f>
        <v>0</v>
      </c>
      <c r="AQ23" s="467">
        <f>INDEX(Tbl_BaselineSummary[Code Natural Gas Annual Consumption (therms)],MATCH(Tbl_MeasureList[[#This Row],[Baseline ID]],Tbl_BaselineSummary[Baseline ID],0))</f>
        <v>0</v>
      </c>
      <c r="AR23" s="472">
        <f>INDEX(Tbl_BaselineSummary[Code Propane Annual Consumption (MMBtu)],MATCH(Tbl_MeasureList[[#This Row],[Baseline ID]],Tbl_BaselineSummary[Baseline ID],0))</f>
        <v>109.50707317073172</v>
      </c>
      <c r="AS23" s="467">
        <f>INDEX(Tbl_BaselineSummary[Code Oil Annual Consumption (MMBtu)],MATCH(Tbl_MeasureList[[#This Row],[Baseline ID]],Tbl_BaselineSummary[Baseline ID],0))</f>
        <v>0</v>
      </c>
      <c r="AT23" s="204">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110.17923717073171</v>
      </c>
      <c r="AU23" s="467">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7.6107415853658544</v>
      </c>
      <c r="AV23" s="474">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7.6803141053658539</v>
      </c>
      <c r="AW23" s="248">
        <f ca="1">INDIRECT(Tbl_MeasureList[[#This Row],[Measure ID]]&amp;"!L26")</f>
        <v>1891.565801513241</v>
      </c>
      <c r="AX23" s="477">
        <f ca="1">INDIRECT(Tbl_MeasureList[[#This Row],[Measure ID]]&amp;"!M26")</f>
        <v>15228</v>
      </c>
      <c r="AY23" s="481">
        <f ca="1">INDIRECT(Tbl_MeasureList[[#This Row],[Measure ID]]&amp;"!D26")</f>
        <v>329</v>
      </c>
      <c r="AZ23" s="481" t="str">
        <f ca="1">INDIRECT(Tbl_MeasureList[[#This Row],[Measure ID]]&amp;"!J26")</f>
        <v>n/a</v>
      </c>
      <c r="BA23" s="481" t="str">
        <f ca="1">INDIRECT(Tbl_MeasureList[[#This Row],[Measure ID]]&amp;"!I26")</f>
        <v>n/a</v>
      </c>
      <c r="BB23" s="479">
        <f ca="1">INDIRECT(Tbl_MeasureList[[#This Row],[Measure ID]]&amp;"!E26")</f>
        <v>5.0469798657718119E-2</v>
      </c>
      <c r="BC23" s="268">
        <f ca="1">INDIRECT(Tbl_MeasureList[[#This Row],[Measure ID]]&amp;"!H26")</f>
        <v>0</v>
      </c>
      <c r="BD23" s="253">
        <f ca="1">INDIRECT(Tbl_MeasureList[[#This Row],[Measure ID]]&amp;"!D32")</f>
        <v>1132.3556116015131</v>
      </c>
      <c r="BE23" s="270">
        <f ca="1">INDIRECT(Tbl_MeasureList[[#This Row],[Measure ID]]&amp;"!D38")</f>
        <v>0</v>
      </c>
      <c r="BF23" s="253">
        <f ca="1">INDIRECT(Tbl_MeasureList[[#This Row],[Measure ID]]&amp;"!D44")</f>
        <v>0</v>
      </c>
      <c r="BG23" s="460">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114.35810916015132</v>
      </c>
      <c r="BH23" s="371">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6.6242803278688518</v>
      </c>
      <c r="BI23" s="272">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6.7404699678688518</v>
      </c>
      <c r="BJ23" s="273">
        <f ca="1">INDIRECT(Tbl_MeasureList[[#This Row],[Measure ID]]&amp;"!L27")</f>
        <v>1726.0925463302754</v>
      </c>
      <c r="BK23" s="201">
        <f ca="1">INDIRECT(Tbl_MeasureList[[#This Row],[Measure ID]]&amp;"!M27")</f>
        <v>18396</v>
      </c>
      <c r="BL23" s="85">
        <f ca="1">INDIRECT(Tbl_MeasureList[[#This Row],[Measure ID]]&amp;"!D27")</f>
        <v>329</v>
      </c>
      <c r="BM23" s="85" t="str">
        <f ca="1">INDIRECT(Tbl_MeasureList[[#This Row],[Measure ID]]&amp;"!J27")</f>
        <v>n/a</v>
      </c>
      <c r="BN23" s="85" t="str">
        <f ca="1">INDIRECT(Tbl_MeasureList[[#This Row],[Measure ID]]&amp;"!I27")</f>
        <v>n/a</v>
      </c>
      <c r="BO23" s="152">
        <f ca="1">INDIRECT(Tbl_MeasureList[[#This Row],[Measure ID]]&amp;"!E27")</f>
        <v>5.0469798657718119E-2</v>
      </c>
      <c r="BP23" s="470">
        <f ca="1">INDIRECT(Tbl_MeasureList[[#This Row],[Measure ID]]&amp;"!H27")</f>
        <v>0</v>
      </c>
      <c r="BQ23" s="467">
        <f ca="1">INDIRECT(Tbl_MeasureList[[#This Row],[Measure ID]]&amp;"!D33")</f>
        <v>1029.7683486238532</v>
      </c>
      <c r="BR23" s="472">
        <f ca="1">INDIRECT(Tbl_MeasureList[[#This Row],[Measure ID]]&amp;"!D39")</f>
        <v>0</v>
      </c>
      <c r="BS23" s="467">
        <f ca="1">INDIRECT(Tbl_MeasureList[[#This Row],[Measure ID]]&amp;"!D45")</f>
        <v>0</v>
      </c>
      <c r="BT23" s="204">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104.09938286238531</v>
      </c>
      <c r="BU23" s="467">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6.0241448394495407</v>
      </c>
      <c r="BV23" s="260">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6.1403344794495407</v>
      </c>
      <c r="BW23" s="24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1681.8548237136467</v>
      </c>
      <c r="BX23" s="26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18657</v>
      </c>
      <c r="BY23"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312</v>
      </c>
      <c r="BZ23"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n/a</v>
      </c>
      <c r="CA23"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n/a</v>
      </c>
      <c r="CB23"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4.7861936720997124E-2</v>
      </c>
      <c r="CC23"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0</v>
      </c>
      <c r="CD23"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1004.4272930648769</v>
      </c>
      <c r="CE23"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0</v>
      </c>
      <c r="CF23"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0</v>
      </c>
      <c r="CG23" s="460">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101.50727330648769</v>
      </c>
      <c r="CH23" s="37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5.8758996644295296</v>
      </c>
      <c r="CI23" s="26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5.9860855844295298</v>
      </c>
      <c r="CJ23" s="320">
        <f ca="1">-Tbl_MeasureList[[#This Row],[Low Measure Energy Cost (USD/yr)]]+Tbl_MeasureList[[#This Row],[Baseline Energy Cost (USD/yr)]]</f>
        <v>2577.5671225006326</v>
      </c>
      <c r="CK23"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14013.654848329992</v>
      </c>
      <c r="CL23" s="249">
        <f ca="1">-Tbl_MeasureList[[#This Row],[Low Measure Electric Annual Consumption (kWh/yr)]]+Tbl_MeasureList[[#This Row],[Baseline Electric Annual Consumption (kWh/yr)]]</f>
        <v>-132</v>
      </c>
      <c r="CM23" s="249" t="str">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v>
      </c>
      <c r="CN23" s="249" t="str">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v>
      </c>
      <c r="CO23" s="268">
        <f ca="1">-Tbl_MeasureList[[#This Row],[Low Measure Electric Winter Peak Demand (kW)]]+Tbl_MeasureList[[#This Row],[Baseline Electric Winter Peak Demand (kW)]]</f>
        <v>-2.0249280920421858E-2</v>
      </c>
      <c r="CP23" s="479">
        <f ca="1">-Tbl_MeasureList[[#This Row],[Low Measure Electric Summer Peak Demand (kW)]]+Tbl_MeasureList[[#This Row],[Baseline Electric Summer Peak Demand (kW)]]</f>
        <v>0</v>
      </c>
      <c r="CQ23" s="481">
        <f ca="1">-Tbl_MeasureList[[#This Row],[Low Measure Natural Gas Annual Consumption (therms/yr)]]+Tbl_MeasureList[[#This Row],[Baseline Natural Gas Annual Consumption (therms/yr)]]</f>
        <v>-1029.7683486238532</v>
      </c>
      <c r="CR23" s="490">
        <f ca="1">-Tbl_MeasureList[[#This Row],[Low Measure Propane Annual Consumption (MMBtu/yr)]]+Tbl_MeasureList[[#This Row],[Baseline Propane Annual Consumption (MMBtu/yr)]]</f>
        <v>119.72773333333333</v>
      </c>
      <c r="CS23" s="252">
        <f ca="1">-Tbl_MeasureList[[#This Row],[Low Measure Oil Annual Consumption (MMBtu/yr)]]+Tbl_MeasureList[[#This Row],[Baseline Oil Annual Consumption (MMBtu/yr)]]</f>
        <v>0</v>
      </c>
      <c r="CT23"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16.300514470948016</v>
      </c>
      <c r="CU23" s="487">
        <f ca="1">-Tbl_MeasureList[[#This Row],[Low Measure Carbon Emissions, Site (tons CO2/yr)]]+Tbl_MeasureList[[#This Row],[Baseline Carbon Emissions, Site (tons CO2/yr)]]</f>
        <v>2.2969326272171262</v>
      </c>
      <c r="CV23" s="491">
        <f ca="1">-Tbl_MeasureList[[#This Row],[Low Measure Carbon Emissions, Source (tons CO2/yr)]]+Tbl_MeasureList[[#This Row],[Baseline Carbon Emissions, Source (tons CO2/yr)]]</f>
        <v>2.2503155072171275</v>
      </c>
      <c r="CW23"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2621.8048451172617</v>
      </c>
      <c r="CX23"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14274.654848329992</v>
      </c>
      <c r="CY23"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-115</v>
      </c>
      <c r="CZ23"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v>
      </c>
      <c r="DA23"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v>
      </c>
      <c r="DB23"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-1.7641418983700863E-2</v>
      </c>
      <c r="DC23"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0</v>
      </c>
      <c r="DD23"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-1004.4272930648769</v>
      </c>
      <c r="DE23"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119.72773333333333</v>
      </c>
      <c r="DF23"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0</v>
      </c>
      <c r="DG23" s="270">
        <f ca="1">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18.892624026845638</v>
      </c>
      <c r="DH23"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2.4451778022371373</v>
      </c>
      <c r="DI23"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2.4045644022371384</v>
      </c>
      <c r="DJ23" s="320">
        <f ca="1">-Tbl_MeasureList[[#This Row],[Low Measure Energy Cost (USD/yr)]]+Tbl_MeasureList[[#This Row],[Code (old fuel) Energy Cost (USD/yr)]]</f>
        <v>2210.1815410150675</v>
      </c>
      <c r="DK23" s="267">
        <f ca="1">Tbl_MeasureList[[#This Row],[Low Measure Installed Costs (USD)]]-Tbl_MeasureList[[#This Row],[Code (old fuel) Installed Costs (USD)]]</f>
        <v>8215</v>
      </c>
      <c r="DL23" s="249">
        <f ca="1">-Tbl_MeasureList[[#This Row],[Low Measure Electric Annual Consumption (kWh/yr)]]+Tbl_MeasureList[[#This Row],[Code (old fuel) Electric Annual Consumption (kWh/yr)]]</f>
        <v>-132</v>
      </c>
      <c r="DM23" s="249" t="str">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v>
      </c>
      <c r="DN23" s="249" t="str">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v>
      </c>
      <c r="DO23" s="268">
        <f ca="1">-Tbl_MeasureList[[#This Row],[Low Measure Electric Winter Peak Demand (kW)]]+Tbl_MeasureList[[#This Row],[Code (old fuel) Electric Winter Peak Demand (kW)]]</f>
        <v>-1.3039309683604984E-2</v>
      </c>
      <c r="DP23" s="479">
        <f ca="1">-Tbl_MeasureList[[#This Row],[Low Measure Electric Summer Peak Demand (kW)]]+Tbl_MeasureList[[#This Row],[Code (old fuel) Electric Summer Peak Demand (kW)]]</f>
        <v>0</v>
      </c>
      <c r="DQ23" s="481">
        <f ca="1">-Tbl_MeasureList[[#This Row],[Low Measure Natural Gas Annual Consumption (therms/yr)]]+Tbl_MeasureList[[#This Row],[Code (old fuel) Natural Gas Annual Consumption (therms/yr)]]</f>
        <v>-1029.7683486238532</v>
      </c>
      <c r="DR23" s="490">
        <f ca="1">-Tbl_MeasureList[[#This Row],[Low Measure Propane Annual Consumption (MMBtu/yr)]]+Tbl_MeasureList[[#This Row],[Code (old fuel) Propane Annual Consumption (MMBtu/yr)]]</f>
        <v>109.50707317073172</v>
      </c>
      <c r="DS23" s="252">
        <f ca="1">-Tbl_MeasureList[[#This Row],[Low Measure Oil Annual Consumption (MMBtu/yr)]]+Tbl_MeasureList[[#This Row],[Code (old fuel) Oil Annual Consumption (MMBtu/yr)]]</f>
        <v>0</v>
      </c>
      <c r="DT23"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6.0798543083463983</v>
      </c>
      <c r="DU23" s="487">
        <f ca="1">-Tbl_MeasureList[[#This Row],[Low Measure Carbon Emissions, Site (tons CO2/yr)]]+Tbl_MeasureList[[#This Row],[Code (old fuel) Carbon Emissions, Site (tons CO2/yr)]]</f>
        <v>1.5865967459163137</v>
      </c>
      <c r="DV23" s="491">
        <f ca="1">-Tbl_MeasureList[[#This Row],[Low Measure Carbon Emissions, Source (tons CO2/yr)]]+Tbl_MeasureList[[#This Row],[Code (old fuel) Carbon Emissions, Source (tons CO2/yr)]]</f>
        <v>1.5399796259163132</v>
      </c>
      <c r="DW23"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(old fuel) Energy Cost (USD/yr)]],
        "-")</f>
        <v>2254.4192636316966</v>
      </c>
      <c r="DX23"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8476</v>
      </c>
      <c r="DY23"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-115</v>
      </c>
      <c r="DZ23"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v>
      </c>
      <c r="EA23"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v>
      </c>
      <c r="EB23"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-1.0431447746883989E-2</v>
      </c>
      <c r="EC23"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0</v>
      </c>
      <c r="ED23"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-1004.4272930648769</v>
      </c>
      <c r="EE23"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109.50707317073172</v>
      </c>
      <c r="EF23"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0</v>
      </c>
      <c r="EG23" s="270">
        <f ca="1">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8.6719638642440202</v>
      </c>
      <c r="EH23"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1.7348419209363248</v>
      </c>
      <c r="EI23"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1.6942285209363241</v>
      </c>
      <c r="EJ23" s="477">
        <f ca="1">Tbl_MeasureList[[#This Row],[Code (old fuel) Energy Cost (USD/yr)]]-Tbl_MeasureList[[#This Row],[Code (new fuel) Energy Cost (USD/yr)]]</f>
        <v>2044.7082858321021</v>
      </c>
      <c r="EK23" s="496">
        <f ca="1">Tbl_MeasureList[[#This Row],[Code (old fuel) Electric Annual Consumption (kWh/yr)]]-Tbl_MeasureList[[#This Row],[Code (new fuel) Electric Annual Consumption (kWh/yr)]]</f>
        <v>-132</v>
      </c>
      <c r="EL23" s="496" t="str">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v>
      </c>
      <c r="EM23" s="496" t="str">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v>
      </c>
      <c r="EN23" s="500">
        <f ca="1">Tbl_MeasureList[[#This Row],[Code (old fuel) Electric Winter Peak Demand (kW)]]-Tbl_MeasureList[[#This Row],[Code (new fuel) Electric Winter Peak Demand (kW)]]</f>
        <v>-1.3039309683604984E-2</v>
      </c>
      <c r="EO23" s="493">
        <f ca="1">Tbl_MeasureList[[#This Row],[Code (old fuel) Electric Summer Peak Demand (kW)]]-Tbl_MeasureList[[#This Row],[Code (new fuel) Electric Summer Peak Demand (kW)]]</f>
        <v>0</v>
      </c>
      <c r="EP23" s="502">
        <f ca="1">Tbl_MeasureList[[#This Row],[Code (old fuel) Natural Gas Annual Consumption (therms/yr)]]-Tbl_MeasureList[[#This Row],[Code (new fuel) Natural Gas Annual Consumption (therms/yr)]]</f>
        <v>-1132.3556116015131</v>
      </c>
      <c r="EQ23" s="215">
        <f ca="1">Tbl_MeasureList[[#This Row],[Code (old fuel) Propane Annual Consumption (MMBtu/yr)]]-Tbl_MeasureList[[#This Row],[Code (new fuel) Propane Annual Consumption (MMBtu/yr)]]</f>
        <v>109.50707317073172</v>
      </c>
      <c r="ER23" s="502">
        <f ca="1">Tbl_MeasureList[[#This Row],[Code (old fuel) Oil Annual Consumption (MMBtu/yr)]]-Tbl_MeasureList[[#This Row],[Code (new fuel) Oil Annual Consumption (MMBtu/yr)]]</f>
        <v>0</v>
      </c>
      <c r="ES23" s="215">
        <f ca="1">Tbl_MeasureList[[#This Row],[Code (old fuel) Energy Consumption on MMBtu Basis (MMBtu/yr)]]-Tbl_MeasureList[[#This Row],[Code (new fuel) Energy Consumption on MMBtu Basis (MMBtu/yr)]]</f>
        <v>-4.1788719894196049</v>
      </c>
      <c r="ET23" s="502">
        <f ca="1">Tbl_MeasureList[[#This Row],[Code (old fuel) Carbon Emissions, Site (tons CO2/yr)]]-Tbl_MeasureList[[#This Row],[Code (new fuel) Carbon Emissions, Site (tons CO2/yr)]]</f>
        <v>0.98646125749700264</v>
      </c>
      <c r="EU23" s="498">
        <f ca="1">Tbl_MeasureList[[#This Row],[Code (old fuel) Carbon Emissions, Source (tons CO2/yr)]]-Tbl_MeasureList[[#This Row],[Code (new fuel) Carbon Emissions, Source (tons CO2/yr)]]</f>
        <v>0.93984413749700213</v>
      </c>
      <c r="EV23" s="450">
        <f ca="1">Tbl_MeasureList[[#This Row],[ER Total Low Measure Electric Annual Consumption Savings (kWh/yr)]]*COAL_BTU_PER_SITE_KWH/Btu_per_MMBtu</f>
        <v>-1.4529616741595279E-2</v>
      </c>
      <c r="EW23" s="411">
        <f ca="1">Tbl_MeasureList[[#This Row],[ER Total Low Measure Electric Annual Consumption Savings (kWh/yr)]]*COAL_LBS_PER_SITE_KWH</f>
        <v>-1.274527784350463</v>
      </c>
      <c r="EX23" s="326">
        <f ca="1">Tbl_MeasureList[[#This Row],[ER Total Low Measure Electric Annual Consumption Savings (kWh/yr)]]*OIL_BTU_PER_SITE_KWH/Btu_per_MMBtu</f>
        <v>-1.6726412886365751E-2</v>
      </c>
      <c r="EY23" s="325">
        <f ca="1">Tbl_MeasureList[[#This Row],[ER Total Low Measure Electric Annual Consumption Savings (kWh/yr)]]*OIL_GAL_PER_SITE_KWH</f>
        <v>-0.12125421643673746</v>
      </c>
      <c r="EZ23" s="326">
        <f ca="1">Tbl_MeasureList[[#This Row],[ER Total Low Measure Oil Annual Consumption Savings (MMBtu/yr)]]*Btu_per_MMBtu/OIL_BTU_PER_GAL</f>
        <v>0</v>
      </c>
      <c r="FA23" s="325">
        <f ca="1">Tbl_MeasureList[[#This Row],[Current ER Total Low Measure Oil Source Fuel Savings (gallons oil/year)]]+Tbl_MeasureList[[#This Row],[Current ER Total Low Measure Oil Site Fuel Savings (gallons oil/year)]]</f>
        <v>-0.12125421643673746</v>
      </c>
      <c r="FB23" s="326">
        <f ca="1">Tbl_MeasureList[[#This Row],[ER Total Low Measure Electric Annual Consumption Savings (kWh/yr)]]*GAS_BTU_PER_SITE_KWH/Btu_per_MMBtu</f>
        <v>-0.54016127446709017</v>
      </c>
      <c r="FC23" s="327">
        <f ca="1">Tbl_MeasureList[[#This Row],[ER Total Low Measure Electric Annual Consumption Savings (kWh/yr)]]*GAS_CUFT_PER_SITE_KWH/1000</f>
        <v>-0.5249380704247717</v>
      </c>
      <c r="FD23" s="328">
        <f ca="1">Tbl_MeasureList[[#This Row],[ER Total Low Measure Natural Gas Annual Consumption Savings (therms/yr)]]*Btu_per_MMBtu/(GAS_BTU_PER_CUFT*Therm_per_MMBtu*1000)</f>
        <v>-100.07466944838224</v>
      </c>
      <c r="FE23" s="329">
        <f ca="1">Tbl_MeasureList[[#This Row],[Current ER Total Low Measure Gas Source Fuel Savings (1,000 cu.ft. gas/year)]]+Tbl_MeasureList[[#This Row],[Current ER Total Low Measure Gas Site Fuel Savings (1,000 cu.ft gas/year)]]</f>
        <v>-100.59960751880701</v>
      </c>
      <c r="FF23" s="324">
        <f ca="1">IFERROR(Tbl_MeasureList[[#This Row],[ER Total High Measure Electric Annual Consumption Savings (kWh/yr)]]*COAL_BTU_PER_SITE_KWH/Btu_per_MMBtu,"-")</f>
        <v>-1.2658378221844372E-2</v>
      </c>
      <c r="FG23" s="325">
        <f ca="1">IFERROR(Tbl_MeasureList[[#This Row],[ER Total High Measure Electric Annual Consumption Savings (kWh/yr)]]*COAL_LBS_PER_SITE_KWH,"-")</f>
        <v>-1.1103840545477519</v>
      </c>
      <c r="FH23" s="326">
        <f ca="1">IFERROR(Tbl_MeasureList[[#This Row],[ER Total High Measure Electric Annual Consumption Savings (kWh/yr)]]*OIL_BTU_PER_SITE_KWH/Btu_per_MMBtu,"-")</f>
        <v>-1.4572253651000464E-2</v>
      </c>
      <c r="FI23" s="325">
        <f ca="1">IFERROR(Tbl_MeasureList[[#This Row],[ER Total High Measure Electric Annual Consumption Savings (kWh/yr)]]*OIL_GAL_PER_SITE_KWH,"-")</f>
        <v>-0.1056381431077637</v>
      </c>
      <c r="FJ23" s="326">
        <f ca="1">IFERROR(Tbl_MeasureList[[#This Row],[ER Total High Measure Oil Annual Consumption Savings (MMBtu/yr)]]*Btu_per_MMBtu/OIL_BTU_PER_GAL,"-")</f>
        <v>0</v>
      </c>
      <c r="FK23" s="325">
        <f ca="1">IFERROR(Tbl_MeasureList[[#This Row],[Current ER Total High Measure Oil Source Fuel Savings (gallons oil/year)]]+Tbl_MeasureList[[#This Row],[Current ER Total High Measure Oil Site Fuel Savings (gallons oil/year)]],"-")</f>
        <v>-0.1056381431077637</v>
      </c>
      <c r="FL23" s="326">
        <f ca="1">IFERROR(Tbl_MeasureList[[#This Row],[ER Total High Measure Electric Annual Consumption Savings (kWh/yr)]]*GAS_BTU_PER_SITE_KWH/Btu_per_MMBtu,"-")</f>
        <v>-0.4705950497251164</v>
      </c>
      <c r="FM23" s="327">
        <f ca="1">IFERROR(Tbl_MeasureList[[#This Row],[ER Total High Measure Electric Annual Consumption Savings (kWh/yr)]]*GAS_CUFT_PER_SITE_KWH/1000,"-")</f>
        <v>-0.45733240983976325</v>
      </c>
      <c r="FN23" s="328">
        <f ca="1">IFERROR(Tbl_MeasureList[[#This Row],[ER Total High Measure Natural Gas Annual Consumption Savings (therms/yr)]]*Btu_per_MMBtu/(GAS_BTU_PER_CUFT*Therm_per_MMBtu*1000),"-")</f>
        <v>-97.611981833321366</v>
      </c>
      <c r="FO23" s="329">
        <f ca="1">IFERROR(Tbl_MeasureList[[#This Row],[Current ER Total High Measure Gas Source Fuel Savings (1,000 cu.ft. gas/year)]]+Tbl_MeasureList[[#This Row],[Current ER Total High Measure Gas Site Fuel Savings (1,000 cu.ft gas/year)]],"-")</f>
        <v>-98.069314243161131</v>
      </c>
      <c r="FP23" s="412">
        <f ca="1">Tbl_MeasureList[[#This Row],[ROF Low Measure Electric Annual Consumption Savings (kWh/yr)]]*COAL_BTU_PER_SITE_KWH/Btu_per_MMBtu</f>
        <v>-1.4529616741595279E-2</v>
      </c>
      <c r="FQ23" s="327">
        <f ca="1">Tbl_MeasureList[[#This Row],[ROF Low Measure Electric Annual Consumption Savings (kWh/yr)]]*COAL_LBS_PER_SITE_KWH</f>
        <v>-1.274527784350463</v>
      </c>
      <c r="FR23" s="412">
        <f ca="1">Tbl_MeasureList[[#This Row],[ROF Low Measure Electric Annual Consumption Savings (kWh/yr)]]*OIL_BTU_PER_SITE_KWH/Btu_per_MMBtu</f>
        <v>-1.6726412886365751E-2</v>
      </c>
      <c r="FS23" s="327">
        <f ca="1">Tbl_MeasureList[[#This Row],[ROF Low Measure Electric Annual Consumption Savings (kWh/yr)]]*OIL_GAL_PER_SITE_KWH</f>
        <v>-0.12125421643673746</v>
      </c>
      <c r="FT23" s="412">
        <f ca="1">Tbl_MeasureList[[#This Row],[ROF Low Measure Oil Annual Consumption Savings (MMBtu/yr)]]*Btu_per_MMBtu/OIL_BTU_PER_GAL</f>
        <v>0</v>
      </c>
      <c r="FU23" s="327">
        <f ca="1">Tbl_MeasureList[[#This Row],[Current ROF Low Measure Oil Source Fuel Savings (gallons oil/year)]]+Tbl_MeasureList[[#This Row],[Current ROF Low Measure Oil Site Fuel Savings (gallons oil/year)]]</f>
        <v>-0.12125421643673746</v>
      </c>
      <c r="FV23" s="412">
        <f ca="1">Tbl_MeasureList[[#This Row],[ROF Low Measure Electric Annual Consumption Savings (kWh/yr)]]*GAS_BTU_PER_SITE_KWH/Btu_per_MMBtu</f>
        <v>-0.54016127446709017</v>
      </c>
      <c r="FW23" s="327">
        <f ca="1">Tbl_MeasureList[[#This Row],[ROF Low Measure Electric Annual Consumption Savings (kWh/yr)]]*GAS_CUFT_PER_SITE_KWH/1000</f>
        <v>-0.5249380704247717</v>
      </c>
      <c r="FX23" s="412">
        <f ca="1">Tbl_MeasureList[[#This Row],[ROF Low Measure Natural Gas Annual Consumption Savings (therms/yr)]]*Btu_per_MMBtu/(GAS_BTU_PER_CUFT*Therm_per_MMBtu*1000)</f>
        <v>-100.07466944838224</v>
      </c>
      <c r="FY23" s="327">
        <f ca="1">Tbl_MeasureList[[#This Row],[Current ROF Low Measure Gas Source Fuel Savings (1,000 cu.ft. gas/year)]]+Tbl_MeasureList[[#This Row],[Current ROF Low Measure Gas Site Fuel Savings (1,000 cu.ft gas/year)]]</f>
        <v>-100.59960751880701</v>
      </c>
      <c r="FZ23" s="414">
        <f ca="1">IFERROR(Tbl_MeasureList[[#This Row],[ROF High Measure Electric Annual Consumption Savings (kWh/yr)]]*COAL_BTU_PER_SITE_KWH/Btu_per_MMBtu,"-")</f>
        <v>-1.2658378221844372E-2</v>
      </c>
      <c r="GA23" s="327">
        <f ca="1">IFERROR(Tbl_MeasureList[[#This Row],[ROF High Measure Electric Annual Consumption Savings (kWh/yr)]]*COAL_LBS_PER_SITE_KWH,"-")</f>
        <v>-1.1103840545477519</v>
      </c>
      <c r="GB23" s="412">
        <f ca="1">IFERROR(Tbl_MeasureList[[#This Row],[ROF High Measure Electric Annual Consumption Savings (kWh/yr)]]*OIL_BTU_PER_SITE_KWH/Btu_per_MMBtu,"-")</f>
        <v>-1.4572253651000464E-2</v>
      </c>
      <c r="GC23" s="327">
        <f ca="1">IFERROR(Tbl_MeasureList[[#This Row],[ROF High Measure Electric Annual Consumption Savings (kWh/yr)]]*OIL_GAL_PER_SITE_KWH,"-")</f>
        <v>-0.1056381431077637</v>
      </c>
      <c r="GD23" s="412">
        <f ca="1">IFERROR(Tbl_MeasureList[[#This Row],[ROF High Measure Oil Annual Consumption Savings (MMBtu/yr)]]*Btu_per_MMBtu/OIL_BTU_PER_GAL,"-")</f>
        <v>0</v>
      </c>
      <c r="GE23" s="327">
        <f ca="1">IFERROR(Tbl_MeasureList[[#This Row],[Current ROF High Measure Oil Source Fuel Savings (gallons oil/year)]]+Tbl_MeasureList[[#This Row],[Current ROF High Measure Oil Site Fuel Savings (gallons oil/year)]],"-")</f>
        <v>-0.1056381431077637</v>
      </c>
      <c r="GF23" s="412">
        <f ca="1">IFERROR(Tbl_MeasureList[[#This Row],[ROF High Measure Electric Annual Consumption Savings (kWh/yr)]]*GAS_BTU_PER_SITE_KWH/Btu_per_MMBtu,"-")</f>
        <v>-0.4705950497251164</v>
      </c>
      <c r="GG23" s="327">
        <f ca="1">IFERROR(Tbl_MeasureList[[#This Row],[ROF High Measure Electric Annual Consumption Savings (kWh/yr)]]*GAS_CUFT_PER_SITE_KWH/1000,"-")</f>
        <v>-0.45733240983976325</v>
      </c>
      <c r="GH23" s="412">
        <f ca="1">IFERROR(Tbl_MeasureList[[#This Row],[ROF High Measure Natural Gas Annual Consumption Savings (therms/yr)]]*Btu_per_MMBtu/(GAS_BTU_PER_CUFT*Therm_per_MMBtu*1000),"-")</f>
        <v>-97.611981833321366</v>
      </c>
      <c r="GI23" s="327">
        <f ca="1">IFERROR(Tbl_MeasureList[[#This Row],[Current ROF High Measure Gas Source Fuel Savings (1,000 cu.ft. gas/year)]]+Tbl_MeasureList[[#This Row],[Current ROF High Measure Gas Site Fuel Savings (1,000 cu.ft gas/year)]],"-")</f>
        <v>-98.069314243161131</v>
      </c>
      <c r="GJ23" s="324">
        <f ca="1">Tbl_MeasureList[[#This Row],[ER Total Low Measure Electric Annual Consumption Savings (kWh/yr)]]*COAL_BTU_PER_SITE_KWH_CES/Btu_per_MMBtu</f>
        <v>-2.4700348460711972E-2</v>
      </c>
      <c r="GK23" s="325">
        <f ca="1">Tbl_MeasureList[[#This Row],[ER Total Low Measure Electric Annual Consumption Savings (kWh/yr)]]*COAL_LBS_PER_SITE_KWH_CES</f>
        <v>-2.2430392717682506</v>
      </c>
      <c r="GL23" s="326">
        <f ca="1">Tbl_MeasureList[[#This Row],[ER Total Low Measure Electric Annual Consumption Savings (kWh/yr)]]*OIL_BTU_PER_SITE_KWH_CES/Btu_per_MMBtu</f>
        <v>-7.602914948348069E-3</v>
      </c>
      <c r="GM23" s="325">
        <f ca="1">Tbl_MeasureList[[#This Row],[ER Total Low Measure Electric Annual Consumption Savings (kWh/yr)]]*OIL_GAL_PER_SITE_KWH_CES</f>
        <v>-5.1293413673548609E-2</v>
      </c>
      <c r="GN23" s="326">
        <f ca="1">Tbl_MeasureList[[#This Row],[ER Total Low Measure Oil Annual Consumption Savings (MMBtu/yr)]]*Btu_per_MMBtu/OIL_BTU_PER_GAL_CES</f>
        <v>0</v>
      </c>
      <c r="GO23" s="325">
        <f ca="1">Tbl_MeasureList[[#This Row],[CES ER Low Measure Oil Source Fuel Savings (gallons oil/year)]]+Tbl_MeasureList[[#This Row],[CES ER Low Measure Oil Site Fuel Savings (gallons oil/year)]]</f>
        <v>-5.1293413673548609E-2</v>
      </c>
      <c r="GP23" s="326">
        <f ca="1">Tbl_MeasureList[[#This Row],[ER Total Low Measure Electric Annual Consumption Savings (kWh/yr)]]*GAS_BTU_PER_SITE_KWH_CES/Btu_per_MMBtu</f>
        <v>-0.22488346936997225</v>
      </c>
      <c r="GQ23" s="327">
        <f ca="1">Tbl_MeasureList[[#This Row],[ER Total Low Measure Electric Annual Consumption Savings (kWh/yr)]]*GAS_CUFT_PER_SITE_KWH_CES/1000</f>
        <v>-0.21833346540774004</v>
      </c>
      <c r="GR23" s="328">
        <f ca="1">Tbl_MeasureList[[#This Row],[ER Total Low Measure Natural Gas Annual Consumption Savings (therms/yr)]]*Btu_per_MMBtu/(GAS_BTU_PER_CUFT_CES*Therm_per_MMBtu*1000)</f>
        <v>-99.977509575131378</v>
      </c>
      <c r="GS23" s="329">
        <f ca="1">Tbl_MeasureList[[#This Row],[CES ER Low Measure Gas Source Fuel Savings (1,000 cu.ft. gas/year)]]+Tbl_MeasureList[[#This Row],[CES ER Low Measure Gas Site Fuel Savings (1,000 cu.ft gas/year)]]</f>
        <v>-100.19584304053912</v>
      </c>
      <c r="GT23" s="324">
        <f ca="1">IFERROR(Tbl_MeasureList[[#This Row],[ER Total High Measure Electric Annual Consumption Savings (kWh/yr)]]*COAL_BTU_PER_SITE_KWH_CES/Btu_per_MMBtu,"-")</f>
        <v>-2.1519242977135429E-2</v>
      </c>
      <c r="GU23" s="325">
        <f ca="1">IFERROR(Tbl_MeasureList[[#This Row],[ER Total High Measure Electric Annual Consumption Savings (kWh/yr)]]*COAL_LBS_PER_SITE_KWH_CES,"-")</f>
        <v>-1.954163001919309</v>
      </c>
      <c r="GV23" s="326">
        <f ca="1">IFERROR(Tbl_MeasureList[[#This Row],[ER Total High Measure Electric Annual Consumption Savings (kWh/yr)]]*OIL_BTU_PER_SITE_KWH_CES/Btu_per_MMBtu,"-")</f>
        <v>-6.6237516595456652E-3</v>
      </c>
      <c r="GW23" s="325">
        <f ca="1">IFERROR(Tbl_MeasureList[[#This Row],[ER Total High Measure Electric Annual Consumption Savings (kWh/yr)]]*OIL_GAL_PER_SITE_KWH_CES,"-")</f>
        <v>-4.4687443730743105E-2</v>
      </c>
      <c r="GX23" s="326">
        <f ca="1">IFERROR(Tbl_MeasureList[[#This Row],[ER Total High Measure Oil Annual Consumption Savings (MMBtu/yr)]]*Btu_per_MMBtu/OIL_BTU_PER_GAL_CES,"-")</f>
        <v>0</v>
      </c>
      <c r="GY23" s="325">
        <f ca="1">IFERROR(Tbl_MeasureList[[#This Row],[CES ER High Measure Oil Source Fuel Savings (gallons oil/year)]]+Tbl_MeasureList[[#This Row],[CES ER High Measure Oil Site Fuel Savings (gallons oil/year)]],"-")</f>
        <v>-4.4687443730743105E-2</v>
      </c>
      <c r="GZ23" s="326">
        <f ca="1">IFERROR(Tbl_MeasureList[[#This Row],[ER Total High Measure Electric Annual Consumption Savings (kWh/yr)]]*GAS_BTU_PER_SITE_KWH_CES/Btu_per_MMBtu,"-")</f>
        <v>-0.1959212043753546</v>
      </c>
      <c r="HA23" s="327">
        <f ca="1">IFERROR(Tbl_MeasureList[[#This Row],[ER Total High Measure Electric Annual Consumption Savings (kWh/yr)]]*GAS_CUFT_PER_SITE_KWH_CES/1000,"-")</f>
        <v>-0.19021476152947048</v>
      </c>
      <c r="HB23" s="328">
        <f ca="1">IFERROR(Tbl_MeasureList[[#This Row],[ER Total High Measure Natural Gas Annual Consumption Savings (therms/yr)]]*Btu_per_MMBtu/(GAS_BTU_PER_CUFT_CES*Therm_per_MMBtu*1000),"-")</f>
        <v>-97.517212918920094</v>
      </c>
      <c r="HC23" s="329">
        <f ca="1">IFERROR(Tbl_MeasureList[[#This Row],[CES ER High Measure Gas Source Fuel Savings (1,000 cu.ft. gas/year)]]+Tbl_MeasureList[[#This Row],[CES ER High Measure Gas Site Fuel Savings (1,000 cu.ft gas/year)]],"-")</f>
        <v>-97.70742768044957</v>
      </c>
      <c r="HD23" s="315">
        <f ca="1">Tbl_MeasureList[[#This Row],[ROF Low Measure Electric Annual Consumption Savings (kWh/yr)]]*COAL_BTU_PER_SITE_KWH_CES/Btu_per_MMBtu</f>
        <v>-2.4700348460711972E-2</v>
      </c>
      <c r="HE23" s="316">
        <f ca="1">Tbl_MeasureList[[#This Row],[ROF Low Measure Electric Annual Consumption Savings (kWh/yr)]]*COAL_LBS_PER_SITE_KWH_CES</f>
        <v>-2.2430392717682506</v>
      </c>
      <c r="HF23" s="317">
        <f ca="1">Tbl_MeasureList[[#This Row],[ROF Low Measure Electric Annual Consumption Savings (kWh/yr)]]*OIL_BTU_PER_SITE_KWH_CES/Btu_per_MMBtu</f>
        <v>-7.602914948348069E-3</v>
      </c>
      <c r="HG23" s="316">
        <f ca="1">Tbl_MeasureList[[#This Row],[ROF Low Measure Electric Annual Consumption Savings (kWh/yr)]]*OIL_GAL_PER_SITE_KWH_CES</f>
        <v>-5.1293413673548609E-2</v>
      </c>
      <c r="HH23" s="317">
        <f ca="1">Tbl_MeasureList[[#This Row],[ROF Low Measure Oil Annual Consumption Savings (MMBtu/yr)]]*Btu_per_MMBtu/OIL_BTU_PER_GAL_CES</f>
        <v>0</v>
      </c>
      <c r="HI23" s="316">
        <f ca="1">Tbl_MeasureList[[#This Row],[CES ROF Low Measure Oil Source Fuel Savings (gallons oil/year)]]+Tbl_MeasureList[[#This Row],[CES ROF Low Measure Oil Site Fuel Savings (gallons oil/year)]]</f>
        <v>-5.1293413673548609E-2</v>
      </c>
      <c r="HJ23" s="317">
        <f ca="1">Tbl_MeasureList[[#This Row],[ROF Low Measure Electric Annual Consumption Savings (kWh/yr)]]*GAS_BTU_PER_SITE_KWH_CES/Btu_per_MMBtu</f>
        <v>-0.22488346936997225</v>
      </c>
      <c r="HK23" s="316">
        <f ca="1">Tbl_MeasureList[[#This Row],[ROF Low Measure Electric Annual Consumption Savings (kWh/yr)]]*GAS_CUFT_PER_SITE_KWH_CES/1000</f>
        <v>-0.21833346540774004</v>
      </c>
      <c r="HL23" s="317">
        <f ca="1">Tbl_MeasureList[[#This Row],[ROF Low Measure Natural Gas Annual Consumption Savings (therms/yr)]]*Btu_per_MMBtu/(GAS_BTU_PER_CUFT_CES*Therm_per_MMBtu*1000)</f>
        <v>-99.977509575131378</v>
      </c>
      <c r="HM23" s="318">
        <f ca="1">Tbl_MeasureList[[#This Row],[CES ROF Low Measure Gas Source Fuel Savings (1,000 cu.ft. gas/year)]]+Tbl_MeasureList[[#This Row],[CES ROF Low Measure Gas Site Fuel Savings (1,000 cu.ft gas/year)]]</f>
        <v>-100.19584304053912</v>
      </c>
      <c r="HN23" s="315">
        <f ca="1">IFERROR(Tbl_MeasureList[[#This Row],[ROF High Measure Electric Annual Consumption Savings (kWh/yr)]]*COAL_BTU_PER_SITE_KWH_CES/Btu_per_MMBtu,"-")</f>
        <v>-2.1519242977135429E-2</v>
      </c>
      <c r="HO23" s="316">
        <f ca="1">IFERROR(Tbl_MeasureList[[#This Row],[ROF High Measure Electric Annual Consumption Savings (kWh/yr)]]*COAL_LBS_PER_SITE_KWH_CES,"-")</f>
        <v>-1.954163001919309</v>
      </c>
      <c r="HP23" s="317">
        <f ca="1">IFERROR(Tbl_MeasureList[[#This Row],[ROF High Measure Electric Annual Consumption Savings (kWh/yr)]]*OIL_BTU_PER_SITE_KWH_CES/Btu_per_MMBtu,"-")</f>
        <v>-6.6237516595456652E-3</v>
      </c>
      <c r="HQ23" s="316">
        <f ca="1">IFERROR(Tbl_MeasureList[[#This Row],[ROF High Measure Electric Annual Consumption Savings (kWh/yr)]]*OIL_GAL_PER_SITE_KWH_CES,"-")</f>
        <v>-4.4687443730743105E-2</v>
      </c>
      <c r="HR23" s="317">
        <f ca="1">IFERROR(Tbl_MeasureList[[#This Row],[ROF High Measure Oil Annual Consumption Savings (MMBtu/yr)]]*Btu_per_MMBtu/OIL_BTU_PER_GAL_CES,"-")</f>
        <v>0</v>
      </c>
      <c r="HS23" s="316">
        <f ca="1">IFERROR(Tbl_MeasureList[[#This Row],[CES ROF High Measure Oil Source Fuel Savings (gallons oil/year)]]+Tbl_MeasureList[[#This Row],[CES ROF High Measure Oil Site Fuel Savings (gallons oil/year)]],"-")</f>
        <v>-4.4687443730743105E-2</v>
      </c>
      <c r="HT23" s="317">
        <f ca="1">IFERROR(Tbl_MeasureList[[#This Row],[ROF High Measure Electric Annual Consumption Savings (kWh/yr)]]*GAS_BTU_PER_SITE_KWH_CES/Btu_per_MMBtu,"-")</f>
        <v>-0.1959212043753546</v>
      </c>
      <c r="HU23" s="316">
        <f ca="1">IFERROR(Tbl_MeasureList[[#This Row],[ROF High Measure Electric Annual Consumption Savings (kWh/yr)]]*GAS_CUFT_PER_SITE_KWH_CES/1000,"-")</f>
        <v>-0.19021476152947048</v>
      </c>
      <c r="HV23" s="317">
        <f ca="1">IFERROR(Tbl_MeasureList[[#This Row],[ROF High Measure Natural Gas Annual Consumption Savings (therms/yr)]]*Btu_per_MMBtu/(GAS_BTU_PER_CUFT_CES*Therm_per_MMBtu*1000),"-")</f>
        <v>-97.517212918920094</v>
      </c>
      <c r="HW23" s="318">
        <f ca="1">IFERROR(Tbl_MeasureList[[#This Row],[CES ROF High Measure Gas Source Fuel Savings (1,000 cu.ft. gas/year)]]+Tbl_MeasureList[[#This Row],[CES ROF High Measure Gas Site Fuel Savings (1,000 cu.ft gas/year)]],"-")</f>
        <v>-97.70742768044957</v>
      </c>
      <c r="HX23" s="248">
        <f>Tbl_MeasureList[[#This Row],[Baseline Energy Cost (USD/yr)]]-Tbl_MeasureList[[#This Row],[Code (old fuel) Energy Cost (USD/yr)]]</f>
        <v>367.38558148556513</v>
      </c>
      <c r="HY23" s="201">
        <f>0</f>
        <v>0</v>
      </c>
      <c r="HZ23" s="86">
        <f>Tbl_MeasureList[[#This Row],[Baseline Electric Annual Consumption (kWh/yr)]]-Tbl_MeasureList[[#This Row],[Code (old fuel) Electric Annual Consumption (kWh/yr)]]</f>
        <v>0</v>
      </c>
      <c r="IA23" s="86" t="str">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v>
      </c>
      <c r="IB23" s="86" t="str">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v>
      </c>
      <c r="IC23" s="152">
        <f>Tbl_MeasureList[[#This Row],[Baseline Electric Winter Peak Demand (kW)]]-Tbl_MeasureList[[#This Row],[Code (old fuel) Electric Winter Peak Demand (kW)]]</f>
        <v>-7.2099712368168742E-3</v>
      </c>
      <c r="ID23" s="152">
        <f>Tbl_MeasureList[[#This Row],[Baseline Electric Summer Peak Demand (kW)]]-Tbl_MeasureList[[#This Row],[Code (old fuel) Electric Summer Peak Demand (kW)]]</f>
        <v>0</v>
      </c>
      <c r="IE23" s="251">
        <f>Tbl_MeasureList[[#This Row],[Baseline Natural Gas Annual Consumption (therms/yr)]]-Tbl_MeasureList[[#This Row],[Code (old fuel) Natural Gas Annual Consumption (therms/yr)]]</f>
        <v>0</v>
      </c>
      <c r="IF23" s="252">
        <f>Tbl_MeasureList[[#This Row],[Baseline Propane Annual Consumption (MMBtu/yr)]]-Tbl_MeasureList[[#This Row],[Code (old fuel) Propane Annual Consumption (MMBtu/yr)]]</f>
        <v>10.220660162601618</v>
      </c>
      <c r="IG23" s="253">
        <f>Tbl_MeasureList[[#This Row],[Baseline Oil Annual Consumption (MMBtu/yr)]]-Tbl_MeasureList[[#This Row],[Code (old fuel) Oil Annual Consumption (MMBtu/yr)]]</f>
        <v>0</v>
      </c>
      <c r="IH23" s="371">
        <f>Tbl_MeasureList[[#This Row],[Baseline Energy Consumption on MMBtu Basis (MMBtu/yr)]]-Tbl_MeasureList[[#This Row],[Code (old fuel) Energy Consumption on MMBtu Basis (MMBtu/yr)]]</f>
        <v>10.220660162601618</v>
      </c>
      <c r="II23" s="371">
        <f>Tbl_MeasureList[[#This Row],[Baseline Carbon Emissions, Site (tons CO2/yr)]]-Tbl_MeasureList[[#This Row],[Code (old fuel) Carbon Emissions, Site (tons CO2/yr)]]</f>
        <v>0.71033588130081249</v>
      </c>
      <c r="IJ23" s="279">
        <f>Tbl_MeasureList[[#This Row],[Baseline Carbon Emissions, Source (tons CO2/yr)]]-Tbl_MeasureList[[#This Row],[Code (old fuel) Carbon Emissions, Source (tons CO2/yr)]]</f>
        <v>0.71033588130081426</v>
      </c>
      <c r="IK23" s="273">
        <f ca="1">Tbl_MeasureList[[#This Row],[Code (new fuel) Energy Cost (USD/yr)]]-Tbl_MeasureList[[#This Row],[Low Measure Energy Cost (USD/yr)]]</f>
        <v>165.47325518296566</v>
      </c>
      <c r="IL23"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14013.654848329992</v>
      </c>
      <c r="IM23" s="85">
        <f ca="1">Tbl_MeasureList[[#This Row],[Code (old fuel) Electric Annual Consumption (kWh/yr)]]-Tbl_MeasureList[[#This Row],[Low Measure Electric Annual Consumption (kWh/yr)]]</f>
        <v>-132</v>
      </c>
      <c r="IN23" s="85" t="str">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v>
      </c>
      <c r="IO23" s="85" t="str">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v>
      </c>
      <c r="IP23" s="152">
        <f ca="1">Tbl_MeasureList[[#This Row],[Code (old fuel) Electric Winter Peak Demand (kW)]]-Tbl_MeasureList[[#This Row],[Low Measure Electric Winter Peak Demand (kW)]]</f>
        <v>-1.3039309683604984E-2</v>
      </c>
      <c r="IQ23" s="152">
        <f ca="1">Tbl_MeasureList[[#This Row],[Code (old fuel) Electric Summer Peak Demand (kW)]]-Tbl_MeasureList[[#This Row],[Low Measure Electric Summer Peak Demand (kW)]]</f>
        <v>0</v>
      </c>
      <c r="IR23" s="204">
        <f ca="1">Tbl_MeasureList[[#This Row],[Code (old fuel) Natural Gas Annual Consumption (therms/yr)]]-Tbl_MeasureList[[#This Row],[Low Measure Natural Gas Annual Consumption (therms/yr)]]</f>
        <v>-1029.7683486238532</v>
      </c>
      <c r="IS23" s="153">
        <f ca="1">Tbl_MeasureList[[#This Row],[Code (old fuel) Propane Annual Consumption (MMBtu/yr)]]-Tbl_MeasureList[[#This Row],[Low Measure Propane Annual Consumption (MMBtu/yr)]]</f>
        <v>109.50707317073172</v>
      </c>
      <c r="IT23" s="204">
        <f ca="1">Tbl_MeasureList[[#This Row],[Code (old fuel) Oil Annual Consumption (MMBtu/yr)]]-Tbl_MeasureList[[#This Row],[Low Measure Oil Annual Consumption (MMBtu/yr)]]</f>
        <v>0</v>
      </c>
      <c r="IU23" s="204">
        <f ca="1">Tbl_MeasureList[[#This Row],[Code (old fuel) Energy Consumption on MMBtu Basis (MMBtu/yr)]]-Tbl_MeasureList[[#This Row],[Low Measure Energy Consumption on MMBtu Basis (MMBtu/yr)]]</f>
        <v>6.0798543083463983</v>
      </c>
      <c r="IV23" s="204">
        <f ca="1">Tbl_MeasureList[[#This Row],[Code (old fuel) Carbon Emissions, Site (tons CO2/yr)]]-Tbl_MeasureList[[#This Row],[Low Measure Carbon Emissions, Site (tons CO2/yr)]]</f>
        <v>1.5865967459163137</v>
      </c>
      <c r="IW23" s="260">
        <f ca="1">Tbl_MeasureList[[#This Row],[Code (old fuel) Carbon Emissions, Source (tons CO2/yr)]]-Tbl_MeasureList[[#This Row],[Low Measure Carbon Emissions, Source (tons CO2/yr)]]</f>
        <v>1.5399796259163132</v>
      </c>
      <c r="IX23" s="27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2254.4192636316966</v>
      </c>
      <c r="IY23" s="20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14274.654848329992</v>
      </c>
      <c r="IZ23"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-115</v>
      </c>
      <c r="JA23" s="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v>
      </c>
      <c r="JB23" s="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v>
      </c>
      <c r="JC23"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-1.0431447746883989E-2</v>
      </c>
      <c r="JD23"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0</v>
      </c>
      <c r="JE23"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-1004.4272930648769</v>
      </c>
      <c r="JF23" s="1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109.50707317073172</v>
      </c>
      <c r="JG23"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0</v>
      </c>
      <c r="JH23"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8.6719638642440202</v>
      </c>
      <c r="JI23"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1.7348419209363248</v>
      </c>
      <c r="JJ23"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1.6942285209363241</v>
      </c>
      <c r="JK23" s="432">
        <f>Tbl_MeasureList[[#This Row],[ER (Retire) Electric Annual Consumption Savings (kWh/yr)]]*COAL_BTU_PER_SITE_KWH/Btu_per_MMBtu</f>
        <v>0</v>
      </c>
      <c r="JL23" s="428">
        <f>Tbl_MeasureList[[#This Row],[ER (Retire) Electric Annual Consumption Savings (kWh/yr)]]*COAL_LBS_PER_SITE_KWH</f>
        <v>0</v>
      </c>
      <c r="JM23" s="427">
        <f>Tbl_MeasureList[[#This Row],[ER (Retire) Electric Annual Consumption Savings (kWh/yr)]]*OIL_BTU_PER_SITE_KWH/Btu_per_MMBtu</f>
        <v>0</v>
      </c>
      <c r="JN23" s="428">
        <f>Tbl_MeasureList[[#This Row],[ER (Retire) Electric Annual Consumption Savings (kWh/yr)]]*OIL_GAL_PER_SITE_KWH</f>
        <v>0</v>
      </c>
      <c r="JO23" s="427">
        <f>Tbl_MeasureList[[#This Row],[ER (Retire) Oil Annual Consumption Savings (MMBtu/yr)]]*Btu_per_MMBtu/OIL_BTU_PER_GAL</f>
        <v>0</v>
      </c>
      <c r="JP23" s="428">
        <f ca="1">Tbl_MeasureList[[#This Row],[Current ER (Retire) Oil Source Fuel Savings (gallons oil/year)]]+Tbl_MeasureList[[#This Row],[Current ER Total Low Measure Oil Site Fuel Savings (gallons oil/year)]]</f>
        <v>0</v>
      </c>
      <c r="JQ23" s="427">
        <f>Tbl_MeasureList[[#This Row],[ER (Retire) Electric Annual Consumption Savings (kWh/yr)]]*GAS_BTU_PER_SITE_KWH/Btu_per_MMBtu</f>
        <v>0</v>
      </c>
      <c r="JR23" s="429">
        <f>Tbl_MeasureList[[#This Row],[ER (Retire) Electric Annual Consumption Savings (kWh/yr)]]*GAS_CUFT_PER_SITE_KWH/1000</f>
        <v>0</v>
      </c>
      <c r="JS23" s="430">
        <f>Tbl_MeasureList[[#This Row],[ER (Retire) Natural Gas Annual Consumption Savings (therms/yr)]]*Btu_per_MMBtu/(GAS_BTU_PER_CUFT*Therm_per_MMBtu*1000)</f>
        <v>0</v>
      </c>
      <c r="JT23" s="431">
        <f ca="1">Tbl_MeasureList[[#This Row],[Current ER (Retire) Gas Source Fuel Savings (1,000 cu.ft. gas/year)]]+Tbl_MeasureList[[#This Row],[Current ER Total Low Measure Gas Site Fuel Savings (1,000 cu.ft gas/year)]]</f>
        <v>-100.07466944838224</v>
      </c>
      <c r="JU23" s="432">
        <f ca="1">Tbl_MeasureList[[#This Row],[ER (EE) Low Measure Electric Annual Consumption Savings (kWh/yr)]]*COAL_BTU_PER_SITE_KWH/Btu_per_MMBtu</f>
        <v>-1.4529616741595279E-2</v>
      </c>
      <c r="JV23" s="428">
        <f ca="1">Tbl_MeasureList[[#This Row],[ER (EE) Low Measure Electric Annual Consumption Savings (kWh/yr)]]*COAL_LBS_PER_SITE_KWH</f>
        <v>-1.274527784350463</v>
      </c>
      <c r="JW23" s="427">
        <f ca="1">Tbl_MeasureList[[#This Row],[ER (EE) Low Measure Electric Annual Consumption Savings (kWh/yr)]]*OIL_BTU_PER_SITE_KWH/Btu_per_MMBtu</f>
        <v>-1.6726412886365751E-2</v>
      </c>
      <c r="JX23" s="428">
        <f ca="1">Tbl_MeasureList[[#This Row],[ER (EE) Low Measure Electric Annual Consumption Savings (kWh/yr)]]*OIL_GAL_PER_SITE_KWH</f>
        <v>-0.12125421643673746</v>
      </c>
      <c r="JY23" s="427">
        <f ca="1">Tbl_MeasureList[[#This Row],[ER (EE) Low Measure Oil Annual Consumption Savings (MMBtu/yr)]]*Btu_per_MMBtu/OIL_BTU_PER_GAL</f>
        <v>0</v>
      </c>
      <c r="JZ23" s="428">
        <f ca="1">Tbl_MeasureList[[#This Row],[Current ER (EE) Low Measure Oil Source Fuel Savings (gallons oil/year)]]+Tbl_MeasureList[[#This Row],[Current ER (EE) Low Measure Oil Site Fuel Savings (gallons oil/year)]]</f>
        <v>-0.12125421643673746</v>
      </c>
      <c r="KA23" s="427">
        <f ca="1">Tbl_MeasureList[[#This Row],[ER (EE) Low Measure Electric Annual Consumption Savings (kWh/yr)]]*GAS_BTU_PER_SITE_KWH/Btu_per_MMBtu</f>
        <v>-0.54016127446709017</v>
      </c>
      <c r="KB23" s="429">
        <f ca="1">Tbl_MeasureList[[#This Row],[ER (EE) Low Measure Electric Annual Consumption Savings (kWh/yr)]]*GAS_CUFT_PER_SITE_KWH/1000</f>
        <v>-0.5249380704247717</v>
      </c>
      <c r="KC23" s="430">
        <f ca="1">Tbl_MeasureList[[#This Row],[ER (EE) Low Measure Natural Gas Annual Consumption Savings (therms/yr)]]*Btu_per_MMBtu/(GAS_BTU_PER_CUFT*Therm_per_MMBtu*1000)</f>
        <v>-100.07466944838224</v>
      </c>
      <c r="KD23" s="431">
        <f ca="1">Tbl_MeasureList[[#This Row],[Current ER (EE) Low Measure Gas Source Fuel Savings (1,000 cu.ft. gas/year)]]+Tbl_MeasureList[[#This Row],[Current ER (EE) Low Measure Gas Site Fuel Savings (1,000 cu.ft gas/year)]]</f>
        <v>-100.59960751880701</v>
      </c>
      <c r="KE23" s="432">
        <f ca="1">IFERROR(Tbl_MeasureList[[#This Row],[ER (EE) High Measure Electric Annual Consumption Savings (kWh/yr)]]*COAL_BTU_PER_SITE_KWH/Btu_per_MMBtu,"-")</f>
        <v>-1.2658378221844372E-2</v>
      </c>
      <c r="KF23" s="428">
        <f ca="1">IFERROR(Tbl_MeasureList[[#This Row],[ER (EE) High Measure Electric Annual Consumption Savings (kWh/yr)]]*COAL_LBS_PER_SITE_KWH,"-")</f>
        <v>-1.1103840545477519</v>
      </c>
      <c r="KG23" s="427">
        <f ca="1">IFERROR(Tbl_MeasureList[[#This Row],[ER (EE) High Measure Electric Annual Consumption Savings (kWh/yr)]]*OIL_BTU_PER_SITE_KWH/Btu_per_MMBtu,"-")</f>
        <v>-1.4572253651000464E-2</v>
      </c>
      <c r="KH23" s="428">
        <f ca="1">IFERROR(Tbl_MeasureList[[#This Row],[ER (EE) High Measure Electric Annual Consumption Savings (kWh/yr)]]*OIL_GAL_PER_SITE_KWH,"-")</f>
        <v>-0.1056381431077637</v>
      </c>
      <c r="KI23" s="427">
        <f ca="1">IFERROR(Tbl_MeasureList[[#This Row],[ER (EE) High Measure Oil Annual Consumption Savings (MMBtu/yr)]]*Btu_per_MMBtu/OIL_BTU_PER_GAL,"-")</f>
        <v>0</v>
      </c>
      <c r="KJ23" s="428">
        <f ca="1">IFERROR(Tbl_MeasureList[[#This Row],[Current ER (EE) High Measure Oil Source Fuel Savings (gallons oil/year)]]+Tbl_MeasureList[[#This Row],[Current ER (EE) High Measure Oil Site Fuel Savings (gallons oil/year)]],"-")</f>
        <v>-0.1056381431077637</v>
      </c>
      <c r="KK23" s="427">
        <f ca="1">IFERROR(Tbl_MeasureList[[#This Row],[ER (EE) High Measure Electric Annual Consumption Savings (kWh/yr)]]*GAS_BTU_PER_SITE_KWH/Btu_per_MMBtu,"-")</f>
        <v>-0.4705950497251164</v>
      </c>
      <c r="KL23" s="429">
        <f ca="1">IFERROR(Tbl_MeasureList[[#This Row],[ER (EE) High Measure Electric Annual Consumption Savings (kWh/yr)]]*GAS_CUFT_PER_SITE_KWH/1000,"-")</f>
        <v>-0.45733240983976325</v>
      </c>
      <c r="KM23" s="430">
        <f ca="1">IFERROR(Tbl_MeasureList[[#This Row],[ER (EE) High Measure Natural Gas Annual Consumption Savings (therms/yr)]]*Btu_per_MMBtu/(GAS_BTU_PER_CUFT*Therm_per_MMBtu*1000),"-")</f>
        <v>-97.611981833321366</v>
      </c>
      <c r="KN23" s="431">
        <f ca="1">IFERROR(Tbl_MeasureList[[#This Row],[Current ER (EE) High Measure Gas Source Fuel Savings (1,000 cu.ft. gas/year)]]+Tbl_MeasureList[[#This Row],[Current ER (EE) High Measure Gas Site Fuel Savings (1,000 cu.ft gas/year)]],"-")</f>
        <v>-98.069314243161131</v>
      </c>
    </row>
    <row r="24" spans="2:300" x14ac:dyDescent="0.2">
      <c r="B24" s="16"/>
      <c r="C24" s="2" t="s">
        <v>98</v>
      </c>
      <c r="D24" s="12" t="str">
        <f>INDEX(Tbl_BaselineSummary[Equipment ID],MATCH(Tbl_MeasureList[[#This Row],[Baseline ID]],Tbl_BaselineSummary[Baseline ID],0))</f>
        <v>EQUI003</v>
      </c>
      <c r="E24" s="11" t="str">
        <f>INDEX(Tbl_EquipmentDefinitions[Equipment Name],MATCH('Measure List'!$D24,Tbl_EquipmentDefinitions[Equipment ID],0))</f>
        <v>Oil Furnace</v>
      </c>
      <c r="F24" s="3" t="s">
        <v>229</v>
      </c>
      <c r="G24" s="11" t="str">
        <f>INDEX(Tbl_EquipmentDefinitions[Function],MATCH('Measure List'!$D24,Tbl_EquipmentDefinitions[Equipment ID],0))</f>
        <v>Heat</v>
      </c>
      <c r="H24" s="3" t="s">
        <v>111</v>
      </c>
      <c r="I24" s="3" t="s">
        <v>43</v>
      </c>
      <c r="J24" s="11" t="str">
        <f>INDEX(Tbl_EquipmentDefinitions[Equipment Name],MATCH('Measure List'!$I24,Tbl_EquipmentDefinitions[Equipment ID],0))</f>
        <v>Gas Furnace</v>
      </c>
      <c r="K24" s="11">
        <f>INDEX(Tbl_EquipmentDefinitions[],MATCH(Tbl_MeasureList[[#This Row],[Replacement ID]],Tbl_EquipmentDefinitions[[Equipment ID]:[Equipment ID]],0),MATCH(Tbl_MeasureList[[#Headers],[New Unit Equipment Life (years)]],Tbl_EquipmentDefinitions[#Headers],0))</f>
        <v>17</v>
      </c>
      <c r="L24" s="11">
        <f>INDEX(Tbl_EquipmentDefinitions[],MATCH(Tbl_MeasureList[[#This Row],[Baseline Equipment ID]],Tbl_EquipmentDefinitions[[Equipment ID]:[Equipment ID]],0),MATCH(Tbl_MeasureList[[#Headers],[Remaining Life for Early Replacement (years)]],Tbl_EquipmentDefinitions[#Headers],0))</f>
        <v>6</v>
      </c>
      <c r="M24" s="12" t="str">
        <f>INDEX(Tbl_EquipmentDefinitions[Function],MATCH('Measure List'!$I24,Tbl_EquipmentDefinitions[Equipment ID],0))</f>
        <v>Heat</v>
      </c>
      <c r="N24" s="368" t="s">
        <v>118</v>
      </c>
      <c r="O24" s="14" t="str">
        <f t="shared" si="0"/>
        <v>OK</v>
      </c>
      <c r="P24" s="12" t="str">
        <f ca="1">IFERROR(INDIRECT(Tbl_MeasureList[[#This Row],[Measure ID]]&amp;"!D5"),"No tab")</f>
        <v>3. Ready</v>
      </c>
      <c r="Q24" s="11"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Oil</v>
      </c>
      <c r="R24" s="12"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v>
      </c>
      <c r="S24" s="11"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Natural Gas</v>
      </c>
      <c r="T24" s="247"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v>
      </c>
      <c r="U24" s="248">
        <f>INDEX(Tbl_BaselineSummary[Baseline Annual Energy Cost (USD)],MATCH(Tbl_MeasureList[[#This Row],[Baseline ID]],Tbl_BaselineSummary[Baseline ID],0))</f>
        <v>2021.2027783511851</v>
      </c>
      <c r="V24" s="249">
        <f>INDEX(Tbl_BaselineSummary[Baseline Electric Annual Consumption  (kWh)],MATCH(Tbl_MeasureList[[#This Row],[Baseline ID]],Tbl_BaselineSummary[Baseline ID],0))</f>
        <v>374.55</v>
      </c>
      <c r="W24" s="249">
        <f>INDEX(Tbl_BaselineSummary[Baseline Electric Winter Consumption (kWh)],MATCH(Tbl_MeasureList[[#This Row],[Baseline ID]],Tbl_BaselineSummary[Baseline ID],0))</f>
        <v>374.55</v>
      </c>
      <c r="X24" s="249">
        <f>INDEX(Tbl_BaselineSummary[Baseline Electric Summer Consumption (kWh)],MATCH(Tbl_MeasureList[[#This Row],[Baseline ID]],Tbl_BaselineSummary[Baseline ID],0))</f>
        <v>0</v>
      </c>
      <c r="Y24" s="250">
        <f>INDEX(Tbl_BaselineSummary[Baseline Electric Baseline Winter Peak Demand (kW)],MATCH(Tbl_MeasureList[[#This Row],[Baseline ID]],Tbl_BaselineSummary[Baseline ID],0))</f>
        <v>5.7457334611697032E-2</v>
      </c>
      <c r="Z24" s="452">
        <f>INDEX(Tbl_BaselineSummary[Baseline Electric Baseline Summer Peak Demand (kW)],MATCH(Tbl_MeasureList[[#This Row],[Baseline ID]],Tbl_BaselineSummary[Baseline ID],0))</f>
        <v>0</v>
      </c>
      <c r="AA24" s="458">
        <f>INDEX(Tbl_BaselineSummary[Baseline Natural Gas Annual Consumption  (therms)],MATCH(Tbl_MeasureList[[#This Row],[Baseline ID]],Tbl_BaselineSummary[Baseline ID],0))</f>
        <v>0</v>
      </c>
      <c r="AB24" s="455">
        <f>INDEX(Tbl_BaselineSummary[Baseline Propane Annual Consumption  (MMBtu)],MATCH(Tbl_MeasureList[[#This Row],[Baseline ID]],Tbl_BaselineSummary[Baseline ID],0))</f>
        <v>0</v>
      </c>
      <c r="AC24" s="252">
        <f>INDEX(Tbl_BaselineSummary[Baseline Oil Annual Consumption  (MMBtu)],MATCH(Tbl_MeasureList[[#This Row],[Baseline ID]],Tbl_BaselineSummary[Baseline ID],0))</f>
        <v>86.692015209125472</v>
      </c>
      <c r="AD24" s="371">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87.969979809125476</v>
      </c>
      <c r="AE24" s="460">
        <f>(lbCO2_per_Therm_Gas*Tbl_MeasureList[[#This Row],[Baseline Natural Gas Annual Consumption (therms/yr)]]+lbCO2_per_MMBtu_Prop*Tbl_MeasureList[[#This Row],[Baseline Propane Annual Consumption (MMBtu/yr)]]+lbCO2_per_MMBtu_Oil*Tbl_MeasureList[[#This Row],[Baseline Oil Annual Consumption (MMBtu/yr)]])*Lbs_per_ShortTon</f>
        <v>6.9917110266159703</v>
      </c>
      <c r="AF24" s="463">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7.1239871046159697</v>
      </c>
      <c r="AG24" s="465">
        <f>INDEX(Tbl_BaselineSummary[Code Annual Energy Cost (USD)],MATCH(Tbl_MeasureList[[#This Row],[Baseline ID]],Tbl_BaselineSummary[Baseline ID],0))</f>
        <v>1924.6144108543197</v>
      </c>
      <c r="AH24" s="468">
        <f>INDEX(Tbl_BaselineSummary[Deferred Replacement Credit (USD)],MATCH(Tbl_MeasureList[[#This Row],[Baseline ID]],Tbl_BaselineSummary[Baseline ID],0))</f>
        <v>3107.1406232179743</v>
      </c>
      <c r="AI24" s="201">
        <f>INDEX(Tbl_BaselineSummary[A/C-only Deferred Replacement Credit (USD)],MATCH(Tbl_MeasureList[[#This Row],[Baseline ID]],Tbl_BaselineSummary[Baseline ID],0))</f>
        <v>0</v>
      </c>
      <c r="AJ24" s="468">
        <f>INDEX(Tbl_BaselineSummary[Code Installed Costs (USD)],MATCH(Tbl_MeasureList[[#This Row],[Baseline ID]],Tbl_BaselineSummary[Baseline ID],0))</f>
        <v>5099</v>
      </c>
      <c r="AK24" s="201">
        <f>INDEX(Tbl_BaselineSummary[Code A/C-only Installed Cost (USD)],MATCH(Tbl_MeasureList[[#This Row],[Baseline ID]],Tbl_BaselineSummary[Baseline ID],0))</f>
        <v>0</v>
      </c>
      <c r="AL24" s="86">
        <f>INDEX(Tbl_BaselineSummary[Code Electric Annual Consumption (kWh)],MATCH(Tbl_MeasureList[[#This Row],[Baseline ID]],Tbl_BaselineSummary[Baseline ID],0))</f>
        <v>372.5</v>
      </c>
      <c r="AM24" s="86">
        <f>INDEX(Tbl_BaselineSummary[Code Electric Winter Consumption (kWh)],MATCH(Tbl_MeasureList[[#This Row],[Baseline ID]],Tbl_BaselineSummary[Baseline ID],0))</f>
        <v>372.5</v>
      </c>
      <c r="AN24" s="86">
        <f>INDEX(Tbl_BaselineSummary[Code Electric Summer Consumption (kWh)],MATCH(Tbl_MeasureList[[#This Row],[Baseline ID]],Tbl_BaselineSummary[Baseline ID],0))</f>
        <v>0</v>
      </c>
      <c r="AO24" s="152">
        <f>INDEX(Tbl_BaselineSummary[Code Electric Winter Peak Demand (kW)],MATCH(Tbl_MeasureList[[#This Row],[Baseline ID]],Tbl_BaselineSummary[Baseline ID],0))</f>
        <v>5.7142857142857141E-2</v>
      </c>
      <c r="AP24" s="470">
        <f>INDEX(Tbl_BaselineSummary[Code Electric Summer Peak Demand (kW)],MATCH(Tbl_MeasureList[[#This Row],[Baseline ID]],Tbl_BaselineSummary[Baseline ID],0))</f>
        <v>0</v>
      </c>
      <c r="AQ24" s="467">
        <f>INDEX(Tbl_BaselineSummary[Code Natural Gas Annual Consumption (therms)],MATCH(Tbl_MeasureList[[#This Row],[Baseline ID]],Tbl_BaselineSummary[Baseline ID],0))</f>
        <v>0</v>
      </c>
      <c r="AR24" s="472">
        <f>INDEX(Tbl_BaselineSummary[Code Propane Annual Consumption (MMBtu)],MATCH(Tbl_MeasureList[[#This Row],[Baseline ID]],Tbl_BaselineSummary[Baseline ID],0))</f>
        <v>0</v>
      </c>
      <c r="AS24" s="467">
        <f>INDEX(Tbl_BaselineSummary[Code Oil Annual Consumption (MMBtu)],MATCH(Tbl_MeasureList[[#This Row],[Baseline ID]],Tbl_BaselineSummary[Baseline ID],0))</f>
        <v>82.409638554216883</v>
      </c>
      <c r="AT24" s="204">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83.680608554216889</v>
      </c>
      <c r="AU24" s="467">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6.6463373493975926</v>
      </c>
      <c r="AV24" s="474">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6.7778894493975921</v>
      </c>
      <c r="AW24" s="248">
        <f ca="1">INDIRECT(Tbl_MeasureList[[#This Row],[Measure ID]]&amp;"!L26")</f>
        <v>1371.9677882352944</v>
      </c>
      <c r="AX24" s="477">
        <f ca="1">INDIRECT(Tbl_MeasureList[[#This Row],[Measure ID]]&amp;"!M26")</f>
        <v>10197</v>
      </c>
      <c r="AY24" s="481">
        <f ca="1">INDIRECT(Tbl_MeasureList[[#This Row],[Measure ID]]&amp;"!D26")</f>
        <v>374</v>
      </c>
      <c r="AZ24" s="481">
        <f ca="1">INDIRECT(Tbl_MeasureList[[#This Row],[Measure ID]]&amp;"!J26")</f>
        <v>374</v>
      </c>
      <c r="BA24" s="481">
        <f ca="1">INDIRECT(Tbl_MeasureList[[#This Row],[Measure ID]]&amp;"!I26")</f>
        <v>0</v>
      </c>
      <c r="BB24" s="479">
        <f ca="1">INDIRECT(Tbl_MeasureList[[#This Row],[Measure ID]]&amp;"!E26")</f>
        <v>5.7372962607861941E-2</v>
      </c>
      <c r="BC24" s="268">
        <f ca="1">INDIRECT(Tbl_MeasureList[[#This Row],[Measure ID]]&amp;"!H26")</f>
        <v>0</v>
      </c>
      <c r="BD24" s="253">
        <f ca="1">INDIRECT(Tbl_MeasureList[[#This Row],[Measure ID]]&amp;"!D32")</f>
        <v>804.70588235294122</v>
      </c>
      <c r="BE24" s="270">
        <f ca="1">INDIRECT(Tbl_MeasureList[[#This Row],[Measure ID]]&amp;"!D38")</f>
        <v>0</v>
      </c>
      <c r="BF24" s="253">
        <f ca="1">INDIRECT(Tbl_MeasureList[[#This Row],[Measure ID]]&amp;"!D44")</f>
        <v>0</v>
      </c>
      <c r="BG24" s="460">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81.746676235294117</v>
      </c>
      <c r="BH24" s="371">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4.7075294117647051</v>
      </c>
      <c r="BI24" s="272">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4.8396112517647056</v>
      </c>
      <c r="BJ24" s="273">
        <f ca="1">INDIRECT(Tbl_MeasureList[[#This Row],[Measure ID]]&amp;"!L27")</f>
        <v>1208.7864460377359</v>
      </c>
      <c r="BK24" s="201">
        <f ca="1">INDIRECT(Tbl_MeasureList[[#This Row],[Measure ID]]&amp;"!M27")</f>
        <v>11157</v>
      </c>
      <c r="BL24" s="85">
        <f ca="1">INDIRECT(Tbl_MeasureList[[#This Row],[Measure ID]]&amp;"!D27")</f>
        <v>206</v>
      </c>
      <c r="BM24" s="85">
        <f ca="1">INDIRECT(Tbl_MeasureList[[#This Row],[Measure ID]]&amp;"!J27")</f>
        <v>206</v>
      </c>
      <c r="BN24" s="85">
        <f ca="1">INDIRECT(Tbl_MeasureList[[#This Row],[Measure ID]]&amp;"!I27")</f>
        <v>0</v>
      </c>
      <c r="BO24" s="152">
        <f ca="1">INDIRECT(Tbl_MeasureList[[#This Row],[Measure ID]]&amp;"!E27")</f>
        <v>3.8172962607861932E-2</v>
      </c>
      <c r="BP24" s="470">
        <f ca="1">INDIRECT(Tbl_MeasureList[[#This Row],[Measure ID]]&amp;"!H27")</f>
        <v>0</v>
      </c>
      <c r="BQ24" s="467">
        <f ca="1">INDIRECT(Tbl_MeasureList[[#This Row],[Measure ID]]&amp;"!D33")</f>
        <v>724.14113207547166</v>
      </c>
      <c r="BR24" s="472">
        <f ca="1">INDIRECT(Tbl_MeasureList[[#This Row],[Measure ID]]&amp;"!D39")</f>
        <v>0</v>
      </c>
      <c r="BS24" s="467">
        <f ca="1">INDIRECT(Tbl_MeasureList[[#This Row],[Measure ID]]&amp;"!D45")</f>
        <v>0</v>
      </c>
      <c r="BT24" s="204">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73.11698520754716</v>
      </c>
      <c r="BU24" s="467">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4.2362256226415091</v>
      </c>
      <c r="BV24" s="260">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4.3089765826415096</v>
      </c>
      <c r="BW24" s="24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1187.369954074074</v>
      </c>
      <c r="BX24" s="26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11970</v>
      </c>
      <c r="BY24"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206</v>
      </c>
      <c r="BZ24"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206</v>
      </c>
      <c r="CA24"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0</v>
      </c>
      <c r="CB24"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3.8172962607861932E-2</v>
      </c>
      <c r="CC24"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0</v>
      </c>
      <c r="CD24"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710.86370370370366</v>
      </c>
      <c r="CE24"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0</v>
      </c>
      <c r="CF24"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0</v>
      </c>
      <c r="CG24" s="460">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71.78924237037036</v>
      </c>
      <c r="CH24" s="37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4.158552666666667</v>
      </c>
      <c r="CI24" s="26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4.2313036266666666</v>
      </c>
      <c r="CJ24" s="320">
        <f ca="1">-Tbl_MeasureList[[#This Row],[Low Measure Energy Cost (USD/yr)]]+Tbl_MeasureList[[#This Row],[Baseline Energy Cost (USD/yr)]]</f>
        <v>812.41633231344917</v>
      </c>
      <c r="CK24"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8049.8593767820257</v>
      </c>
      <c r="CL24" s="249">
        <f ca="1">-Tbl_MeasureList[[#This Row],[Low Measure Electric Annual Consumption (kWh/yr)]]+Tbl_MeasureList[[#This Row],[Baseline Electric Annual Consumption (kWh/yr)]]</f>
        <v>168.55</v>
      </c>
      <c r="CM24" s="249">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168.55</v>
      </c>
      <c r="CN24" s="249">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0</v>
      </c>
      <c r="CO24" s="268">
        <f ca="1">-Tbl_MeasureList[[#This Row],[Low Measure Electric Winter Peak Demand (kW)]]+Tbl_MeasureList[[#This Row],[Baseline Electric Winter Peak Demand (kW)]]</f>
        <v>1.92843720038351E-2</v>
      </c>
      <c r="CP24" s="479">
        <f ca="1">-Tbl_MeasureList[[#This Row],[Low Measure Electric Summer Peak Demand (kW)]]+Tbl_MeasureList[[#This Row],[Baseline Electric Summer Peak Demand (kW)]]</f>
        <v>0</v>
      </c>
      <c r="CQ24" s="481">
        <f ca="1">-Tbl_MeasureList[[#This Row],[Low Measure Natural Gas Annual Consumption (therms/yr)]]+Tbl_MeasureList[[#This Row],[Baseline Natural Gas Annual Consumption (therms/yr)]]</f>
        <v>-724.14113207547166</v>
      </c>
      <c r="CR24" s="490">
        <f ca="1">-Tbl_MeasureList[[#This Row],[Low Measure Propane Annual Consumption (MMBtu/yr)]]+Tbl_MeasureList[[#This Row],[Baseline Propane Annual Consumption (MMBtu/yr)]]</f>
        <v>0</v>
      </c>
      <c r="CS24" s="252">
        <f ca="1">-Tbl_MeasureList[[#This Row],[Low Measure Oil Annual Consumption (MMBtu/yr)]]+Tbl_MeasureList[[#This Row],[Baseline Oil Annual Consumption (MMBtu/yr)]]</f>
        <v>86.692015209125472</v>
      </c>
      <c r="CT24"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14.852994601578317</v>
      </c>
      <c r="CU24" s="487">
        <f ca="1">-Tbl_MeasureList[[#This Row],[Low Measure Carbon Emissions, Site (tons CO2/yr)]]+Tbl_MeasureList[[#This Row],[Baseline Carbon Emissions, Site (tons CO2/yr)]]</f>
        <v>2.7554854039744612</v>
      </c>
      <c r="CV24" s="491">
        <f ca="1">-Tbl_MeasureList[[#This Row],[Low Measure Carbon Emissions, Source (tons CO2/yr)]]+Tbl_MeasureList[[#This Row],[Baseline Carbon Emissions, Source (tons CO2/yr)]]</f>
        <v>2.8150105219744601</v>
      </c>
      <c r="CW24"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833.83282427711106</v>
      </c>
      <c r="CX24"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8862.8593767820257</v>
      </c>
      <c r="CY24"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168.55</v>
      </c>
      <c r="CZ24"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168.55</v>
      </c>
      <c r="DA24"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0</v>
      </c>
      <c r="DB24"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1.92843720038351E-2</v>
      </c>
      <c r="DC24"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0</v>
      </c>
      <c r="DD24"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-710.86370370370366</v>
      </c>
      <c r="DE24"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0</v>
      </c>
      <c r="DF24"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86.692015209125472</v>
      </c>
      <c r="DG24" s="270">
        <f ca="1">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16.180737438755116</v>
      </c>
      <c r="DH24"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2.8331583599493033</v>
      </c>
      <c r="DI24"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2.8926834779493031</v>
      </c>
      <c r="DJ24" s="320">
        <f ca="1">-Tbl_MeasureList[[#This Row],[Low Measure Energy Cost (USD/yr)]]+Tbl_MeasureList[[#This Row],[Code (old fuel) Energy Cost (USD/yr)]]</f>
        <v>715.82796481658374</v>
      </c>
      <c r="DK24" s="267">
        <f ca="1">Tbl_MeasureList[[#This Row],[Low Measure Installed Costs (USD)]]-Tbl_MeasureList[[#This Row],[Code (old fuel) Installed Costs (USD)]]</f>
        <v>6058</v>
      </c>
      <c r="DL24" s="249">
        <f ca="1">-Tbl_MeasureList[[#This Row],[Low Measure Electric Annual Consumption (kWh/yr)]]+Tbl_MeasureList[[#This Row],[Code (old fuel) Electric Annual Consumption (kWh/yr)]]</f>
        <v>166.5</v>
      </c>
      <c r="DM24" s="249">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166.5</v>
      </c>
      <c r="DN24" s="249">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0</v>
      </c>
      <c r="DO24" s="268">
        <f ca="1">-Tbl_MeasureList[[#This Row],[Low Measure Electric Winter Peak Demand (kW)]]+Tbl_MeasureList[[#This Row],[Code (old fuel) Electric Winter Peak Demand (kW)]]</f>
        <v>1.8969894534995209E-2</v>
      </c>
      <c r="DP24" s="479">
        <f ca="1">-Tbl_MeasureList[[#This Row],[Low Measure Electric Summer Peak Demand (kW)]]+Tbl_MeasureList[[#This Row],[Code (old fuel) Electric Summer Peak Demand (kW)]]</f>
        <v>0</v>
      </c>
      <c r="DQ24" s="481">
        <f ca="1">-Tbl_MeasureList[[#This Row],[Low Measure Natural Gas Annual Consumption (therms/yr)]]+Tbl_MeasureList[[#This Row],[Code (old fuel) Natural Gas Annual Consumption (therms/yr)]]</f>
        <v>-724.14113207547166</v>
      </c>
      <c r="DR24" s="490">
        <f ca="1">-Tbl_MeasureList[[#This Row],[Low Measure Propane Annual Consumption (MMBtu/yr)]]+Tbl_MeasureList[[#This Row],[Code (old fuel) Propane Annual Consumption (MMBtu/yr)]]</f>
        <v>0</v>
      </c>
      <c r="DS24" s="252">
        <f ca="1">-Tbl_MeasureList[[#This Row],[Low Measure Oil Annual Consumption (MMBtu/yr)]]+Tbl_MeasureList[[#This Row],[Code (old fuel) Oil Annual Consumption (MMBtu/yr)]]</f>
        <v>82.409638554216883</v>
      </c>
      <c r="DT24"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10.563623346669729</v>
      </c>
      <c r="DU24" s="487">
        <f ca="1">-Tbl_MeasureList[[#This Row],[Low Measure Carbon Emissions, Site (tons CO2/yr)]]+Tbl_MeasureList[[#This Row],[Code (old fuel) Carbon Emissions, Site (tons CO2/yr)]]</f>
        <v>2.4101117267560834</v>
      </c>
      <c r="DV24" s="491">
        <f ca="1">-Tbl_MeasureList[[#This Row],[Low Measure Carbon Emissions, Source (tons CO2/yr)]]+Tbl_MeasureList[[#This Row],[Code (old fuel) Carbon Emissions, Source (tons CO2/yr)]]</f>
        <v>2.4689128667560825</v>
      </c>
      <c r="DW24"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(old fuel) Energy Cost (USD/yr)]],
        "-")</f>
        <v>737.24445678024563</v>
      </c>
      <c r="DX24"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6871</v>
      </c>
      <c r="DY24"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166.5</v>
      </c>
      <c r="DZ24"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166.5</v>
      </c>
      <c r="EA24"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0</v>
      </c>
      <c r="EB24"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1.8969894534995209E-2</v>
      </c>
      <c r="EC24"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0</v>
      </c>
      <c r="ED24"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-710.86370370370366</v>
      </c>
      <c r="EE24"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0</v>
      </c>
      <c r="EF24"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82.409638554216883</v>
      </c>
      <c r="EG24" s="270">
        <f ca="1">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11.891366183846529</v>
      </c>
      <c r="EH24"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2.4877846827309256</v>
      </c>
      <c r="EI24"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2.5465858227309255</v>
      </c>
      <c r="EJ24" s="477">
        <f ca="1">Tbl_MeasureList[[#This Row],[Code (old fuel) Energy Cost (USD/yr)]]-Tbl_MeasureList[[#This Row],[Code (new fuel) Energy Cost (USD/yr)]]</f>
        <v>552.64662261902527</v>
      </c>
      <c r="EK24" s="496">
        <f ca="1">Tbl_MeasureList[[#This Row],[Code (old fuel) Electric Annual Consumption (kWh/yr)]]-Tbl_MeasureList[[#This Row],[Code (new fuel) Electric Annual Consumption (kWh/yr)]]</f>
        <v>-1.5</v>
      </c>
      <c r="EL24" s="496">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-1.5</v>
      </c>
      <c r="EM24" s="496">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0</v>
      </c>
      <c r="EN24" s="500">
        <f ca="1">Tbl_MeasureList[[#This Row],[Code (old fuel) Electric Winter Peak Demand (kW)]]-Tbl_MeasureList[[#This Row],[Code (new fuel) Electric Winter Peak Demand (kW)]]</f>
        <v>-2.3010546500479984E-4</v>
      </c>
      <c r="EO24" s="493">
        <f ca="1">Tbl_MeasureList[[#This Row],[Code (old fuel) Electric Summer Peak Demand (kW)]]-Tbl_MeasureList[[#This Row],[Code (new fuel) Electric Summer Peak Demand (kW)]]</f>
        <v>0</v>
      </c>
      <c r="EP24" s="502">
        <f ca="1">Tbl_MeasureList[[#This Row],[Code (old fuel) Natural Gas Annual Consumption (therms/yr)]]-Tbl_MeasureList[[#This Row],[Code (new fuel) Natural Gas Annual Consumption (therms/yr)]]</f>
        <v>-804.70588235294122</v>
      </c>
      <c r="EQ24" s="215">
        <f ca="1">Tbl_MeasureList[[#This Row],[Code (old fuel) Propane Annual Consumption (MMBtu/yr)]]-Tbl_MeasureList[[#This Row],[Code (new fuel) Propane Annual Consumption (MMBtu/yr)]]</f>
        <v>0</v>
      </c>
      <c r="ER24" s="502">
        <f ca="1">Tbl_MeasureList[[#This Row],[Code (old fuel) Oil Annual Consumption (MMBtu/yr)]]-Tbl_MeasureList[[#This Row],[Code (new fuel) Oil Annual Consumption (MMBtu/yr)]]</f>
        <v>82.409638554216883</v>
      </c>
      <c r="ES24" s="215">
        <f ca="1">Tbl_MeasureList[[#This Row],[Code (old fuel) Energy Consumption on MMBtu Basis (MMBtu/yr)]]-Tbl_MeasureList[[#This Row],[Code (new fuel) Energy Consumption on MMBtu Basis (MMBtu/yr)]]</f>
        <v>1.9339323189227713</v>
      </c>
      <c r="ET24" s="502">
        <f ca="1">Tbl_MeasureList[[#This Row],[Code (old fuel) Carbon Emissions, Site (tons CO2/yr)]]-Tbl_MeasureList[[#This Row],[Code (new fuel) Carbon Emissions, Site (tons CO2/yr)]]</f>
        <v>1.9388079376328875</v>
      </c>
      <c r="EU24" s="498">
        <f ca="1">Tbl_MeasureList[[#This Row],[Code (old fuel) Carbon Emissions, Source (tons CO2/yr)]]-Tbl_MeasureList[[#This Row],[Code (new fuel) Carbon Emissions, Source (tons CO2/yr)]]</f>
        <v>1.9382781976328864</v>
      </c>
      <c r="EV24" s="450">
        <f ca="1">Tbl_MeasureList[[#This Row],[ER Total Low Measure Electric Annual Consumption Savings (kWh/yr)]]*COAL_BTU_PER_SITE_KWH/Btu_per_MMBtu</f>
        <v>1.8552779559059731E-2</v>
      </c>
      <c r="EW24" s="411">
        <f ca="1">Tbl_MeasureList[[#This Row],[ER Total Low Measure Electric Annual Consumption Savings (kWh/yr)]]*COAL_LBS_PER_SITE_KWH</f>
        <v>1.627436803426292</v>
      </c>
      <c r="EX24" s="326">
        <f ca="1">Tbl_MeasureList[[#This Row],[ER Total Low Measure Electric Annual Consumption Savings (kWh/yr)]]*OIL_BTU_PER_SITE_KWH/Btu_per_MMBtu</f>
        <v>2.1357855242401119E-2</v>
      </c>
      <c r="EY24" s="325">
        <f ca="1">Tbl_MeasureList[[#This Row],[ER Total Low Measure Electric Annual Consumption Savings (kWh/yr)]]*OIL_GAL_PER_SITE_KWH</f>
        <v>0.15482877409403106</v>
      </c>
      <c r="EZ24" s="326">
        <f ca="1">Tbl_MeasureList[[#This Row],[ER Total Low Measure Oil Annual Consumption Savings (MMBtu/yr)]]*Btu_per_MMBtu/OIL_BTU_PER_GAL</f>
        <v>628.45347935137534</v>
      </c>
      <c r="FA24" s="325">
        <f ca="1">Tbl_MeasureList[[#This Row],[Current ER Total Low Measure Oil Source Fuel Savings (gallons oil/year)]]+Tbl_MeasureList[[#This Row],[Current ER Total Low Measure Oil Site Fuel Savings (gallons oil/year)]]</f>
        <v>628.60830812546942</v>
      </c>
      <c r="FB24" s="326">
        <f ca="1">Tbl_MeasureList[[#This Row],[ER Total Low Measure Electric Annual Consumption Savings (kWh/yr)]]*GAS_BTU_PER_SITE_KWH/Btu_per_MMBtu</f>
        <v>0.68972865766233371</v>
      </c>
      <c r="FC24" s="327">
        <f ca="1">Tbl_MeasureList[[#This Row],[ER Total Low Measure Electric Annual Consumption Savings (kWh/yr)]]*GAS_CUFT_PER_SITE_KWH/1000</f>
        <v>0.67029024068253995</v>
      </c>
      <c r="FD24" s="328">
        <f ca="1">Tbl_MeasureList[[#This Row],[ER Total Low Measure Natural Gas Annual Consumption Savings (therms/yr)]]*Btu_per_MMBtu/(GAS_BTU_PER_CUFT*Therm_per_MMBtu*1000)</f>
        <v>-70.37328785961823</v>
      </c>
      <c r="FE24" s="329">
        <f ca="1">Tbl_MeasureList[[#This Row],[Current ER Total Low Measure Gas Source Fuel Savings (1,000 cu.ft. gas/year)]]+Tbl_MeasureList[[#This Row],[Current ER Total Low Measure Gas Site Fuel Savings (1,000 cu.ft gas/year)]]</f>
        <v>-69.702997618935697</v>
      </c>
      <c r="FF24" s="324">
        <f ca="1">IFERROR(Tbl_MeasureList[[#This Row],[ER Total High Measure Electric Annual Consumption Savings (kWh/yr)]]*COAL_BTU_PER_SITE_KWH/Btu_per_MMBtu,"-")</f>
        <v>1.8552779559059731E-2</v>
      </c>
      <c r="FG24" s="325">
        <f ca="1">IFERROR(Tbl_MeasureList[[#This Row],[ER Total High Measure Electric Annual Consumption Savings (kWh/yr)]]*COAL_LBS_PER_SITE_KWH,"-")</f>
        <v>1.627436803426292</v>
      </c>
      <c r="FH24" s="326">
        <f ca="1">IFERROR(Tbl_MeasureList[[#This Row],[ER Total High Measure Electric Annual Consumption Savings (kWh/yr)]]*OIL_BTU_PER_SITE_KWH/Btu_per_MMBtu,"-")</f>
        <v>2.1357855242401119E-2</v>
      </c>
      <c r="FI24" s="325">
        <f ca="1">IFERROR(Tbl_MeasureList[[#This Row],[ER Total High Measure Electric Annual Consumption Savings (kWh/yr)]]*OIL_GAL_PER_SITE_KWH,"-")</f>
        <v>0.15482877409403106</v>
      </c>
      <c r="FJ24" s="326">
        <f ca="1">IFERROR(Tbl_MeasureList[[#This Row],[ER Total High Measure Oil Annual Consumption Savings (MMBtu/yr)]]*Btu_per_MMBtu/OIL_BTU_PER_GAL,"-")</f>
        <v>628.45347935137534</v>
      </c>
      <c r="FK24" s="325">
        <f ca="1">IFERROR(Tbl_MeasureList[[#This Row],[Current ER Total High Measure Oil Source Fuel Savings (gallons oil/year)]]+Tbl_MeasureList[[#This Row],[Current ER Total High Measure Oil Site Fuel Savings (gallons oil/year)]],"-")</f>
        <v>628.60830812546942</v>
      </c>
      <c r="FL24" s="326">
        <f ca="1">IFERROR(Tbl_MeasureList[[#This Row],[ER Total High Measure Electric Annual Consumption Savings (kWh/yr)]]*GAS_BTU_PER_SITE_KWH/Btu_per_MMBtu,"-")</f>
        <v>0.68972865766233371</v>
      </c>
      <c r="FM24" s="327">
        <f ca="1">IFERROR(Tbl_MeasureList[[#This Row],[ER Total High Measure Electric Annual Consumption Savings (kWh/yr)]]*GAS_CUFT_PER_SITE_KWH/1000,"-")</f>
        <v>0.67029024068253995</v>
      </c>
      <c r="FN24" s="328">
        <f ca="1">IFERROR(Tbl_MeasureList[[#This Row],[ER Total High Measure Natural Gas Annual Consumption Savings (therms/yr)]]*Btu_per_MMBtu/(GAS_BTU_PER_CUFT*Therm_per_MMBtu*1000),"-")</f>
        <v>-69.082964402692284</v>
      </c>
      <c r="FO24" s="329">
        <f ca="1">IFERROR(Tbl_MeasureList[[#This Row],[Current ER Total High Measure Gas Source Fuel Savings (1,000 cu.ft. gas/year)]]+Tbl_MeasureList[[#This Row],[Current ER Total High Measure Gas Site Fuel Savings (1,000 cu.ft gas/year)]],"-")</f>
        <v>-68.41267416200975</v>
      </c>
      <c r="FP24" s="412">
        <f ca="1">Tbl_MeasureList[[#This Row],[ROF Low Measure Electric Annual Consumption Savings (kWh/yr)]]*COAL_BTU_PER_SITE_KWH/Btu_per_MMBtu</f>
        <v>1.8327130208148593E-2</v>
      </c>
      <c r="FQ24" s="327">
        <f ca="1">Tbl_MeasureList[[#This Row],[ROF Low Measure Electric Annual Consumption Savings (kWh/yr)]]*COAL_LBS_PER_SITE_KWH</f>
        <v>1.6076430007147886</v>
      </c>
      <c r="FR24" s="412">
        <f ca="1">Tbl_MeasureList[[#This Row],[ROF Low Measure Electric Annual Consumption Savings (kWh/yr)]]*OIL_BTU_PER_SITE_KWH/Btu_per_MMBtu</f>
        <v>2.1098088981665888E-2</v>
      </c>
      <c r="FS24" s="327">
        <f ca="1">Tbl_MeasureList[[#This Row],[ROF Low Measure Electric Annual Consumption Savings (kWh/yr)]]*OIL_GAL_PER_SITE_KWH</f>
        <v>0.15294565936906657</v>
      </c>
      <c r="FT24" s="412">
        <f ca="1">Tbl_MeasureList[[#This Row],[ROF Low Measure Oil Annual Consumption Savings (MMBtu/yr)]]*Btu_per_MMBtu/OIL_BTU_PER_GAL</f>
        <v>597.40939181715089</v>
      </c>
      <c r="FU24" s="327">
        <f ca="1">Tbl_MeasureList[[#This Row],[Current ROF Low Measure Oil Source Fuel Savings (gallons oil/year)]]+Tbl_MeasureList[[#This Row],[Current ROF Low Measure Oil Site Fuel Savings (gallons oil/year)]]</f>
        <v>597.56233747651993</v>
      </c>
      <c r="FV24" s="412">
        <f ca="1">Tbl_MeasureList[[#This Row],[ROF Low Measure Electric Annual Consumption Savings (kWh/yr)]]*GAS_BTU_PER_SITE_KWH/Btu_per_MMBtu</f>
        <v>0.68133978938462503</v>
      </c>
      <c r="FW24" s="327">
        <f ca="1">Tbl_MeasureList[[#This Row],[ROF Low Measure Electric Annual Consumption Savings (kWh/yr)]]*GAS_CUFT_PER_SITE_KWH/1000</f>
        <v>0.66213779337670065</v>
      </c>
      <c r="FX24" s="412">
        <f ca="1">Tbl_MeasureList[[#This Row],[ROF Low Measure Natural Gas Annual Consumption Savings (therms/yr)]]*Btu_per_MMBtu/(GAS_BTU_PER_CUFT*Therm_per_MMBtu*1000)</f>
        <v>-70.37328785961823</v>
      </c>
      <c r="FY24" s="327">
        <f ca="1">Tbl_MeasureList[[#This Row],[Current ROF Low Measure Gas Source Fuel Savings (1,000 cu.ft. gas/year)]]+Tbl_MeasureList[[#This Row],[Current ROF Low Measure Gas Site Fuel Savings (1,000 cu.ft gas/year)]]</f>
        <v>-69.71115006624153</v>
      </c>
      <c r="FZ24" s="414">
        <f ca="1">IFERROR(Tbl_MeasureList[[#This Row],[ROF High Measure Electric Annual Consumption Savings (kWh/yr)]]*COAL_BTU_PER_SITE_KWH/Btu_per_MMBtu,"-")</f>
        <v>1.8327130208148593E-2</v>
      </c>
      <c r="GA24" s="327">
        <f ca="1">IFERROR(Tbl_MeasureList[[#This Row],[ROF High Measure Electric Annual Consumption Savings (kWh/yr)]]*COAL_LBS_PER_SITE_KWH,"-")</f>
        <v>1.6076430007147886</v>
      </c>
      <c r="GB24" s="412">
        <f ca="1">IFERROR(Tbl_MeasureList[[#This Row],[ROF High Measure Electric Annual Consumption Savings (kWh/yr)]]*OIL_BTU_PER_SITE_KWH/Btu_per_MMBtu,"-")</f>
        <v>2.1098088981665888E-2</v>
      </c>
      <c r="GC24" s="327">
        <f ca="1">IFERROR(Tbl_MeasureList[[#This Row],[ROF High Measure Electric Annual Consumption Savings (kWh/yr)]]*OIL_GAL_PER_SITE_KWH,"-")</f>
        <v>0.15294565936906657</v>
      </c>
      <c r="GD24" s="412">
        <f ca="1">IFERROR(Tbl_MeasureList[[#This Row],[ROF High Measure Oil Annual Consumption Savings (MMBtu/yr)]]*Btu_per_MMBtu/OIL_BTU_PER_GAL,"-")</f>
        <v>597.40939181715089</v>
      </c>
      <c r="GE24" s="327">
        <f ca="1">IFERROR(Tbl_MeasureList[[#This Row],[Current ROF High Measure Oil Source Fuel Savings (gallons oil/year)]]+Tbl_MeasureList[[#This Row],[Current ROF High Measure Oil Site Fuel Savings (gallons oil/year)]],"-")</f>
        <v>597.56233747651993</v>
      </c>
      <c r="GF24" s="412">
        <f ca="1">IFERROR(Tbl_MeasureList[[#This Row],[ROF High Measure Electric Annual Consumption Savings (kWh/yr)]]*GAS_BTU_PER_SITE_KWH/Btu_per_MMBtu,"-")</f>
        <v>0.68133978938462503</v>
      </c>
      <c r="GG24" s="327">
        <f ca="1">IFERROR(Tbl_MeasureList[[#This Row],[ROF High Measure Electric Annual Consumption Savings (kWh/yr)]]*GAS_CUFT_PER_SITE_KWH/1000,"-")</f>
        <v>0.66213779337670065</v>
      </c>
      <c r="GH24" s="412">
        <f ca="1">IFERROR(Tbl_MeasureList[[#This Row],[ROF High Measure Natural Gas Annual Consumption Savings (therms/yr)]]*Btu_per_MMBtu/(GAS_BTU_PER_CUFT*Therm_per_MMBtu*1000),"-")</f>
        <v>-69.082964402692284</v>
      </c>
      <c r="GI24" s="327">
        <f ca="1">IFERROR(Tbl_MeasureList[[#This Row],[Current ROF High Measure Gas Source Fuel Savings (1,000 cu.ft. gas/year)]]+Tbl_MeasureList[[#This Row],[Current ROF High Measure Gas Site Fuel Savings (1,000 cu.ft gas/year)]],"-")</f>
        <v>-68.420826609315583</v>
      </c>
      <c r="GJ24" s="324">
        <f ca="1">Tbl_MeasureList[[#This Row],[ER Total Low Measure Electric Annual Consumption Savings (kWh/yr)]]*COAL_BTU_PER_SITE_KWH_CES/Btu_per_MMBtu</f>
        <v>3.1539725250401544E-2</v>
      </c>
      <c r="GK24" s="325">
        <f ca="1">Tbl_MeasureList[[#This Row],[ER Total Low Measure Electric Annual Consumption Savings (kWh/yr)]]*COAL_LBS_PER_SITE_KWH_CES</f>
        <v>2.8641232519434747</v>
      </c>
      <c r="GL24" s="326">
        <f ca="1">Tbl_MeasureList[[#This Row],[ER Total Low Measure Electric Annual Consumption Savings (kWh/yr)]]*OIL_BTU_PER_SITE_KWH_CES/Btu_per_MMBtu</f>
        <v>9.7081160192732351E-3</v>
      </c>
      <c r="GM24" s="325">
        <f ca="1">Tbl_MeasureList[[#This Row],[ER Total Low Measure Electric Annual Consumption Savings (kWh/yr)]]*OIL_GAL_PER_SITE_KWH_CES</f>
        <v>6.5496249050580449E-2</v>
      </c>
      <c r="GN24" s="326">
        <f ca="1">Tbl_MeasureList[[#This Row],[ER Total Low Measure Oil Annual Consumption Savings (MMBtu/yr)]]*Btu_per_MMBtu/OIL_BTU_PER_GAL_CES</f>
        <v>584.87164837762759</v>
      </c>
      <c r="GO24" s="325">
        <f ca="1">Tbl_MeasureList[[#This Row],[CES ER Low Measure Oil Source Fuel Savings (gallons oil/year)]]+Tbl_MeasureList[[#This Row],[CES ER Low Measure Oil Site Fuel Savings (gallons oil/year)]]</f>
        <v>584.93714462667822</v>
      </c>
      <c r="GP24" s="326">
        <f ca="1">Tbl_MeasureList[[#This Row],[ER Total Low Measure Electric Annual Consumption Savings (kWh/yr)]]*GAS_BTU_PER_SITE_KWH_CES/Btu_per_MMBtu</f>
        <v>0.28715233910840016</v>
      </c>
      <c r="GQ24" s="327">
        <f ca="1">Tbl_MeasureList[[#This Row],[ER Total Low Measure Electric Annual Consumption Savings (kWh/yr)]]*GAS_CUFT_PER_SITE_KWH_CES/1000</f>
        <v>0.27878867874601959</v>
      </c>
      <c r="GR24" s="328">
        <f ca="1">Tbl_MeasureList[[#This Row],[ER Total Low Measure Natural Gas Annual Consumption Savings (therms/yr)]]*Btu_per_MMBtu/(GAS_BTU_PER_CUFT_CES*Therm_per_MMBtu*1000)</f>
        <v>-70.304964279171998</v>
      </c>
      <c r="GS24" s="329">
        <f ca="1">Tbl_MeasureList[[#This Row],[CES ER Low Measure Gas Source Fuel Savings (1,000 cu.ft. gas/year)]]+Tbl_MeasureList[[#This Row],[CES ER Low Measure Gas Site Fuel Savings (1,000 cu.ft gas/year)]]</f>
        <v>-70.026175600425972</v>
      </c>
      <c r="GT24" s="324">
        <f ca="1">IFERROR(Tbl_MeasureList[[#This Row],[ER Total High Measure Electric Annual Consumption Savings (kWh/yr)]]*COAL_BTU_PER_SITE_KWH_CES/Btu_per_MMBtu,"-")</f>
        <v>3.1539725250401544E-2</v>
      </c>
      <c r="GU24" s="325">
        <f ca="1">IFERROR(Tbl_MeasureList[[#This Row],[ER Total High Measure Electric Annual Consumption Savings (kWh/yr)]]*COAL_LBS_PER_SITE_KWH_CES,"-")</f>
        <v>2.8641232519434747</v>
      </c>
      <c r="GV24" s="326">
        <f ca="1">IFERROR(Tbl_MeasureList[[#This Row],[ER Total High Measure Electric Annual Consumption Savings (kWh/yr)]]*OIL_BTU_PER_SITE_KWH_CES/Btu_per_MMBtu,"-")</f>
        <v>9.7081160192732351E-3</v>
      </c>
      <c r="GW24" s="325">
        <f ca="1">IFERROR(Tbl_MeasureList[[#This Row],[ER Total High Measure Electric Annual Consumption Savings (kWh/yr)]]*OIL_GAL_PER_SITE_KWH_CES,"-")</f>
        <v>6.5496249050580449E-2</v>
      </c>
      <c r="GX24" s="326">
        <f ca="1">IFERROR(Tbl_MeasureList[[#This Row],[ER Total High Measure Oil Annual Consumption Savings (MMBtu/yr)]]*Btu_per_MMBtu/OIL_BTU_PER_GAL_CES,"-")</f>
        <v>584.87164837762759</v>
      </c>
      <c r="GY24" s="325">
        <f ca="1">IFERROR(Tbl_MeasureList[[#This Row],[CES ER High Measure Oil Source Fuel Savings (gallons oil/year)]]+Tbl_MeasureList[[#This Row],[CES ER High Measure Oil Site Fuel Savings (gallons oil/year)]],"-")</f>
        <v>584.93714462667822</v>
      </c>
      <c r="GZ24" s="326">
        <f ca="1">IFERROR(Tbl_MeasureList[[#This Row],[ER Total High Measure Electric Annual Consumption Savings (kWh/yr)]]*GAS_BTU_PER_SITE_KWH_CES/Btu_per_MMBtu,"-")</f>
        <v>0.28715233910840016</v>
      </c>
      <c r="HA24" s="327">
        <f ca="1">IFERROR(Tbl_MeasureList[[#This Row],[ER Total High Measure Electric Annual Consumption Savings (kWh/yr)]]*GAS_CUFT_PER_SITE_KWH_CES/1000,"-")</f>
        <v>0.27878867874601959</v>
      </c>
      <c r="HB24" s="328">
        <f ca="1">IFERROR(Tbl_MeasureList[[#This Row],[ER Total High Measure Natural Gas Annual Consumption Savings (therms/yr)]]*Btu_per_MMBtu/(GAS_BTU_PER_CUFT_CES*Therm_per_MMBtu*1000),"-")</f>
        <v>-69.015893563466378</v>
      </c>
      <c r="HC24" s="329">
        <f ca="1">IFERROR(Tbl_MeasureList[[#This Row],[CES ER High Measure Gas Source Fuel Savings (1,000 cu.ft. gas/year)]]+Tbl_MeasureList[[#This Row],[CES ER High Measure Gas Site Fuel Savings (1,000 cu.ft gas/year)]],"-")</f>
        <v>-68.737104884720353</v>
      </c>
      <c r="HD24" s="315">
        <f ca="1">Tbl_MeasureList[[#This Row],[ROF Low Measure Electric Annual Consumption Savings (kWh/yr)]]*COAL_BTU_PER_SITE_KWH_CES/Btu_per_MMBtu</f>
        <v>3.1156121353852602E-2</v>
      </c>
      <c r="HE24" s="316">
        <f ca="1">Tbl_MeasureList[[#This Row],[ROF Low Measure Electric Annual Consumption Savings (kWh/yr)]]*COAL_LBS_PER_SITE_KWH_CES</f>
        <v>2.8292881723440431</v>
      </c>
      <c r="HF24" s="317">
        <f ca="1">Tbl_MeasureList[[#This Row],[ROF Low Measure Electric Annual Consumption Savings (kWh/yr)]]*OIL_BTU_PER_SITE_KWH_CES/Btu_per_MMBtu</f>
        <v>9.5900404462117683E-3</v>
      </c>
      <c r="HG24" s="316">
        <f ca="1">Tbl_MeasureList[[#This Row],[ROF Low Measure Electric Annual Consumption Savings (kWh/yr)]]*OIL_GAL_PER_SITE_KWH_CES</f>
        <v>6.4699646792771542E-2</v>
      </c>
      <c r="HH24" s="317">
        <f ca="1">Tbl_MeasureList[[#This Row],[ROF Low Measure Oil Annual Consumption Savings (MMBtu/yr)]]*Btu_per_MMBtu/OIL_BTU_PER_GAL_CES</f>
        <v>555.98039827704611</v>
      </c>
      <c r="HI24" s="316">
        <f ca="1">Tbl_MeasureList[[#This Row],[CES ROF Low Measure Oil Source Fuel Savings (gallons oil/year)]]+Tbl_MeasureList[[#This Row],[CES ROF Low Measure Oil Site Fuel Savings (gallons oil/year)]]</f>
        <v>556.04509792383885</v>
      </c>
      <c r="HJ24" s="317">
        <f ca="1">Tbl_MeasureList[[#This Row],[ROF Low Measure Electric Annual Consumption Savings (kWh/yr)]]*GAS_BTU_PER_SITE_KWH_CES/Btu_per_MMBtu</f>
        <v>0.28365983068257861</v>
      </c>
      <c r="HK24" s="316">
        <f ca="1">Tbl_MeasureList[[#This Row],[ROF Low Measure Electric Annual Consumption Savings (kWh/yr)]]*GAS_CUFT_PER_SITE_KWH_CES/1000</f>
        <v>0.27539789386658114</v>
      </c>
      <c r="HL24" s="317">
        <f ca="1">Tbl_MeasureList[[#This Row],[ROF Low Measure Natural Gas Annual Consumption Savings (therms/yr)]]*Btu_per_MMBtu/(GAS_BTU_PER_CUFT_CES*Therm_per_MMBtu*1000)</f>
        <v>-70.304964279171998</v>
      </c>
      <c r="HM24" s="318">
        <f ca="1">Tbl_MeasureList[[#This Row],[CES ROF Low Measure Gas Source Fuel Savings (1,000 cu.ft. gas/year)]]+Tbl_MeasureList[[#This Row],[CES ROF Low Measure Gas Site Fuel Savings (1,000 cu.ft gas/year)]]</f>
        <v>-70.029566385305415</v>
      </c>
      <c r="HN24" s="315">
        <f ca="1">IFERROR(Tbl_MeasureList[[#This Row],[ROF High Measure Electric Annual Consumption Savings (kWh/yr)]]*COAL_BTU_PER_SITE_KWH_CES/Btu_per_MMBtu,"-")</f>
        <v>3.1156121353852602E-2</v>
      </c>
      <c r="HO24" s="316">
        <f ca="1">IFERROR(Tbl_MeasureList[[#This Row],[ROF High Measure Electric Annual Consumption Savings (kWh/yr)]]*COAL_LBS_PER_SITE_KWH_CES,"-")</f>
        <v>2.8292881723440431</v>
      </c>
      <c r="HP24" s="317">
        <f ca="1">IFERROR(Tbl_MeasureList[[#This Row],[ROF High Measure Electric Annual Consumption Savings (kWh/yr)]]*OIL_BTU_PER_SITE_KWH_CES/Btu_per_MMBtu,"-")</f>
        <v>9.5900404462117683E-3</v>
      </c>
      <c r="HQ24" s="316">
        <f ca="1">IFERROR(Tbl_MeasureList[[#This Row],[ROF High Measure Electric Annual Consumption Savings (kWh/yr)]]*OIL_GAL_PER_SITE_KWH_CES,"-")</f>
        <v>6.4699646792771542E-2</v>
      </c>
      <c r="HR24" s="317">
        <f ca="1">IFERROR(Tbl_MeasureList[[#This Row],[ROF High Measure Oil Annual Consumption Savings (MMBtu/yr)]]*Btu_per_MMBtu/OIL_BTU_PER_GAL_CES,"-")</f>
        <v>555.98039827704611</v>
      </c>
      <c r="HS24" s="316">
        <f ca="1">IFERROR(Tbl_MeasureList[[#This Row],[CES ROF High Measure Oil Source Fuel Savings (gallons oil/year)]]+Tbl_MeasureList[[#This Row],[CES ROF High Measure Oil Site Fuel Savings (gallons oil/year)]],"-")</f>
        <v>556.04509792383885</v>
      </c>
      <c r="HT24" s="317">
        <f ca="1">IFERROR(Tbl_MeasureList[[#This Row],[ROF High Measure Electric Annual Consumption Savings (kWh/yr)]]*GAS_BTU_PER_SITE_KWH_CES/Btu_per_MMBtu,"-")</f>
        <v>0.28365983068257861</v>
      </c>
      <c r="HU24" s="316">
        <f ca="1">IFERROR(Tbl_MeasureList[[#This Row],[ROF High Measure Electric Annual Consumption Savings (kWh/yr)]]*GAS_CUFT_PER_SITE_KWH_CES/1000,"-")</f>
        <v>0.27539789386658114</v>
      </c>
      <c r="HV24" s="317">
        <f ca="1">IFERROR(Tbl_MeasureList[[#This Row],[ROF High Measure Natural Gas Annual Consumption Savings (therms/yr)]]*Btu_per_MMBtu/(GAS_BTU_PER_CUFT_CES*Therm_per_MMBtu*1000),"-")</f>
        <v>-69.015893563466378</v>
      </c>
      <c r="HW24" s="318">
        <f ca="1">IFERROR(Tbl_MeasureList[[#This Row],[CES ROF High Measure Gas Source Fuel Savings (1,000 cu.ft. gas/year)]]+Tbl_MeasureList[[#This Row],[CES ROF High Measure Gas Site Fuel Savings (1,000 cu.ft gas/year)]],"-")</f>
        <v>-68.740495669599795</v>
      </c>
      <c r="HX24" s="248">
        <f>Tbl_MeasureList[[#This Row],[Baseline Energy Cost (USD/yr)]]-Tbl_MeasureList[[#This Row],[Code (old fuel) Energy Cost (USD/yr)]]</f>
        <v>96.58836749686543</v>
      </c>
      <c r="HY24" s="201">
        <f>0</f>
        <v>0</v>
      </c>
      <c r="HZ24" s="86">
        <f>Tbl_MeasureList[[#This Row],[Baseline Electric Annual Consumption (kWh/yr)]]-Tbl_MeasureList[[#This Row],[Code (old fuel) Electric Annual Consumption (kWh/yr)]]</f>
        <v>2.0500000000000114</v>
      </c>
      <c r="IA24" s="86">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2.0500000000000114</v>
      </c>
      <c r="IB24" s="86">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0</v>
      </c>
      <c r="IC24" s="152">
        <f>Tbl_MeasureList[[#This Row],[Baseline Electric Winter Peak Demand (kW)]]-Tbl_MeasureList[[#This Row],[Code (old fuel) Electric Winter Peak Demand (kW)]]</f>
        <v>3.1447746883989103E-4</v>
      </c>
      <c r="ID24" s="152">
        <f>Tbl_MeasureList[[#This Row],[Baseline Electric Summer Peak Demand (kW)]]-Tbl_MeasureList[[#This Row],[Code (old fuel) Electric Summer Peak Demand (kW)]]</f>
        <v>0</v>
      </c>
      <c r="IE24" s="251">
        <f>Tbl_MeasureList[[#This Row],[Baseline Natural Gas Annual Consumption (therms/yr)]]-Tbl_MeasureList[[#This Row],[Code (old fuel) Natural Gas Annual Consumption (therms/yr)]]</f>
        <v>0</v>
      </c>
      <c r="IF24" s="252">
        <f>Tbl_MeasureList[[#This Row],[Baseline Propane Annual Consumption (MMBtu/yr)]]-Tbl_MeasureList[[#This Row],[Code (old fuel) Propane Annual Consumption (MMBtu/yr)]]</f>
        <v>0</v>
      </c>
      <c r="IG24" s="253">
        <f>Tbl_MeasureList[[#This Row],[Baseline Oil Annual Consumption (MMBtu/yr)]]-Tbl_MeasureList[[#This Row],[Code (old fuel) Oil Annual Consumption (MMBtu/yr)]]</f>
        <v>4.2823766549085889</v>
      </c>
      <c r="IH24" s="371">
        <f>Tbl_MeasureList[[#This Row],[Baseline Energy Consumption on MMBtu Basis (MMBtu/yr)]]-Tbl_MeasureList[[#This Row],[Code (old fuel) Energy Consumption on MMBtu Basis (MMBtu/yr)]]</f>
        <v>4.2893712549085876</v>
      </c>
      <c r="II24" s="371">
        <f>Tbl_MeasureList[[#This Row],[Baseline Carbon Emissions, Site (tons CO2/yr)]]-Tbl_MeasureList[[#This Row],[Code (old fuel) Carbon Emissions, Site (tons CO2/yr)]]</f>
        <v>0.34537367721837775</v>
      </c>
      <c r="IJ24" s="279">
        <f>Tbl_MeasureList[[#This Row],[Baseline Carbon Emissions, Source (tons CO2/yr)]]-Tbl_MeasureList[[#This Row],[Code (old fuel) Carbon Emissions, Source (tons CO2/yr)]]</f>
        <v>0.34609765521837765</v>
      </c>
      <c r="IK24" s="273">
        <f ca="1">Tbl_MeasureList[[#This Row],[Code (new fuel) Energy Cost (USD/yr)]]-Tbl_MeasureList[[#This Row],[Low Measure Energy Cost (USD/yr)]]</f>
        <v>163.18134219755848</v>
      </c>
      <c r="IL24"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8049.8593767820257</v>
      </c>
      <c r="IM24" s="85">
        <f ca="1">Tbl_MeasureList[[#This Row],[Code (old fuel) Electric Annual Consumption (kWh/yr)]]-Tbl_MeasureList[[#This Row],[Low Measure Electric Annual Consumption (kWh/yr)]]</f>
        <v>166.5</v>
      </c>
      <c r="IN24" s="85">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166.5</v>
      </c>
      <c r="IO24" s="85">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0</v>
      </c>
      <c r="IP24" s="152">
        <f ca="1">Tbl_MeasureList[[#This Row],[Code (old fuel) Electric Winter Peak Demand (kW)]]-Tbl_MeasureList[[#This Row],[Low Measure Electric Winter Peak Demand (kW)]]</f>
        <v>1.8969894534995209E-2</v>
      </c>
      <c r="IQ24" s="152">
        <f ca="1">Tbl_MeasureList[[#This Row],[Code (old fuel) Electric Summer Peak Demand (kW)]]-Tbl_MeasureList[[#This Row],[Low Measure Electric Summer Peak Demand (kW)]]</f>
        <v>0</v>
      </c>
      <c r="IR24" s="204">
        <f ca="1">Tbl_MeasureList[[#This Row],[Code (old fuel) Natural Gas Annual Consumption (therms/yr)]]-Tbl_MeasureList[[#This Row],[Low Measure Natural Gas Annual Consumption (therms/yr)]]</f>
        <v>-724.14113207547166</v>
      </c>
      <c r="IS24" s="153">
        <f ca="1">Tbl_MeasureList[[#This Row],[Code (old fuel) Propane Annual Consumption (MMBtu/yr)]]-Tbl_MeasureList[[#This Row],[Low Measure Propane Annual Consumption (MMBtu/yr)]]</f>
        <v>0</v>
      </c>
      <c r="IT24" s="204">
        <f ca="1">Tbl_MeasureList[[#This Row],[Code (old fuel) Oil Annual Consumption (MMBtu/yr)]]-Tbl_MeasureList[[#This Row],[Low Measure Oil Annual Consumption (MMBtu/yr)]]</f>
        <v>82.409638554216883</v>
      </c>
      <c r="IU24" s="204">
        <f ca="1">Tbl_MeasureList[[#This Row],[Code (old fuel) Energy Consumption on MMBtu Basis (MMBtu/yr)]]-Tbl_MeasureList[[#This Row],[Low Measure Energy Consumption on MMBtu Basis (MMBtu/yr)]]</f>
        <v>10.563623346669729</v>
      </c>
      <c r="IV24" s="204">
        <f ca="1">Tbl_MeasureList[[#This Row],[Code (old fuel) Carbon Emissions, Site (tons CO2/yr)]]-Tbl_MeasureList[[#This Row],[Low Measure Carbon Emissions, Site (tons CO2/yr)]]</f>
        <v>2.4101117267560834</v>
      </c>
      <c r="IW24" s="260">
        <f ca="1">Tbl_MeasureList[[#This Row],[Code (old fuel) Carbon Emissions, Source (tons CO2/yr)]]-Tbl_MeasureList[[#This Row],[Low Measure Carbon Emissions, Source (tons CO2/yr)]]</f>
        <v>2.4689128667560825</v>
      </c>
      <c r="IX24" s="27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737.24445678024563</v>
      </c>
      <c r="IY24" s="20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8862.8593767820257</v>
      </c>
      <c r="IZ24"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166.5</v>
      </c>
      <c r="JA24"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166.5</v>
      </c>
      <c r="JB24"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0</v>
      </c>
      <c r="JC24"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1.8969894534995209E-2</v>
      </c>
      <c r="JD24"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0</v>
      </c>
      <c r="JE24"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-710.86370370370366</v>
      </c>
      <c r="JF24" s="1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0</v>
      </c>
      <c r="JG24"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82.409638554216883</v>
      </c>
      <c r="JH24"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11.891366183846529</v>
      </c>
      <c r="JI24"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2.4877846827309256</v>
      </c>
      <c r="JJ24"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2.5465858227309255</v>
      </c>
      <c r="JK24" s="432">
        <f>Tbl_MeasureList[[#This Row],[ER (Retire) Electric Annual Consumption Savings (kWh/yr)]]*COAL_BTU_PER_SITE_KWH/Btu_per_MMBtu</f>
        <v>2.2564935091114006E-4</v>
      </c>
      <c r="JL24" s="428">
        <f>Tbl_MeasureList[[#This Row],[ER (Retire) Electric Annual Consumption Savings (kWh/yr)]]*COAL_LBS_PER_SITE_KWH</f>
        <v>1.9793802711503512E-2</v>
      </c>
      <c r="JM24" s="427">
        <f>Tbl_MeasureList[[#This Row],[ER (Retire) Electric Annual Consumption Savings (kWh/yr)]]*OIL_BTU_PER_SITE_KWH/Btu_per_MMBtu</f>
        <v>2.5976626073522712E-4</v>
      </c>
      <c r="JN24" s="428">
        <f>Tbl_MeasureList[[#This Row],[ER (Retire) Electric Annual Consumption Savings (kWh/yr)]]*OIL_GAL_PER_SITE_KWH</f>
        <v>1.8831147249644938E-3</v>
      </c>
      <c r="JO24" s="427">
        <f>Tbl_MeasureList[[#This Row],[ER (Retire) Oil Annual Consumption Savings (MMBtu/yr)]]*Btu_per_MMBtu/OIL_BTU_PER_GAL</f>
        <v>31.044087534224431</v>
      </c>
      <c r="JP24" s="428">
        <f ca="1">Tbl_MeasureList[[#This Row],[Current ER (Retire) Oil Source Fuel Savings (gallons oil/year)]]+Tbl_MeasureList[[#This Row],[Current ER Total Low Measure Oil Site Fuel Savings (gallons oil/year)]]</f>
        <v>628.45536246610027</v>
      </c>
      <c r="JQ24" s="427">
        <f>Tbl_MeasureList[[#This Row],[ER (Retire) Electric Annual Consumption Savings (kWh/yr)]]*GAS_BTU_PER_SITE_KWH/Btu_per_MMBtu</f>
        <v>8.3888682777086433E-3</v>
      </c>
      <c r="JR24" s="429">
        <f>Tbl_MeasureList[[#This Row],[ER (Retire) Electric Annual Consumption Savings (kWh/yr)]]*GAS_CUFT_PER_SITE_KWH/1000</f>
        <v>8.152447305839302E-3</v>
      </c>
      <c r="JS24" s="430">
        <f>Tbl_MeasureList[[#This Row],[ER (Retire) Natural Gas Annual Consumption Savings (therms/yr)]]*Btu_per_MMBtu/(GAS_BTU_PER_CUFT*Therm_per_MMBtu*1000)</f>
        <v>0</v>
      </c>
      <c r="JT24" s="431">
        <f ca="1">Tbl_MeasureList[[#This Row],[Current ER (Retire) Gas Source Fuel Savings (1,000 cu.ft. gas/year)]]+Tbl_MeasureList[[#This Row],[Current ER Total Low Measure Gas Site Fuel Savings (1,000 cu.ft gas/year)]]</f>
        <v>-70.365135412312398</v>
      </c>
      <c r="JU24" s="432">
        <f ca="1">Tbl_MeasureList[[#This Row],[ER (EE) Low Measure Electric Annual Consumption Savings (kWh/yr)]]*COAL_BTU_PER_SITE_KWH/Btu_per_MMBtu</f>
        <v>1.8327130208148593E-2</v>
      </c>
      <c r="JV24" s="428">
        <f ca="1">Tbl_MeasureList[[#This Row],[ER (EE) Low Measure Electric Annual Consumption Savings (kWh/yr)]]*COAL_LBS_PER_SITE_KWH</f>
        <v>1.6076430007147886</v>
      </c>
      <c r="JW24" s="427">
        <f ca="1">Tbl_MeasureList[[#This Row],[ER (EE) Low Measure Electric Annual Consumption Savings (kWh/yr)]]*OIL_BTU_PER_SITE_KWH/Btu_per_MMBtu</f>
        <v>2.1098088981665888E-2</v>
      </c>
      <c r="JX24" s="428">
        <f ca="1">Tbl_MeasureList[[#This Row],[ER (EE) Low Measure Electric Annual Consumption Savings (kWh/yr)]]*OIL_GAL_PER_SITE_KWH</f>
        <v>0.15294565936906657</v>
      </c>
      <c r="JY24" s="427">
        <f ca="1">Tbl_MeasureList[[#This Row],[ER (EE) Low Measure Oil Annual Consumption Savings (MMBtu/yr)]]*Btu_per_MMBtu/OIL_BTU_PER_GAL</f>
        <v>597.40939181715089</v>
      </c>
      <c r="JZ24" s="428">
        <f ca="1">Tbl_MeasureList[[#This Row],[Current ER (EE) Low Measure Oil Source Fuel Savings (gallons oil/year)]]+Tbl_MeasureList[[#This Row],[Current ER (EE) Low Measure Oil Site Fuel Savings (gallons oil/year)]]</f>
        <v>597.56233747651993</v>
      </c>
      <c r="KA24" s="427">
        <f ca="1">Tbl_MeasureList[[#This Row],[ER (EE) Low Measure Electric Annual Consumption Savings (kWh/yr)]]*GAS_BTU_PER_SITE_KWH/Btu_per_MMBtu</f>
        <v>0.68133978938462503</v>
      </c>
      <c r="KB24" s="429">
        <f ca="1">Tbl_MeasureList[[#This Row],[ER (EE) Low Measure Electric Annual Consumption Savings (kWh/yr)]]*GAS_CUFT_PER_SITE_KWH/1000</f>
        <v>0.66213779337670065</v>
      </c>
      <c r="KC24" s="430">
        <f ca="1">Tbl_MeasureList[[#This Row],[ER (EE) Low Measure Natural Gas Annual Consumption Savings (therms/yr)]]*Btu_per_MMBtu/(GAS_BTU_PER_CUFT*Therm_per_MMBtu*1000)</f>
        <v>-70.37328785961823</v>
      </c>
      <c r="KD24" s="431">
        <f ca="1">Tbl_MeasureList[[#This Row],[Current ER (EE) Low Measure Gas Source Fuel Savings (1,000 cu.ft. gas/year)]]+Tbl_MeasureList[[#This Row],[Current ER (EE) Low Measure Gas Site Fuel Savings (1,000 cu.ft gas/year)]]</f>
        <v>-69.71115006624153</v>
      </c>
      <c r="KE24" s="432">
        <f ca="1">IFERROR(Tbl_MeasureList[[#This Row],[ER (EE) High Measure Electric Annual Consumption Savings (kWh/yr)]]*COAL_BTU_PER_SITE_KWH/Btu_per_MMBtu,"-")</f>
        <v>1.8327130208148593E-2</v>
      </c>
      <c r="KF24" s="428">
        <f ca="1">IFERROR(Tbl_MeasureList[[#This Row],[ER (EE) High Measure Electric Annual Consumption Savings (kWh/yr)]]*COAL_LBS_PER_SITE_KWH,"-")</f>
        <v>1.6076430007147886</v>
      </c>
      <c r="KG24" s="427">
        <f ca="1">IFERROR(Tbl_MeasureList[[#This Row],[ER (EE) High Measure Electric Annual Consumption Savings (kWh/yr)]]*OIL_BTU_PER_SITE_KWH/Btu_per_MMBtu,"-")</f>
        <v>2.1098088981665888E-2</v>
      </c>
      <c r="KH24" s="428">
        <f ca="1">IFERROR(Tbl_MeasureList[[#This Row],[ER (EE) High Measure Electric Annual Consumption Savings (kWh/yr)]]*OIL_GAL_PER_SITE_KWH,"-")</f>
        <v>0.15294565936906657</v>
      </c>
      <c r="KI24" s="427">
        <f ca="1">IFERROR(Tbl_MeasureList[[#This Row],[ER (EE) High Measure Oil Annual Consumption Savings (MMBtu/yr)]]*Btu_per_MMBtu/OIL_BTU_PER_GAL,"-")</f>
        <v>597.40939181715089</v>
      </c>
      <c r="KJ24" s="428">
        <f ca="1">IFERROR(Tbl_MeasureList[[#This Row],[Current ER (EE) High Measure Oil Source Fuel Savings (gallons oil/year)]]+Tbl_MeasureList[[#This Row],[Current ER (EE) High Measure Oil Site Fuel Savings (gallons oil/year)]],"-")</f>
        <v>597.56233747651993</v>
      </c>
      <c r="KK24" s="427">
        <f ca="1">IFERROR(Tbl_MeasureList[[#This Row],[ER (EE) High Measure Electric Annual Consumption Savings (kWh/yr)]]*GAS_BTU_PER_SITE_KWH/Btu_per_MMBtu,"-")</f>
        <v>0.68133978938462503</v>
      </c>
      <c r="KL24" s="429">
        <f ca="1">IFERROR(Tbl_MeasureList[[#This Row],[ER (EE) High Measure Electric Annual Consumption Savings (kWh/yr)]]*GAS_CUFT_PER_SITE_KWH/1000,"-")</f>
        <v>0.66213779337670065</v>
      </c>
      <c r="KM24" s="430">
        <f ca="1">IFERROR(Tbl_MeasureList[[#This Row],[ER (EE) High Measure Natural Gas Annual Consumption Savings (therms/yr)]]*Btu_per_MMBtu/(GAS_BTU_PER_CUFT*Therm_per_MMBtu*1000),"-")</f>
        <v>-69.082964402692284</v>
      </c>
      <c r="KN24" s="431">
        <f ca="1">IFERROR(Tbl_MeasureList[[#This Row],[Current ER (EE) High Measure Gas Source Fuel Savings (1,000 cu.ft. gas/year)]]+Tbl_MeasureList[[#This Row],[Current ER (EE) High Measure Gas Site Fuel Savings (1,000 cu.ft gas/year)]],"-")</f>
        <v>-68.420826609315583</v>
      </c>
    </row>
    <row r="25" spans="2:300" x14ac:dyDescent="0.2">
      <c r="B25" s="16"/>
      <c r="C25" s="2" t="s">
        <v>99</v>
      </c>
      <c r="D25" s="12" t="str">
        <f>INDEX(Tbl_BaselineSummary[Equipment ID],MATCH(Tbl_MeasureList[[#This Row],[Baseline ID]],Tbl_BaselineSummary[Baseline ID],0))</f>
        <v>EQUI004</v>
      </c>
      <c r="E25" s="11" t="str">
        <f>INDEX(Tbl_EquipmentDefinitions[Equipment Name],MATCH('Measure List'!$D25,Tbl_EquipmentDefinitions[Equipment ID],0))</f>
        <v>Propane Furnace</v>
      </c>
      <c r="F25" s="3" t="s">
        <v>230</v>
      </c>
      <c r="G25" s="11" t="str">
        <f>INDEX(Tbl_EquipmentDefinitions[Function],MATCH('Measure List'!$D25,Tbl_EquipmentDefinitions[Equipment ID],0))</f>
        <v>Heat</v>
      </c>
      <c r="H25" s="3" t="s">
        <v>111</v>
      </c>
      <c r="I25" s="3" t="s">
        <v>43</v>
      </c>
      <c r="J25" s="11" t="str">
        <f>INDEX(Tbl_EquipmentDefinitions[Equipment Name],MATCH('Measure List'!$I25,Tbl_EquipmentDefinitions[Equipment ID],0))</f>
        <v>Gas Furnace</v>
      </c>
      <c r="K25" s="11">
        <f>INDEX(Tbl_EquipmentDefinitions[],MATCH(Tbl_MeasureList[[#This Row],[Replacement ID]],Tbl_EquipmentDefinitions[[Equipment ID]:[Equipment ID]],0),MATCH(Tbl_MeasureList[[#Headers],[New Unit Equipment Life (years)]],Tbl_EquipmentDefinitions[#Headers],0))</f>
        <v>17</v>
      </c>
      <c r="L25" s="11">
        <f>INDEX(Tbl_EquipmentDefinitions[],MATCH(Tbl_MeasureList[[#This Row],[Baseline Equipment ID]],Tbl_EquipmentDefinitions[[Equipment ID]:[Equipment ID]],0),MATCH(Tbl_MeasureList[[#Headers],[Remaining Life for Early Replacement (years)]],Tbl_EquipmentDefinitions[#Headers],0))</f>
        <v>6</v>
      </c>
      <c r="M25" s="12" t="str">
        <f>INDEX(Tbl_EquipmentDefinitions[Function],MATCH('Measure List'!$I25,Tbl_EquipmentDefinitions[Equipment ID],0))</f>
        <v>Heat</v>
      </c>
      <c r="N25" s="368" t="s">
        <v>118</v>
      </c>
      <c r="O25" s="14" t="str">
        <f t="shared" si="0"/>
        <v>OK</v>
      </c>
      <c r="P25" s="12" t="str">
        <f ca="1">IFERROR(INDIRECT(Tbl_MeasureList[[#This Row],[Measure ID]]&amp;"!D5"),"No tab")</f>
        <v>3. Ready</v>
      </c>
      <c r="Q25" s="11"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Propane</v>
      </c>
      <c r="R25" s="12"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v>
      </c>
      <c r="S25" s="11"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Natural Gas</v>
      </c>
      <c r="T25" s="247"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v>
      </c>
      <c r="U25" s="248">
        <f>INDEX(Tbl_BaselineSummary[Baseline Annual Energy Cost (USD)],MATCH(Tbl_MeasureList[[#This Row],[Baseline ID]],Tbl_BaselineSummary[Baseline ID],0))</f>
        <v>3190.2639971995764</v>
      </c>
      <c r="V25" s="249">
        <f>INDEX(Tbl_BaselineSummary[Baseline Electric Annual Consumption  (kWh)],MATCH(Tbl_MeasureList[[#This Row],[Baseline ID]],Tbl_BaselineSummary[Baseline ID],0))</f>
        <v>374.55</v>
      </c>
      <c r="W25" s="249">
        <f>INDEX(Tbl_BaselineSummary[Baseline Electric Winter Consumption (kWh)],MATCH(Tbl_MeasureList[[#This Row],[Baseline ID]],Tbl_BaselineSummary[Baseline ID],0))</f>
        <v>374.55</v>
      </c>
      <c r="X25" s="249">
        <f>INDEX(Tbl_BaselineSummary[Baseline Electric Summer Consumption (kWh)],MATCH(Tbl_MeasureList[[#This Row],[Baseline ID]],Tbl_BaselineSummary[Baseline ID],0))</f>
        <v>0</v>
      </c>
      <c r="Y25" s="250">
        <f>INDEX(Tbl_BaselineSummary[Baseline Electric Baseline Winter Peak Demand (kW)],MATCH(Tbl_MeasureList[[#This Row],[Baseline ID]],Tbl_BaselineSummary[Baseline ID],0))</f>
        <v>5.7457334611697032E-2</v>
      </c>
      <c r="Z25" s="452">
        <f>INDEX(Tbl_BaselineSummary[Baseline Electric Baseline Summer Peak Demand (kW)],MATCH(Tbl_MeasureList[[#This Row],[Baseline ID]],Tbl_BaselineSummary[Baseline ID],0))</f>
        <v>0</v>
      </c>
      <c r="AA25" s="458">
        <f>INDEX(Tbl_BaselineSummary[Baseline Natural Gas Annual Consumption  (therms)],MATCH(Tbl_MeasureList[[#This Row],[Baseline ID]],Tbl_BaselineSummary[Baseline ID],0))</f>
        <v>0</v>
      </c>
      <c r="AB25" s="455">
        <f>INDEX(Tbl_BaselineSummary[Baseline Propane Annual Consumption  (MMBtu)],MATCH(Tbl_MeasureList[[#This Row],[Baseline ID]],Tbl_BaselineSummary[Baseline ID],0))</f>
        <v>86.692015209125472</v>
      </c>
      <c r="AC25" s="252">
        <f>INDEX(Tbl_BaselineSummary[Baseline Oil Annual Consumption  (MMBtu)],MATCH(Tbl_MeasureList[[#This Row],[Baseline ID]],Tbl_BaselineSummary[Baseline ID],0))</f>
        <v>0</v>
      </c>
      <c r="AD25" s="371">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87.969979809125476</v>
      </c>
      <c r="AE25" s="460">
        <f>(lbCO2_per_Therm_Gas*Tbl_MeasureList[[#This Row],[Baseline Natural Gas Annual Consumption (therms/yr)]]+lbCO2_per_MMBtu_Prop*Tbl_MeasureList[[#This Row],[Baseline Propane Annual Consumption (MMBtu/yr)]]+lbCO2_per_MMBtu_Oil*Tbl_MeasureList[[#This Row],[Baseline Oil Annual Consumption (MMBtu/yr)]])*Lbs_per_ShortTon</f>
        <v>6.0250950570342203</v>
      </c>
      <c r="AF25" s="463">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6.1573711350342206</v>
      </c>
      <c r="AG25" s="465">
        <f>INDEX(Tbl_BaselineSummary[Code Annual Energy Cost (USD)],MATCH(Tbl_MeasureList[[#This Row],[Baseline ID]],Tbl_BaselineSummary[Baseline ID],0))</f>
        <v>2966.0291090358428</v>
      </c>
      <c r="AH25" s="468">
        <f>INDEX(Tbl_BaselineSummary[Deferred Replacement Credit (USD)],MATCH(Tbl_MeasureList[[#This Row],[Baseline ID]],Tbl_BaselineSummary[Baseline ID],0))</f>
        <v>2977.3463590984543</v>
      </c>
      <c r="AI25" s="201">
        <f>INDEX(Tbl_BaselineSummary[A/C-only Deferred Replacement Credit (USD)],MATCH(Tbl_MeasureList[[#This Row],[Baseline ID]],Tbl_BaselineSummary[Baseline ID],0))</f>
        <v>0</v>
      </c>
      <c r="AJ25" s="468">
        <f>INDEX(Tbl_BaselineSummary[Code Installed Costs (USD)],MATCH(Tbl_MeasureList[[#This Row],[Baseline ID]],Tbl_BaselineSummary[Baseline ID],0))</f>
        <v>4886</v>
      </c>
      <c r="AK25" s="201">
        <f>INDEX(Tbl_BaselineSummary[Code A/C-only Installed Cost (USD)],MATCH(Tbl_MeasureList[[#This Row],[Baseline ID]],Tbl_BaselineSummary[Baseline ID],0))</f>
        <v>0</v>
      </c>
      <c r="AL25" s="86">
        <f>INDEX(Tbl_BaselineSummary[Code Electric Annual Consumption (kWh)],MATCH(Tbl_MeasureList[[#This Row],[Baseline ID]],Tbl_BaselineSummary[Baseline ID],0))</f>
        <v>371.5</v>
      </c>
      <c r="AM25" s="86">
        <f>INDEX(Tbl_BaselineSummary[Code Electric Winter Consumption (kWh)],MATCH(Tbl_MeasureList[[#This Row],[Baseline ID]],Tbl_BaselineSummary[Baseline ID],0))</f>
        <v>371.5</v>
      </c>
      <c r="AN25" s="86">
        <f>INDEX(Tbl_BaselineSummary[Code Electric Summer Consumption (kWh)],MATCH(Tbl_MeasureList[[#This Row],[Baseline ID]],Tbl_BaselineSummary[Baseline ID],0))</f>
        <v>0</v>
      </c>
      <c r="AO25" s="152">
        <f>INDEX(Tbl_BaselineSummary[Code Electric Winter Peak Demand (kW)],MATCH(Tbl_MeasureList[[#This Row],[Baseline ID]],Tbl_BaselineSummary[Baseline ID],0))</f>
        <v>5.6989453499520615E-2</v>
      </c>
      <c r="AP25" s="470">
        <f>INDEX(Tbl_BaselineSummary[Code Electric Summer Peak Demand (kW)],MATCH(Tbl_MeasureList[[#This Row],[Baseline ID]],Tbl_BaselineSummary[Baseline ID],0))</f>
        <v>0</v>
      </c>
      <c r="AQ25" s="467">
        <f>INDEX(Tbl_BaselineSummary[Code Natural Gas Annual Consumption (therms)],MATCH(Tbl_MeasureList[[#This Row],[Baseline ID]],Tbl_BaselineSummary[Baseline ID],0))</f>
        <v>0</v>
      </c>
      <c r="AR25" s="472">
        <f>INDEX(Tbl_BaselineSummary[Code Propane Annual Consumption (MMBtu)],MATCH(Tbl_MeasureList[[#This Row],[Baseline ID]],Tbl_BaselineSummary[Baseline ID],0))</f>
        <v>80.47058823529413</v>
      </c>
      <c r="AS25" s="467">
        <f>INDEX(Tbl_BaselineSummary[Code Oil Annual Consumption (MMBtu)],MATCH(Tbl_MeasureList[[#This Row],[Baseline ID]],Tbl_BaselineSummary[Baseline ID],0))</f>
        <v>0</v>
      </c>
      <c r="AT25" s="204">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81.738146235294124</v>
      </c>
      <c r="AU25" s="467">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5.5927058823529423</v>
      </c>
      <c r="AV25" s="474">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5.7239048223529423</v>
      </c>
      <c r="AW25" s="248">
        <f ca="1">INDIRECT(Tbl_MeasureList[[#This Row],[Measure ID]]&amp;"!L26")</f>
        <v>1371.9677882352944</v>
      </c>
      <c r="AX25" s="477">
        <f ca="1">INDIRECT(Tbl_MeasureList[[#This Row],[Measure ID]]&amp;"!M26")</f>
        <v>10197</v>
      </c>
      <c r="AY25" s="481">
        <f ca="1">INDIRECT(Tbl_MeasureList[[#This Row],[Measure ID]]&amp;"!D26")</f>
        <v>374</v>
      </c>
      <c r="AZ25" s="481">
        <f ca="1">INDIRECT(Tbl_MeasureList[[#This Row],[Measure ID]]&amp;"!J26")</f>
        <v>374</v>
      </c>
      <c r="BA25" s="481">
        <f ca="1">INDIRECT(Tbl_MeasureList[[#This Row],[Measure ID]]&amp;"!I26")</f>
        <v>0</v>
      </c>
      <c r="BB25" s="479">
        <f ca="1">INDIRECT(Tbl_MeasureList[[#This Row],[Measure ID]]&amp;"!E26")</f>
        <v>5.7372962607861941E-2</v>
      </c>
      <c r="BC25" s="268">
        <f ca="1">INDIRECT(Tbl_MeasureList[[#This Row],[Measure ID]]&amp;"!H26")</f>
        <v>0</v>
      </c>
      <c r="BD25" s="253">
        <f ca="1">INDIRECT(Tbl_MeasureList[[#This Row],[Measure ID]]&amp;"!D32")</f>
        <v>804.70588235294122</v>
      </c>
      <c r="BE25" s="270">
        <f ca="1">INDIRECT(Tbl_MeasureList[[#This Row],[Measure ID]]&amp;"!D38")</f>
        <v>0</v>
      </c>
      <c r="BF25" s="253">
        <f ca="1">INDIRECT(Tbl_MeasureList[[#This Row],[Measure ID]]&amp;"!D44")</f>
        <v>0</v>
      </c>
      <c r="BG25" s="460">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81.746676235294117</v>
      </c>
      <c r="BH25" s="371">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4.7075294117647051</v>
      </c>
      <c r="BI25" s="272">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4.8396112517647056</v>
      </c>
      <c r="BJ25" s="273">
        <f ca="1">INDIRECT(Tbl_MeasureList[[#This Row],[Measure ID]]&amp;"!L27")</f>
        <v>1208.7864460377359</v>
      </c>
      <c r="BK25" s="201">
        <f ca="1">INDIRECT(Tbl_MeasureList[[#This Row],[Measure ID]]&amp;"!M27")</f>
        <v>11157</v>
      </c>
      <c r="BL25" s="85">
        <f ca="1">INDIRECT(Tbl_MeasureList[[#This Row],[Measure ID]]&amp;"!D27")</f>
        <v>206</v>
      </c>
      <c r="BM25" s="85">
        <f ca="1">INDIRECT(Tbl_MeasureList[[#This Row],[Measure ID]]&amp;"!J27")</f>
        <v>206</v>
      </c>
      <c r="BN25" s="85">
        <f ca="1">INDIRECT(Tbl_MeasureList[[#This Row],[Measure ID]]&amp;"!I27")</f>
        <v>0</v>
      </c>
      <c r="BO25" s="152">
        <f ca="1">INDIRECT(Tbl_MeasureList[[#This Row],[Measure ID]]&amp;"!E27")</f>
        <v>3.8172962607861932E-2</v>
      </c>
      <c r="BP25" s="470">
        <f ca="1">INDIRECT(Tbl_MeasureList[[#This Row],[Measure ID]]&amp;"!H27")</f>
        <v>0</v>
      </c>
      <c r="BQ25" s="467">
        <f ca="1">INDIRECT(Tbl_MeasureList[[#This Row],[Measure ID]]&amp;"!D33")</f>
        <v>724.14113207547166</v>
      </c>
      <c r="BR25" s="472">
        <f ca="1">INDIRECT(Tbl_MeasureList[[#This Row],[Measure ID]]&amp;"!D39")</f>
        <v>0</v>
      </c>
      <c r="BS25" s="467">
        <f ca="1">INDIRECT(Tbl_MeasureList[[#This Row],[Measure ID]]&amp;"!D45")</f>
        <v>0</v>
      </c>
      <c r="BT25" s="204">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73.11698520754716</v>
      </c>
      <c r="BU25" s="467">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4.2362256226415091</v>
      </c>
      <c r="BV25" s="260">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4.3089765826415096</v>
      </c>
      <c r="BW25" s="24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1187.369954074074</v>
      </c>
      <c r="BX25" s="26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11970</v>
      </c>
      <c r="BY25"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206</v>
      </c>
      <c r="BZ25"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206</v>
      </c>
      <c r="CA25"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0</v>
      </c>
      <c r="CB25"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3.8172962607861932E-2</v>
      </c>
      <c r="CC25"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0</v>
      </c>
      <c r="CD25"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710.86370370370366</v>
      </c>
      <c r="CE25"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0</v>
      </c>
      <c r="CF25"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0</v>
      </c>
      <c r="CG25" s="460">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71.78924237037036</v>
      </c>
      <c r="CH25" s="37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4.158552666666667</v>
      </c>
      <c r="CI25" s="26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4.2313036266666666</v>
      </c>
      <c r="CJ25" s="320">
        <f ca="1">-Tbl_MeasureList[[#This Row],[Low Measure Energy Cost (USD/yr)]]+Tbl_MeasureList[[#This Row],[Baseline Energy Cost (USD/yr)]]</f>
        <v>1981.4775511618404</v>
      </c>
      <c r="CK25"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8179.6536409015462</v>
      </c>
      <c r="CL25" s="249">
        <f ca="1">-Tbl_MeasureList[[#This Row],[Low Measure Electric Annual Consumption (kWh/yr)]]+Tbl_MeasureList[[#This Row],[Baseline Electric Annual Consumption (kWh/yr)]]</f>
        <v>168.55</v>
      </c>
      <c r="CM25" s="249">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168.55</v>
      </c>
      <c r="CN25" s="249">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0</v>
      </c>
      <c r="CO25" s="268">
        <f ca="1">-Tbl_MeasureList[[#This Row],[Low Measure Electric Winter Peak Demand (kW)]]+Tbl_MeasureList[[#This Row],[Baseline Electric Winter Peak Demand (kW)]]</f>
        <v>1.92843720038351E-2</v>
      </c>
      <c r="CP25" s="479">
        <f ca="1">-Tbl_MeasureList[[#This Row],[Low Measure Electric Summer Peak Demand (kW)]]+Tbl_MeasureList[[#This Row],[Baseline Electric Summer Peak Demand (kW)]]</f>
        <v>0</v>
      </c>
      <c r="CQ25" s="481">
        <f ca="1">-Tbl_MeasureList[[#This Row],[Low Measure Natural Gas Annual Consumption (therms/yr)]]+Tbl_MeasureList[[#This Row],[Baseline Natural Gas Annual Consumption (therms/yr)]]</f>
        <v>-724.14113207547166</v>
      </c>
      <c r="CR25" s="490">
        <f ca="1">-Tbl_MeasureList[[#This Row],[Low Measure Propane Annual Consumption (MMBtu/yr)]]+Tbl_MeasureList[[#This Row],[Baseline Propane Annual Consumption (MMBtu/yr)]]</f>
        <v>86.692015209125472</v>
      </c>
      <c r="CS25" s="252">
        <f ca="1">-Tbl_MeasureList[[#This Row],[Low Measure Oil Annual Consumption (MMBtu/yr)]]+Tbl_MeasureList[[#This Row],[Baseline Oil Annual Consumption (MMBtu/yr)]]</f>
        <v>0</v>
      </c>
      <c r="CT25"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14.852994601578317</v>
      </c>
      <c r="CU25" s="487">
        <f ca="1">-Tbl_MeasureList[[#This Row],[Low Measure Carbon Emissions, Site (tons CO2/yr)]]+Tbl_MeasureList[[#This Row],[Baseline Carbon Emissions, Site (tons CO2/yr)]]</f>
        <v>1.7888694343927112</v>
      </c>
      <c r="CV25" s="491">
        <f ca="1">-Tbl_MeasureList[[#This Row],[Low Measure Carbon Emissions, Source (tons CO2/yr)]]+Tbl_MeasureList[[#This Row],[Baseline Carbon Emissions, Source (tons CO2/yr)]]</f>
        <v>1.848394552392711</v>
      </c>
      <c r="CW25"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2002.8940431255023</v>
      </c>
      <c r="CX25"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8992.6536409015462</v>
      </c>
      <c r="CY25"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168.55</v>
      </c>
      <c r="CZ25"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168.55</v>
      </c>
      <c r="DA25"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0</v>
      </c>
      <c r="DB25"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1.92843720038351E-2</v>
      </c>
      <c r="DC25"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0</v>
      </c>
      <c r="DD25"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-710.86370370370366</v>
      </c>
      <c r="DE25"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86.692015209125472</v>
      </c>
      <c r="DF25"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0</v>
      </c>
      <c r="DG25" s="270">
        <f ca="1">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16.180737438755116</v>
      </c>
      <c r="DH25"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1.8665423903675533</v>
      </c>
      <c r="DI25"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1.926067508367554</v>
      </c>
      <c r="DJ25" s="320">
        <f ca="1">-Tbl_MeasureList[[#This Row],[Low Measure Energy Cost (USD/yr)]]+Tbl_MeasureList[[#This Row],[Code (old fuel) Energy Cost (USD/yr)]]</f>
        <v>1757.2426629981069</v>
      </c>
      <c r="DK25" s="267">
        <f ca="1">Tbl_MeasureList[[#This Row],[Low Measure Installed Costs (USD)]]-Tbl_MeasureList[[#This Row],[Code (old fuel) Installed Costs (USD)]]</f>
        <v>6271</v>
      </c>
      <c r="DL25" s="249">
        <f ca="1">-Tbl_MeasureList[[#This Row],[Low Measure Electric Annual Consumption (kWh/yr)]]+Tbl_MeasureList[[#This Row],[Code (old fuel) Electric Annual Consumption (kWh/yr)]]</f>
        <v>165.5</v>
      </c>
      <c r="DM25" s="249">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165.5</v>
      </c>
      <c r="DN25" s="249">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0</v>
      </c>
      <c r="DO25" s="268">
        <f ca="1">-Tbl_MeasureList[[#This Row],[Low Measure Electric Winter Peak Demand (kW)]]+Tbl_MeasureList[[#This Row],[Code (old fuel) Electric Winter Peak Demand (kW)]]</f>
        <v>1.8816490891658683E-2</v>
      </c>
      <c r="DP25" s="479">
        <f ca="1">-Tbl_MeasureList[[#This Row],[Low Measure Electric Summer Peak Demand (kW)]]+Tbl_MeasureList[[#This Row],[Code (old fuel) Electric Summer Peak Demand (kW)]]</f>
        <v>0</v>
      </c>
      <c r="DQ25" s="481">
        <f ca="1">-Tbl_MeasureList[[#This Row],[Low Measure Natural Gas Annual Consumption (therms/yr)]]+Tbl_MeasureList[[#This Row],[Code (old fuel) Natural Gas Annual Consumption (therms/yr)]]</f>
        <v>-724.14113207547166</v>
      </c>
      <c r="DR25" s="490">
        <f ca="1">-Tbl_MeasureList[[#This Row],[Low Measure Propane Annual Consumption (MMBtu/yr)]]+Tbl_MeasureList[[#This Row],[Code (old fuel) Propane Annual Consumption (MMBtu/yr)]]</f>
        <v>80.47058823529413</v>
      </c>
      <c r="DS25" s="252">
        <f ca="1">-Tbl_MeasureList[[#This Row],[Low Measure Oil Annual Consumption (MMBtu/yr)]]+Tbl_MeasureList[[#This Row],[Code (old fuel) Oil Annual Consumption (MMBtu/yr)]]</f>
        <v>0</v>
      </c>
      <c r="DT25"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8.6211610277469646</v>
      </c>
      <c r="DU25" s="487">
        <f ca="1">-Tbl_MeasureList[[#This Row],[Low Measure Carbon Emissions, Site (tons CO2/yr)]]+Tbl_MeasureList[[#This Row],[Code (old fuel) Carbon Emissions, Site (tons CO2/yr)]]</f>
        <v>1.3564802597114332</v>
      </c>
      <c r="DV25" s="491">
        <f ca="1">-Tbl_MeasureList[[#This Row],[Low Measure Carbon Emissions, Source (tons CO2/yr)]]+Tbl_MeasureList[[#This Row],[Code (old fuel) Carbon Emissions, Source (tons CO2/yr)]]</f>
        <v>1.4149282397114327</v>
      </c>
      <c r="DW25"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(old fuel) Energy Cost (USD/yr)]],
        "-")</f>
        <v>1778.6591549617688</v>
      </c>
      <c r="DX25"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7084</v>
      </c>
      <c r="DY25"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165.5</v>
      </c>
      <c r="DZ25"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165.5</v>
      </c>
      <c r="EA25"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0</v>
      </c>
      <c r="EB25"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1.8816490891658683E-2</v>
      </c>
      <c r="EC25"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0</v>
      </c>
      <c r="ED25"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-710.86370370370366</v>
      </c>
      <c r="EE25"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80.47058823529413</v>
      </c>
      <c r="EF25"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0</v>
      </c>
      <c r="EG25" s="270">
        <f ca="1">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9.9489038649237642</v>
      </c>
      <c r="EH25"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1.4341532156862753</v>
      </c>
      <c r="EI25"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1.4926011956862757</v>
      </c>
      <c r="EJ25" s="477">
        <f ca="1">Tbl_MeasureList[[#This Row],[Code (old fuel) Energy Cost (USD/yr)]]-Tbl_MeasureList[[#This Row],[Code (new fuel) Energy Cost (USD/yr)]]</f>
        <v>1594.0613208005484</v>
      </c>
      <c r="EK25" s="496">
        <f ca="1">Tbl_MeasureList[[#This Row],[Code (old fuel) Electric Annual Consumption (kWh/yr)]]-Tbl_MeasureList[[#This Row],[Code (new fuel) Electric Annual Consumption (kWh/yr)]]</f>
        <v>-2.5</v>
      </c>
      <c r="EL25" s="496">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-2.5</v>
      </c>
      <c r="EM25" s="496">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0</v>
      </c>
      <c r="EN25" s="500">
        <f ca="1">Tbl_MeasureList[[#This Row],[Code (old fuel) Electric Winter Peak Demand (kW)]]-Tbl_MeasureList[[#This Row],[Code (new fuel) Electric Winter Peak Demand (kW)]]</f>
        <v>-3.8350910834132612E-4</v>
      </c>
      <c r="EO25" s="493">
        <f ca="1">Tbl_MeasureList[[#This Row],[Code (old fuel) Electric Summer Peak Demand (kW)]]-Tbl_MeasureList[[#This Row],[Code (new fuel) Electric Summer Peak Demand (kW)]]</f>
        <v>0</v>
      </c>
      <c r="EP25" s="502">
        <f ca="1">Tbl_MeasureList[[#This Row],[Code (old fuel) Natural Gas Annual Consumption (therms/yr)]]-Tbl_MeasureList[[#This Row],[Code (new fuel) Natural Gas Annual Consumption (therms/yr)]]</f>
        <v>-804.70588235294122</v>
      </c>
      <c r="EQ25" s="215">
        <f ca="1">Tbl_MeasureList[[#This Row],[Code (old fuel) Propane Annual Consumption (MMBtu/yr)]]-Tbl_MeasureList[[#This Row],[Code (new fuel) Propane Annual Consumption (MMBtu/yr)]]</f>
        <v>80.47058823529413</v>
      </c>
      <c r="ER25" s="502">
        <f ca="1">Tbl_MeasureList[[#This Row],[Code (old fuel) Oil Annual Consumption (MMBtu/yr)]]-Tbl_MeasureList[[#This Row],[Code (new fuel) Oil Annual Consumption (MMBtu/yr)]]</f>
        <v>0</v>
      </c>
      <c r="ES25" s="215">
        <f ca="1">Tbl_MeasureList[[#This Row],[Code (old fuel) Energy Consumption on MMBtu Basis (MMBtu/yr)]]-Tbl_MeasureList[[#This Row],[Code (new fuel) Energy Consumption on MMBtu Basis (MMBtu/yr)]]</f>
        <v>-8.5299999999932652E-3</v>
      </c>
      <c r="ET25" s="502">
        <f ca="1">Tbl_MeasureList[[#This Row],[Code (old fuel) Carbon Emissions, Site (tons CO2/yr)]]-Tbl_MeasureList[[#This Row],[Code (new fuel) Carbon Emissions, Site (tons CO2/yr)]]</f>
        <v>0.88517647058823723</v>
      </c>
      <c r="EU25" s="498">
        <f ca="1">Tbl_MeasureList[[#This Row],[Code (old fuel) Carbon Emissions, Source (tons CO2/yr)]]-Tbl_MeasureList[[#This Row],[Code (new fuel) Carbon Emissions, Source (tons CO2/yr)]]</f>
        <v>0.88429357058823665</v>
      </c>
      <c r="EV25" s="450">
        <f ca="1">Tbl_MeasureList[[#This Row],[ER Total Low Measure Electric Annual Consumption Savings (kWh/yr)]]*COAL_BTU_PER_SITE_KWH/Btu_per_MMBtu</f>
        <v>1.8552779559059731E-2</v>
      </c>
      <c r="EW25" s="411">
        <f ca="1">Tbl_MeasureList[[#This Row],[ER Total Low Measure Electric Annual Consumption Savings (kWh/yr)]]*COAL_LBS_PER_SITE_KWH</f>
        <v>1.627436803426292</v>
      </c>
      <c r="EX25" s="326">
        <f ca="1">Tbl_MeasureList[[#This Row],[ER Total Low Measure Electric Annual Consumption Savings (kWh/yr)]]*OIL_BTU_PER_SITE_KWH/Btu_per_MMBtu</f>
        <v>2.1357855242401119E-2</v>
      </c>
      <c r="EY25" s="325">
        <f ca="1">Tbl_MeasureList[[#This Row],[ER Total Low Measure Electric Annual Consumption Savings (kWh/yr)]]*OIL_GAL_PER_SITE_KWH</f>
        <v>0.15482877409403106</v>
      </c>
      <c r="EZ25" s="326">
        <f ca="1">Tbl_MeasureList[[#This Row],[ER Total Low Measure Oil Annual Consumption Savings (MMBtu/yr)]]*Btu_per_MMBtu/OIL_BTU_PER_GAL</f>
        <v>0</v>
      </c>
      <c r="FA25" s="325">
        <f ca="1">Tbl_MeasureList[[#This Row],[Current ER Total Low Measure Oil Source Fuel Savings (gallons oil/year)]]+Tbl_MeasureList[[#This Row],[Current ER Total Low Measure Oil Site Fuel Savings (gallons oil/year)]]</f>
        <v>0.15482877409403106</v>
      </c>
      <c r="FB25" s="326">
        <f ca="1">Tbl_MeasureList[[#This Row],[ER Total Low Measure Electric Annual Consumption Savings (kWh/yr)]]*GAS_BTU_PER_SITE_KWH/Btu_per_MMBtu</f>
        <v>0.68972865766233371</v>
      </c>
      <c r="FC25" s="327">
        <f ca="1">Tbl_MeasureList[[#This Row],[ER Total Low Measure Electric Annual Consumption Savings (kWh/yr)]]*GAS_CUFT_PER_SITE_KWH/1000</f>
        <v>0.67029024068253995</v>
      </c>
      <c r="FD25" s="328">
        <f ca="1">Tbl_MeasureList[[#This Row],[ER Total Low Measure Natural Gas Annual Consumption Savings (therms/yr)]]*Btu_per_MMBtu/(GAS_BTU_PER_CUFT*Therm_per_MMBtu*1000)</f>
        <v>-70.37328785961823</v>
      </c>
      <c r="FE25" s="329">
        <f ca="1">Tbl_MeasureList[[#This Row],[Current ER Total Low Measure Gas Source Fuel Savings (1,000 cu.ft. gas/year)]]+Tbl_MeasureList[[#This Row],[Current ER Total Low Measure Gas Site Fuel Savings (1,000 cu.ft gas/year)]]</f>
        <v>-69.702997618935697</v>
      </c>
      <c r="FF25" s="324">
        <f ca="1">IFERROR(Tbl_MeasureList[[#This Row],[ER Total High Measure Electric Annual Consumption Savings (kWh/yr)]]*COAL_BTU_PER_SITE_KWH/Btu_per_MMBtu,"-")</f>
        <v>1.8552779559059731E-2</v>
      </c>
      <c r="FG25" s="325">
        <f ca="1">IFERROR(Tbl_MeasureList[[#This Row],[ER Total High Measure Electric Annual Consumption Savings (kWh/yr)]]*COAL_LBS_PER_SITE_KWH,"-")</f>
        <v>1.627436803426292</v>
      </c>
      <c r="FH25" s="326">
        <f ca="1">IFERROR(Tbl_MeasureList[[#This Row],[ER Total High Measure Electric Annual Consumption Savings (kWh/yr)]]*OIL_BTU_PER_SITE_KWH/Btu_per_MMBtu,"-")</f>
        <v>2.1357855242401119E-2</v>
      </c>
      <c r="FI25" s="325">
        <f ca="1">IFERROR(Tbl_MeasureList[[#This Row],[ER Total High Measure Electric Annual Consumption Savings (kWh/yr)]]*OIL_GAL_PER_SITE_KWH,"-")</f>
        <v>0.15482877409403106</v>
      </c>
      <c r="FJ25" s="326">
        <f ca="1">IFERROR(Tbl_MeasureList[[#This Row],[ER Total High Measure Oil Annual Consumption Savings (MMBtu/yr)]]*Btu_per_MMBtu/OIL_BTU_PER_GAL,"-")</f>
        <v>0</v>
      </c>
      <c r="FK25" s="325">
        <f ca="1">IFERROR(Tbl_MeasureList[[#This Row],[Current ER Total High Measure Oil Source Fuel Savings (gallons oil/year)]]+Tbl_MeasureList[[#This Row],[Current ER Total High Measure Oil Site Fuel Savings (gallons oil/year)]],"-")</f>
        <v>0.15482877409403106</v>
      </c>
      <c r="FL25" s="326">
        <f ca="1">IFERROR(Tbl_MeasureList[[#This Row],[ER Total High Measure Electric Annual Consumption Savings (kWh/yr)]]*GAS_BTU_PER_SITE_KWH/Btu_per_MMBtu,"-")</f>
        <v>0.68972865766233371</v>
      </c>
      <c r="FM25" s="327">
        <f ca="1">IFERROR(Tbl_MeasureList[[#This Row],[ER Total High Measure Electric Annual Consumption Savings (kWh/yr)]]*GAS_CUFT_PER_SITE_KWH/1000,"-")</f>
        <v>0.67029024068253995</v>
      </c>
      <c r="FN25" s="328">
        <f ca="1">IFERROR(Tbl_MeasureList[[#This Row],[ER Total High Measure Natural Gas Annual Consumption Savings (therms/yr)]]*Btu_per_MMBtu/(GAS_BTU_PER_CUFT*Therm_per_MMBtu*1000),"-")</f>
        <v>-69.082964402692284</v>
      </c>
      <c r="FO25" s="329">
        <f ca="1">IFERROR(Tbl_MeasureList[[#This Row],[Current ER Total High Measure Gas Source Fuel Savings (1,000 cu.ft. gas/year)]]+Tbl_MeasureList[[#This Row],[Current ER Total High Measure Gas Site Fuel Savings (1,000 cu.ft gas/year)]],"-")</f>
        <v>-68.41267416200975</v>
      </c>
      <c r="FP25" s="412">
        <f ca="1">Tbl_MeasureList[[#This Row],[ROF Low Measure Electric Annual Consumption Savings (kWh/yr)]]*COAL_BTU_PER_SITE_KWH/Btu_per_MMBtu</f>
        <v>1.8217057354045597E-2</v>
      </c>
      <c r="FQ25" s="327">
        <f ca="1">Tbl_MeasureList[[#This Row],[ROF Low Measure Electric Annual Consumption Savings (kWh/yr)]]*COAL_LBS_PER_SITE_KWH</f>
        <v>1.5979874871969821</v>
      </c>
      <c r="FR25" s="412">
        <f ca="1">Tbl_MeasureList[[#This Row],[ROF Low Measure Electric Annual Consumption Savings (kWh/yr)]]*OIL_BTU_PER_SITE_KWH/Btu_per_MMBtu</f>
        <v>2.0971373732526753E-2</v>
      </c>
      <c r="FS25" s="327">
        <f ca="1">Tbl_MeasureList[[#This Row],[ROF Low Measure Electric Annual Consumption Savings (kWh/yr)]]*OIL_GAL_PER_SITE_KWH</f>
        <v>0.1520270668203034</v>
      </c>
      <c r="FT25" s="412">
        <f ca="1">Tbl_MeasureList[[#This Row],[ROF Low Measure Oil Annual Consumption Savings (MMBtu/yr)]]*Btu_per_MMBtu/OIL_BTU_PER_GAL</f>
        <v>0</v>
      </c>
      <c r="FU25" s="327">
        <f ca="1">Tbl_MeasureList[[#This Row],[Current ROF Low Measure Oil Source Fuel Savings (gallons oil/year)]]+Tbl_MeasureList[[#This Row],[Current ROF Low Measure Oil Site Fuel Savings (gallons oil/year)]]</f>
        <v>0.1520270668203034</v>
      </c>
      <c r="FV25" s="412">
        <f ca="1">Tbl_MeasureList[[#This Row],[ROF Low Measure Electric Annual Consumption Savings (kWh/yr)]]*GAS_BTU_PER_SITE_KWH/Btu_per_MMBtu</f>
        <v>0.67724765851745006</v>
      </c>
      <c r="FW25" s="327">
        <f ca="1">Tbl_MeasureList[[#This Row],[ROF Low Measure Electric Annual Consumption Savings (kWh/yr)]]*GAS_CUFT_PER_SITE_KWH/1000</f>
        <v>0.65816098981287663</v>
      </c>
      <c r="FX25" s="412">
        <f ca="1">Tbl_MeasureList[[#This Row],[ROF Low Measure Natural Gas Annual Consumption Savings (therms/yr)]]*Btu_per_MMBtu/(GAS_BTU_PER_CUFT*Therm_per_MMBtu*1000)</f>
        <v>-70.37328785961823</v>
      </c>
      <c r="FY25" s="327">
        <f ca="1">Tbl_MeasureList[[#This Row],[Current ROF Low Measure Gas Source Fuel Savings (1,000 cu.ft. gas/year)]]+Tbl_MeasureList[[#This Row],[Current ROF Low Measure Gas Site Fuel Savings (1,000 cu.ft gas/year)]]</f>
        <v>-69.71512686980536</v>
      </c>
      <c r="FZ25" s="414">
        <f ca="1">IFERROR(Tbl_MeasureList[[#This Row],[ROF High Measure Electric Annual Consumption Savings (kWh/yr)]]*COAL_BTU_PER_SITE_KWH/Btu_per_MMBtu,"-")</f>
        <v>1.8217057354045597E-2</v>
      </c>
      <c r="GA25" s="327">
        <f ca="1">IFERROR(Tbl_MeasureList[[#This Row],[ROF High Measure Electric Annual Consumption Savings (kWh/yr)]]*COAL_LBS_PER_SITE_KWH,"-")</f>
        <v>1.5979874871969821</v>
      </c>
      <c r="GB25" s="412">
        <f ca="1">IFERROR(Tbl_MeasureList[[#This Row],[ROF High Measure Electric Annual Consumption Savings (kWh/yr)]]*OIL_BTU_PER_SITE_KWH/Btu_per_MMBtu,"-")</f>
        <v>2.0971373732526753E-2</v>
      </c>
      <c r="GC25" s="327">
        <f ca="1">IFERROR(Tbl_MeasureList[[#This Row],[ROF High Measure Electric Annual Consumption Savings (kWh/yr)]]*OIL_GAL_PER_SITE_KWH,"-")</f>
        <v>0.1520270668203034</v>
      </c>
      <c r="GD25" s="412">
        <f ca="1">IFERROR(Tbl_MeasureList[[#This Row],[ROF High Measure Oil Annual Consumption Savings (MMBtu/yr)]]*Btu_per_MMBtu/OIL_BTU_PER_GAL,"-")</f>
        <v>0</v>
      </c>
      <c r="GE25" s="327">
        <f ca="1">IFERROR(Tbl_MeasureList[[#This Row],[Current ROF High Measure Oil Source Fuel Savings (gallons oil/year)]]+Tbl_MeasureList[[#This Row],[Current ROF High Measure Oil Site Fuel Savings (gallons oil/year)]],"-")</f>
        <v>0.1520270668203034</v>
      </c>
      <c r="GF25" s="412">
        <f ca="1">IFERROR(Tbl_MeasureList[[#This Row],[ROF High Measure Electric Annual Consumption Savings (kWh/yr)]]*GAS_BTU_PER_SITE_KWH/Btu_per_MMBtu,"-")</f>
        <v>0.67724765851745006</v>
      </c>
      <c r="GG25" s="327">
        <f ca="1">IFERROR(Tbl_MeasureList[[#This Row],[ROF High Measure Electric Annual Consumption Savings (kWh/yr)]]*GAS_CUFT_PER_SITE_KWH/1000,"-")</f>
        <v>0.65816098981287663</v>
      </c>
      <c r="GH25" s="412">
        <f ca="1">IFERROR(Tbl_MeasureList[[#This Row],[ROF High Measure Natural Gas Annual Consumption Savings (therms/yr)]]*Btu_per_MMBtu/(GAS_BTU_PER_CUFT*Therm_per_MMBtu*1000),"-")</f>
        <v>-69.082964402692284</v>
      </c>
      <c r="GI25" s="327">
        <f ca="1">IFERROR(Tbl_MeasureList[[#This Row],[Current ROF High Measure Gas Source Fuel Savings (1,000 cu.ft. gas/year)]]+Tbl_MeasureList[[#This Row],[Current ROF High Measure Gas Site Fuel Savings (1,000 cu.ft gas/year)]],"-")</f>
        <v>-68.424803412879413</v>
      </c>
      <c r="GJ25" s="324">
        <f ca="1">Tbl_MeasureList[[#This Row],[ER Total Low Measure Electric Annual Consumption Savings (kWh/yr)]]*COAL_BTU_PER_SITE_KWH_CES/Btu_per_MMBtu</f>
        <v>3.1539725250401544E-2</v>
      </c>
      <c r="GK25" s="325">
        <f ca="1">Tbl_MeasureList[[#This Row],[ER Total Low Measure Electric Annual Consumption Savings (kWh/yr)]]*COAL_LBS_PER_SITE_KWH_CES</f>
        <v>2.8641232519434747</v>
      </c>
      <c r="GL25" s="326">
        <f ca="1">Tbl_MeasureList[[#This Row],[ER Total Low Measure Electric Annual Consumption Savings (kWh/yr)]]*OIL_BTU_PER_SITE_KWH_CES/Btu_per_MMBtu</f>
        <v>9.7081160192732351E-3</v>
      </c>
      <c r="GM25" s="325">
        <f ca="1">Tbl_MeasureList[[#This Row],[ER Total Low Measure Electric Annual Consumption Savings (kWh/yr)]]*OIL_GAL_PER_SITE_KWH_CES</f>
        <v>6.5496249050580449E-2</v>
      </c>
      <c r="GN25" s="326">
        <f ca="1">Tbl_MeasureList[[#This Row],[ER Total Low Measure Oil Annual Consumption Savings (MMBtu/yr)]]*Btu_per_MMBtu/OIL_BTU_PER_GAL_CES</f>
        <v>0</v>
      </c>
      <c r="GO25" s="325">
        <f ca="1">Tbl_MeasureList[[#This Row],[CES ER Low Measure Oil Source Fuel Savings (gallons oil/year)]]+Tbl_MeasureList[[#This Row],[CES ER Low Measure Oil Site Fuel Savings (gallons oil/year)]]</f>
        <v>6.5496249050580449E-2</v>
      </c>
      <c r="GP25" s="326">
        <f ca="1">Tbl_MeasureList[[#This Row],[ER Total Low Measure Electric Annual Consumption Savings (kWh/yr)]]*GAS_BTU_PER_SITE_KWH_CES/Btu_per_MMBtu</f>
        <v>0.28715233910840016</v>
      </c>
      <c r="GQ25" s="327">
        <f ca="1">Tbl_MeasureList[[#This Row],[ER Total Low Measure Electric Annual Consumption Savings (kWh/yr)]]*GAS_CUFT_PER_SITE_KWH_CES/1000</f>
        <v>0.27878867874601959</v>
      </c>
      <c r="GR25" s="328">
        <f ca="1">Tbl_MeasureList[[#This Row],[ER Total Low Measure Natural Gas Annual Consumption Savings (therms/yr)]]*Btu_per_MMBtu/(GAS_BTU_PER_CUFT_CES*Therm_per_MMBtu*1000)</f>
        <v>-70.304964279171998</v>
      </c>
      <c r="GS25" s="329">
        <f ca="1">Tbl_MeasureList[[#This Row],[CES ER Low Measure Gas Source Fuel Savings (1,000 cu.ft. gas/year)]]+Tbl_MeasureList[[#This Row],[CES ER Low Measure Gas Site Fuel Savings (1,000 cu.ft gas/year)]]</f>
        <v>-70.026175600425972</v>
      </c>
      <c r="GT25" s="324">
        <f ca="1">IFERROR(Tbl_MeasureList[[#This Row],[ER Total High Measure Electric Annual Consumption Savings (kWh/yr)]]*COAL_BTU_PER_SITE_KWH_CES/Btu_per_MMBtu,"-")</f>
        <v>3.1539725250401544E-2</v>
      </c>
      <c r="GU25" s="325">
        <f ca="1">IFERROR(Tbl_MeasureList[[#This Row],[ER Total High Measure Electric Annual Consumption Savings (kWh/yr)]]*COAL_LBS_PER_SITE_KWH_CES,"-")</f>
        <v>2.8641232519434747</v>
      </c>
      <c r="GV25" s="326">
        <f ca="1">IFERROR(Tbl_MeasureList[[#This Row],[ER Total High Measure Electric Annual Consumption Savings (kWh/yr)]]*OIL_BTU_PER_SITE_KWH_CES/Btu_per_MMBtu,"-")</f>
        <v>9.7081160192732351E-3</v>
      </c>
      <c r="GW25" s="325">
        <f ca="1">IFERROR(Tbl_MeasureList[[#This Row],[ER Total High Measure Electric Annual Consumption Savings (kWh/yr)]]*OIL_GAL_PER_SITE_KWH_CES,"-")</f>
        <v>6.5496249050580449E-2</v>
      </c>
      <c r="GX25" s="326">
        <f ca="1">IFERROR(Tbl_MeasureList[[#This Row],[ER Total High Measure Oil Annual Consumption Savings (MMBtu/yr)]]*Btu_per_MMBtu/OIL_BTU_PER_GAL_CES,"-")</f>
        <v>0</v>
      </c>
      <c r="GY25" s="325">
        <f ca="1">IFERROR(Tbl_MeasureList[[#This Row],[CES ER High Measure Oil Source Fuel Savings (gallons oil/year)]]+Tbl_MeasureList[[#This Row],[CES ER High Measure Oil Site Fuel Savings (gallons oil/year)]],"-")</f>
        <v>6.5496249050580449E-2</v>
      </c>
      <c r="GZ25" s="326">
        <f ca="1">IFERROR(Tbl_MeasureList[[#This Row],[ER Total High Measure Electric Annual Consumption Savings (kWh/yr)]]*GAS_BTU_PER_SITE_KWH_CES/Btu_per_MMBtu,"-")</f>
        <v>0.28715233910840016</v>
      </c>
      <c r="HA25" s="327">
        <f ca="1">IFERROR(Tbl_MeasureList[[#This Row],[ER Total High Measure Electric Annual Consumption Savings (kWh/yr)]]*GAS_CUFT_PER_SITE_KWH_CES/1000,"-")</f>
        <v>0.27878867874601959</v>
      </c>
      <c r="HB25" s="328">
        <f ca="1">IFERROR(Tbl_MeasureList[[#This Row],[ER Total High Measure Natural Gas Annual Consumption Savings (therms/yr)]]*Btu_per_MMBtu/(GAS_BTU_PER_CUFT_CES*Therm_per_MMBtu*1000),"-")</f>
        <v>-69.015893563466378</v>
      </c>
      <c r="HC25" s="329">
        <f ca="1">IFERROR(Tbl_MeasureList[[#This Row],[CES ER High Measure Gas Source Fuel Savings (1,000 cu.ft. gas/year)]]+Tbl_MeasureList[[#This Row],[CES ER High Measure Gas Site Fuel Savings (1,000 cu.ft gas/year)]],"-")</f>
        <v>-68.737104884720353</v>
      </c>
      <c r="HD25" s="315">
        <f ca="1">Tbl_MeasureList[[#This Row],[ROF Low Measure Electric Annual Consumption Savings (kWh/yr)]]*COAL_BTU_PER_SITE_KWH_CES/Btu_per_MMBtu</f>
        <v>3.096899750187751E-2</v>
      </c>
      <c r="HE25" s="316">
        <f ca="1">Tbl_MeasureList[[#This Row],[ROF Low Measure Electric Annual Consumption Savings (kWh/yr)]]*COAL_LBS_PER_SITE_KWH_CES</f>
        <v>2.8122954505882229</v>
      </c>
      <c r="HF25" s="317">
        <f ca="1">Tbl_MeasureList[[#This Row],[ROF Low Measure Electric Annual Consumption Savings (kWh/yr)]]*OIL_BTU_PER_SITE_KWH_CES/Btu_per_MMBtu</f>
        <v>9.5324426056939797E-3</v>
      </c>
      <c r="HG25" s="316">
        <f ca="1">Tbl_MeasureList[[#This Row],[ROF Low Measure Electric Annual Consumption Savings (kWh/yr)]]*OIL_GAL_PER_SITE_KWH_CES</f>
        <v>6.4311060325547689E-2</v>
      </c>
      <c r="HH25" s="317">
        <f ca="1">Tbl_MeasureList[[#This Row],[ROF Low Measure Oil Annual Consumption Savings (MMBtu/yr)]]*Btu_per_MMBtu/OIL_BTU_PER_GAL_CES</f>
        <v>0</v>
      </c>
      <c r="HI25" s="316">
        <f ca="1">Tbl_MeasureList[[#This Row],[CES ROF Low Measure Oil Source Fuel Savings (gallons oil/year)]]+Tbl_MeasureList[[#This Row],[CES ROF Low Measure Oil Site Fuel Savings (gallons oil/year)]]</f>
        <v>6.4311060325547689E-2</v>
      </c>
      <c r="HJ25" s="317">
        <f ca="1">Tbl_MeasureList[[#This Row],[ROF Low Measure Electric Annual Consumption Savings (kWh/yr)]]*GAS_BTU_PER_SITE_KWH_CES/Btu_per_MMBtu</f>
        <v>0.28195616803583634</v>
      </c>
      <c r="HK25" s="316">
        <f ca="1">Tbl_MeasureList[[#This Row],[ROF Low Measure Electric Annual Consumption Savings (kWh/yr)]]*GAS_CUFT_PER_SITE_KWH_CES/1000</f>
        <v>0.27374385246197708</v>
      </c>
      <c r="HL25" s="317">
        <f ca="1">Tbl_MeasureList[[#This Row],[ROF Low Measure Natural Gas Annual Consumption Savings (therms/yr)]]*Btu_per_MMBtu/(GAS_BTU_PER_CUFT_CES*Therm_per_MMBtu*1000)</f>
        <v>-70.304964279171998</v>
      </c>
      <c r="HM25" s="318">
        <f ca="1">Tbl_MeasureList[[#This Row],[CES ROF Low Measure Gas Source Fuel Savings (1,000 cu.ft. gas/year)]]+Tbl_MeasureList[[#This Row],[CES ROF Low Measure Gas Site Fuel Savings (1,000 cu.ft gas/year)]]</f>
        <v>-70.031220426710021</v>
      </c>
      <c r="HN25" s="315">
        <f ca="1">IFERROR(Tbl_MeasureList[[#This Row],[ROF High Measure Electric Annual Consumption Savings (kWh/yr)]]*COAL_BTU_PER_SITE_KWH_CES/Btu_per_MMBtu,"-")</f>
        <v>3.096899750187751E-2</v>
      </c>
      <c r="HO25" s="316">
        <f ca="1">IFERROR(Tbl_MeasureList[[#This Row],[ROF High Measure Electric Annual Consumption Savings (kWh/yr)]]*COAL_LBS_PER_SITE_KWH_CES,"-")</f>
        <v>2.8122954505882229</v>
      </c>
      <c r="HP25" s="317">
        <f ca="1">IFERROR(Tbl_MeasureList[[#This Row],[ROF High Measure Electric Annual Consumption Savings (kWh/yr)]]*OIL_BTU_PER_SITE_KWH_CES/Btu_per_MMBtu,"-")</f>
        <v>9.5324426056939797E-3</v>
      </c>
      <c r="HQ25" s="316">
        <f ca="1">IFERROR(Tbl_MeasureList[[#This Row],[ROF High Measure Electric Annual Consumption Savings (kWh/yr)]]*OIL_GAL_PER_SITE_KWH_CES,"-")</f>
        <v>6.4311060325547689E-2</v>
      </c>
      <c r="HR25" s="317">
        <f ca="1">IFERROR(Tbl_MeasureList[[#This Row],[ROF High Measure Oil Annual Consumption Savings (MMBtu/yr)]]*Btu_per_MMBtu/OIL_BTU_PER_GAL_CES,"-")</f>
        <v>0</v>
      </c>
      <c r="HS25" s="316">
        <f ca="1">IFERROR(Tbl_MeasureList[[#This Row],[CES ROF High Measure Oil Source Fuel Savings (gallons oil/year)]]+Tbl_MeasureList[[#This Row],[CES ROF High Measure Oil Site Fuel Savings (gallons oil/year)]],"-")</f>
        <v>6.4311060325547689E-2</v>
      </c>
      <c r="HT25" s="317">
        <f ca="1">IFERROR(Tbl_MeasureList[[#This Row],[ROF High Measure Electric Annual Consumption Savings (kWh/yr)]]*GAS_BTU_PER_SITE_KWH_CES/Btu_per_MMBtu,"-")</f>
        <v>0.28195616803583634</v>
      </c>
      <c r="HU25" s="316">
        <f ca="1">IFERROR(Tbl_MeasureList[[#This Row],[ROF High Measure Electric Annual Consumption Savings (kWh/yr)]]*GAS_CUFT_PER_SITE_KWH_CES/1000,"-")</f>
        <v>0.27374385246197708</v>
      </c>
      <c r="HV25" s="317">
        <f ca="1">IFERROR(Tbl_MeasureList[[#This Row],[ROF High Measure Natural Gas Annual Consumption Savings (therms/yr)]]*Btu_per_MMBtu/(GAS_BTU_PER_CUFT_CES*Therm_per_MMBtu*1000),"-")</f>
        <v>-69.015893563466378</v>
      </c>
      <c r="HW25" s="318">
        <f ca="1">IFERROR(Tbl_MeasureList[[#This Row],[CES ROF High Measure Gas Source Fuel Savings (1,000 cu.ft. gas/year)]]+Tbl_MeasureList[[#This Row],[CES ROF High Measure Gas Site Fuel Savings (1,000 cu.ft gas/year)]],"-")</f>
        <v>-68.742149711004402</v>
      </c>
      <c r="HX25" s="248">
        <f>Tbl_MeasureList[[#This Row],[Baseline Energy Cost (USD/yr)]]-Tbl_MeasureList[[#This Row],[Code (old fuel) Energy Cost (USD/yr)]]</f>
        <v>224.23488816373356</v>
      </c>
      <c r="HY25" s="201">
        <f>0</f>
        <v>0</v>
      </c>
      <c r="HZ25" s="86">
        <f>Tbl_MeasureList[[#This Row],[Baseline Electric Annual Consumption (kWh/yr)]]-Tbl_MeasureList[[#This Row],[Code (old fuel) Electric Annual Consumption (kWh/yr)]]</f>
        <v>3.0500000000000114</v>
      </c>
      <c r="IA25" s="86">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3.0500000000000114</v>
      </c>
      <c r="IB25" s="86">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0</v>
      </c>
      <c r="IC25" s="152">
        <f>Tbl_MeasureList[[#This Row],[Baseline Electric Winter Peak Demand (kW)]]-Tbl_MeasureList[[#This Row],[Code (old fuel) Electric Winter Peak Demand (kW)]]</f>
        <v>4.6788111217641731E-4</v>
      </c>
      <c r="ID25" s="152">
        <f>Tbl_MeasureList[[#This Row],[Baseline Electric Summer Peak Demand (kW)]]-Tbl_MeasureList[[#This Row],[Code (old fuel) Electric Summer Peak Demand (kW)]]</f>
        <v>0</v>
      </c>
      <c r="IE25" s="251">
        <f>Tbl_MeasureList[[#This Row],[Baseline Natural Gas Annual Consumption (therms/yr)]]-Tbl_MeasureList[[#This Row],[Code (old fuel) Natural Gas Annual Consumption (therms/yr)]]</f>
        <v>0</v>
      </c>
      <c r="IF25" s="252">
        <f>Tbl_MeasureList[[#This Row],[Baseline Propane Annual Consumption (MMBtu/yr)]]-Tbl_MeasureList[[#This Row],[Code (old fuel) Propane Annual Consumption (MMBtu/yr)]]</f>
        <v>6.2214269738313419</v>
      </c>
      <c r="IG25" s="253">
        <f>Tbl_MeasureList[[#This Row],[Baseline Oil Annual Consumption (MMBtu/yr)]]-Tbl_MeasureList[[#This Row],[Code (old fuel) Oil Annual Consumption (MMBtu/yr)]]</f>
        <v>0</v>
      </c>
      <c r="IH25" s="371">
        <f>Tbl_MeasureList[[#This Row],[Baseline Energy Consumption on MMBtu Basis (MMBtu/yr)]]-Tbl_MeasureList[[#This Row],[Code (old fuel) Energy Consumption on MMBtu Basis (MMBtu/yr)]]</f>
        <v>6.2318335738313522</v>
      </c>
      <c r="II25" s="371">
        <f>Tbl_MeasureList[[#This Row],[Baseline Carbon Emissions, Site (tons CO2/yr)]]-Tbl_MeasureList[[#This Row],[Code (old fuel) Carbon Emissions, Site (tons CO2/yr)]]</f>
        <v>0.43238917468127802</v>
      </c>
      <c r="IJ25" s="279">
        <f>Tbl_MeasureList[[#This Row],[Baseline Carbon Emissions, Source (tons CO2/yr)]]-Tbl_MeasureList[[#This Row],[Code (old fuel) Carbon Emissions, Source (tons CO2/yr)]]</f>
        <v>0.43346631268127833</v>
      </c>
      <c r="IK25" s="273">
        <f ca="1">Tbl_MeasureList[[#This Row],[Code (new fuel) Energy Cost (USD/yr)]]-Tbl_MeasureList[[#This Row],[Low Measure Energy Cost (USD/yr)]]</f>
        <v>163.18134219755848</v>
      </c>
      <c r="IL25"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8179.6536409015462</v>
      </c>
      <c r="IM25" s="85">
        <f ca="1">Tbl_MeasureList[[#This Row],[Code (old fuel) Electric Annual Consumption (kWh/yr)]]-Tbl_MeasureList[[#This Row],[Low Measure Electric Annual Consumption (kWh/yr)]]</f>
        <v>165.5</v>
      </c>
      <c r="IN25" s="85">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165.5</v>
      </c>
      <c r="IO25" s="85">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0</v>
      </c>
      <c r="IP25" s="152">
        <f ca="1">Tbl_MeasureList[[#This Row],[Code (old fuel) Electric Winter Peak Demand (kW)]]-Tbl_MeasureList[[#This Row],[Low Measure Electric Winter Peak Demand (kW)]]</f>
        <v>1.8816490891658683E-2</v>
      </c>
      <c r="IQ25" s="152">
        <f ca="1">Tbl_MeasureList[[#This Row],[Code (old fuel) Electric Summer Peak Demand (kW)]]-Tbl_MeasureList[[#This Row],[Low Measure Electric Summer Peak Demand (kW)]]</f>
        <v>0</v>
      </c>
      <c r="IR25" s="204">
        <f ca="1">Tbl_MeasureList[[#This Row],[Code (old fuel) Natural Gas Annual Consumption (therms/yr)]]-Tbl_MeasureList[[#This Row],[Low Measure Natural Gas Annual Consumption (therms/yr)]]</f>
        <v>-724.14113207547166</v>
      </c>
      <c r="IS25" s="153">
        <f ca="1">Tbl_MeasureList[[#This Row],[Code (old fuel) Propane Annual Consumption (MMBtu/yr)]]-Tbl_MeasureList[[#This Row],[Low Measure Propane Annual Consumption (MMBtu/yr)]]</f>
        <v>80.47058823529413</v>
      </c>
      <c r="IT25" s="204">
        <f ca="1">Tbl_MeasureList[[#This Row],[Code (old fuel) Oil Annual Consumption (MMBtu/yr)]]-Tbl_MeasureList[[#This Row],[Low Measure Oil Annual Consumption (MMBtu/yr)]]</f>
        <v>0</v>
      </c>
      <c r="IU25" s="204">
        <f ca="1">Tbl_MeasureList[[#This Row],[Code (old fuel) Energy Consumption on MMBtu Basis (MMBtu/yr)]]-Tbl_MeasureList[[#This Row],[Low Measure Energy Consumption on MMBtu Basis (MMBtu/yr)]]</f>
        <v>8.6211610277469646</v>
      </c>
      <c r="IV25" s="204">
        <f ca="1">Tbl_MeasureList[[#This Row],[Code (old fuel) Carbon Emissions, Site (tons CO2/yr)]]-Tbl_MeasureList[[#This Row],[Low Measure Carbon Emissions, Site (tons CO2/yr)]]</f>
        <v>1.3564802597114332</v>
      </c>
      <c r="IW25" s="260">
        <f ca="1">Tbl_MeasureList[[#This Row],[Code (old fuel) Carbon Emissions, Source (tons CO2/yr)]]-Tbl_MeasureList[[#This Row],[Low Measure Carbon Emissions, Source (tons CO2/yr)]]</f>
        <v>1.4149282397114327</v>
      </c>
      <c r="IX25" s="27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1778.6591549617688</v>
      </c>
      <c r="IY25" s="20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8992.6536409015462</v>
      </c>
      <c r="IZ25"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165.5</v>
      </c>
      <c r="JA25"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165.5</v>
      </c>
      <c r="JB25"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0</v>
      </c>
      <c r="JC25"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1.8816490891658683E-2</v>
      </c>
      <c r="JD25"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0</v>
      </c>
      <c r="JE25"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-710.86370370370366</v>
      </c>
      <c r="JF25" s="1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80.47058823529413</v>
      </c>
      <c r="JG25"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0</v>
      </c>
      <c r="JH25"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9.9489038649237642</v>
      </c>
      <c r="JI25"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1.4341532156862753</v>
      </c>
      <c r="JJ25"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1.4926011956862757</v>
      </c>
      <c r="JK25" s="432">
        <f>Tbl_MeasureList[[#This Row],[ER (Retire) Electric Annual Consumption Savings (kWh/yr)]]*COAL_BTU_PER_SITE_KWH/Btu_per_MMBtu</f>
        <v>3.3572220501413462E-4</v>
      </c>
      <c r="JL25" s="428">
        <f>Tbl_MeasureList[[#This Row],[ER (Retire) Electric Annual Consumption Savings (kWh/yr)]]*COAL_LBS_PER_SITE_KWH</f>
        <v>2.944931622931005E-2</v>
      </c>
      <c r="JM25" s="427">
        <f>Tbl_MeasureList[[#This Row],[ER (Retire) Electric Annual Consumption Savings (kWh/yr)]]*OIL_BTU_PER_SITE_KWH/Btu_per_MMBtu</f>
        <v>3.8648150987436158E-4</v>
      </c>
      <c r="JN25" s="428">
        <f>Tbl_MeasureList[[#This Row],[ER (Retire) Electric Annual Consumption Savings (kWh/yr)]]*OIL_GAL_PER_SITE_KWH</f>
        <v>2.8017072737276565E-3</v>
      </c>
      <c r="JO25" s="427">
        <f>Tbl_MeasureList[[#This Row],[ER (Retire) Oil Annual Consumption Savings (MMBtu/yr)]]*Btu_per_MMBtu/OIL_BTU_PER_GAL</f>
        <v>0</v>
      </c>
      <c r="JP25" s="428">
        <f ca="1">Tbl_MeasureList[[#This Row],[Current ER (Retire) Oil Source Fuel Savings (gallons oil/year)]]+Tbl_MeasureList[[#This Row],[Current ER Total Low Measure Oil Site Fuel Savings (gallons oil/year)]]</f>
        <v>2.8017072737276565E-3</v>
      </c>
      <c r="JQ25" s="427">
        <f>Tbl_MeasureList[[#This Row],[ER (Retire) Electric Annual Consumption Savings (kWh/yr)]]*GAS_BTU_PER_SITE_KWH/Btu_per_MMBtu</f>
        <v>1.2480999144883568E-2</v>
      </c>
      <c r="JR25" s="429">
        <f>Tbl_MeasureList[[#This Row],[ER (Retire) Electric Annual Consumption Savings (kWh/yr)]]*GAS_CUFT_PER_SITE_KWH/1000</f>
        <v>1.212925086966333E-2</v>
      </c>
      <c r="JS25" s="430">
        <f>Tbl_MeasureList[[#This Row],[ER (Retire) Natural Gas Annual Consumption Savings (therms/yr)]]*Btu_per_MMBtu/(GAS_BTU_PER_CUFT*Therm_per_MMBtu*1000)</f>
        <v>0</v>
      </c>
      <c r="JT25" s="431">
        <f ca="1">Tbl_MeasureList[[#This Row],[Current ER (Retire) Gas Source Fuel Savings (1,000 cu.ft. gas/year)]]+Tbl_MeasureList[[#This Row],[Current ER Total Low Measure Gas Site Fuel Savings (1,000 cu.ft gas/year)]]</f>
        <v>-70.361158608748568</v>
      </c>
      <c r="JU25" s="432">
        <f ca="1">Tbl_MeasureList[[#This Row],[ER (EE) Low Measure Electric Annual Consumption Savings (kWh/yr)]]*COAL_BTU_PER_SITE_KWH/Btu_per_MMBtu</f>
        <v>1.8217057354045597E-2</v>
      </c>
      <c r="JV25" s="428">
        <f ca="1">Tbl_MeasureList[[#This Row],[ER (EE) Low Measure Electric Annual Consumption Savings (kWh/yr)]]*COAL_LBS_PER_SITE_KWH</f>
        <v>1.5979874871969821</v>
      </c>
      <c r="JW25" s="427">
        <f ca="1">Tbl_MeasureList[[#This Row],[ER (EE) Low Measure Electric Annual Consumption Savings (kWh/yr)]]*OIL_BTU_PER_SITE_KWH/Btu_per_MMBtu</f>
        <v>2.0971373732526753E-2</v>
      </c>
      <c r="JX25" s="428">
        <f ca="1">Tbl_MeasureList[[#This Row],[ER (EE) Low Measure Electric Annual Consumption Savings (kWh/yr)]]*OIL_GAL_PER_SITE_KWH</f>
        <v>0.1520270668203034</v>
      </c>
      <c r="JY25" s="427">
        <f ca="1">Tbl_MeasureList[[#This Row],[ER (EE) Low Measure Oil Annual Consumption Savings (MMBtu/yr)]]*Btu_per_MMBtu/OIL_BTU_PER_GAL</f>
        <v>0</v>
      </c>
      <c r="JZ25" s="428">
        <f ca="1">Tbl_MeasureList[[#This Row],[Current ER (EE) Low Measure Oil Source Fuel Savings (gallons oil/year)]]+Tbl_MeasureList[[#This Row],[Current ER (EE) Low Measure Oil Site Fuel Savings (gallons oil/year)]]</f>
        <v>0.1520270668203034</v>
      </c>
      <c r="KA25" s="427">
        <f ca="1">Tbl_MeasureList[[#This Row],[ER (EE) Low Measure Electric Annual Consumption Savings (kWh/yr)]]*GAS_BTU_PER_SITE_KWH/Btu_per_MMBtu</f>
        <v>0.67724765851745006</v>
      </c>
      <c r="KB25" s="429">
        <f ca="1">Tbl_MeasureList[[#This Row],[ER (EE) Low Measure Electric Annual Consumption Savings (kWh/yr)]]*GAS_CUFT_PER_SITE_KWH/1000</f>
        <v>0.65816098981287663</v>
      </c>
      <c r="KC25" s="430">
        <f ca="1">Tbl_MeasureList[[#This Row],[ER (EE) Low Measure Natural Gas Annual Consumption Savings (therms/yr)]]*Btu_per_MMBtu/(GAS_BTU_PER_CUFT*Therm_per_MMBtu*1000)</f>
        <v>-70.37328785961823</v>
      </c>
      <c r="KD25" s="431">
        <f ca="1">Tbl_MeasureList[[#This Row],[Current ER (EE) Low Measure Gas Source Fuel Savings (1,000 cu.ft. gas/year)]]+Tbl_MeasureList[[#This Row],[Current ER (EE) Low Measure Gas Site Fuel Savings (1,000 cu.ft gas/year)]]</f>
        <v>-69.71512686980536</v>
      </c>
      <c r="KE25" s="432">
        <f ca="1">IFERROR(Tbl_MeasureList[[#This Row],[ER (EE) High Measure Electric Annual Consumption Savings (kWh/yr)]]*COAL_BTU_PER_SITE_KWH/Btu_per_MMBtu,"-")</f>
        <v>1.8217057354045597E-2</v>
      </c>
      <c r="KF25" s="428">
        <f ca="1">IFERROR(Tbl_MeasureList[[#This Row],[ER (EE) High Measure Electric Annual Consumption Savings (kWh/yr)]]*COAL_LBS_PER_SITE_KWH,"-")</f>
        <v>1.5979874871969821</v>
      </c>
      <c r="KG25" s="427">
        <f ca="1">IFERROR(Tbl_MeasureList[[#This Row],[ER (EE) High Measure Electric Annual Consumption Savings (kWh/yr)]]*OIL_BTU_PER_SITE_KWH/Btu_per_MMBtu,"-")</f>
        <v>2.0971373732526753E-2</v>
      </c>
      <c r="KH25" s="428">
        <f ca="1">IFERROR(Tbl_MeasureList[[#This Row],[ER (EE) High Measure Electric Annual Consumption Savings (kWh/yr)]]*OIL_GAL_PER_SITE_KWH,"-")</f>
        <v>0.1520270668203034</v>
      </c>
      <c r="KI25" s="427">
        <f ca="1">IFERROR(Tbl_MeasureList[[#This Row],[ER (EE) High Measure Oil Annual Consumption Savings (MMBtu/yr)]]*Btu_per_MMBtu/OIL_BTU_PER_GAL,"-")</f>
        <v>0</v>
      </c>
      <c r="KJ25" s="428">
        <f ca="1">IFERROR(Tbl_MeasureList[[#This Row],[Current ER (EE) High Measure Oil Source Fuel Savings (gallons oil/year)]]+Tbl_MeasureList[[#This Row],[Current ER (EE) High Measure Oil Site Fuel Savings (gallons oil/year)]],"-")</f>
        <v>0.1520270668203034</v>
      </c>
      <c r="KK25" s="427">
        <f ca="1">IFERROR(Tbl_MeasureList[[#This Row],[ER (EE) High Measure Electric Annual Consumption Savings (kWh/yr)]]*GAS_BTU_PER_SITE_KWH/Btu_per_MMBtu,"-")</f>
        <v>0.67724765851745006</v>
      </c>
      <c r="KL25" s="429">
        <f ca="1">IFERROR(Tbl_MeasureList[[#This Row],[ER (EE) High Measure Electric Annual Consumption Savings (kWh/yr)]]*GAS_CUFT_PER_SITE_KWH/1000,"-")</f>
        <v>0.65816098981287663</v>
      </c>
      <c r="KM25" s="430">
        <f ca="1">IFERROR(Tbl_MeasureList[[#This Row],[ER (EE) High Measure Natural Gas Annual Consumption Savings (therms/yr)]]*Btu_per_MMBtu/(GAS_BTU_PER_CUFT*Therm_per_MMBtu*1000),"-")</f>
        <v>-69.082964402692284</v>
      </c>
      <c r="KN25" s="431">
        <f ca="1">IFERROR(Tbl_MeasureList[[#This Row],[Current ER (EE) High Measure Gas Source Fuel Savings (1,000 cu.ft. gas/year)]]+Tbl_MeasureList[[#This Row],[Current ER (EE) High Measure Gas Site Fuel Savings (1,000 cu.ft gas/year)]],"-")</f>
        <v>-68.424803412879413</v>
      </c>
    </row>
    <row r="26" spans="2:300" x14ac:dyDescent="0.2">
      <c r="B26" s="16"/>
      <c r="C26" s="2" t="s">
        <v>100</v>
      </c>
      <c r="D26" s="12" t="str">
        <f>INDEX(Tbl_BaselineSummary[Equipment ID],MATCH(Tbl_MeasureList[[#This Row],[Baseline ID]],Tbl_BaselineSummary[Baseline ID],0))</f>
        <v>EQUI021</v>
      </c>
      <c r="E26" s="11" t="str">
        <f>INDEX(Tbl_EquipmentDefinitions[Equipment Name],MATCH('Measure List'!$D26,Tbl_EquipmentDefinitions[Equipment ID],0))</f>
        <v>Oil Boiler+Tankless Coil WH</v>
      </c>
      <c r="F26" s="3" t="s">
        <v>237</v>
      </c>
      <c r="G26" s="11" t="str">
        <f>INDEX(Tbl_EquipmentDefinitions[Function],MATCH('Measure List'!$D26,Tbl_EquipmentDefinitions[Equipment ID],0))</f>
        <v>Heat+HW</v>
      </c>
      <c r="H26" s="3" t="s">
        <v>111</v>
      </c>
      <c r="I26" s="3" t="s">
        <v>45</v>
      </c>
      <c r="J26" s="11" t="str">
        <f>INDEX(Tbl_EquipmentDefinitions[Equipment Name],MATCH('Measure List'!$I26,Tbl_EquipmentDefinitions[Equipment ID],0))</f>
        <v>Gas Combination Boiler</v>
      </c>
      <c r="K26" s="11">
        <f>INDEX(Tbl_EquipmentDefinitions[],MATCH(Tbl_MeasureList[[#This Row],[Replacement ID]],Tbl_EquipmentDefinitions[[Equipment ID]:[Equipment ID]],0),MATCH(Tbl_MeasureList[[#Headers],[New Unit Equipment Life (years)]],Tbl_EquipmentDefinitions[#Headers],0))</f>
        <v>19</v>
      </c>
      <c r="L26" s="11">
        <f>INDEX(Tbl_EquipmentDefinitions[],MATCH(Tbl_MeasureList[[#This Row],[Baseline Equipment ID]],Tbl_EquipmentDefinitions[[Equipment ID]:[Equipment ID]],0),MATCH(Tbl_MeasureList[[#Headers],[Remaining Life for Early Replacement (years)]],Tbl_EquipmentDefinitions[#Headers],0))</f>
        <v>10</v>
      </c>
      <c r="M26" s="12" t="str">
        <f>INDEX(Tbl_EquipmentDefinitions[Function],MATCH('Measure List'!$I26,Tbl_EquipmentDefinitions[Equipment ID],0))</f>
        <v>Heat+HW</v>
      </c>
      <c r="N26" s="368" t="s">
        <v>118</v>
      </c>
      <c r="O26" s="14" t="str">
        <f t="shared" si="0"/>
        <v>OK</v>
      </c>
      <c r="P26" s="12" t="str">
        <f ca="1">IFERROR(INDIRECT(Tbl_MeasureList[[#This Row],[Measure ID]]&amp;"!D5"),"No tab")</f>
        <v>3. Ready</v>
      </c>
      <c r="Q26" s="11"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Oil</v>
      </c>
      <c r="R26" s="12"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v>
      </c>
      <c r="S26" s="11"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Natural Gas</v>
      </c>
      <c r="T26" s="247"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v>
      </c>
      <c r="U26" s="248">
        <f>INDEX(Tbl_BaselineSummary[Baseline Annual Energy Cost (USD)],MATCH(Tbl_MeasureList[[#This Row],[Baseline ID]],Tbl_BaselineSummary[Baseline ID],0))</f>
        <v>2758.6816847645832</v>
      </c>
      <c r="V26" s="249">
        <f>INDEX(Tbl_BaselineSummary[Baseline Electric Annual Consumption  (kWh)],MATCH(Tbl_MeasureList[[#This Row],[Baseline ID]],Tbl_BaselineSummary[Baseline ID],0))</f>
        <v>230</v>
      </c>
      <c r="W26" s="249" t="str">
        <f>INDEX(Tbl_BaselineSummary[Baseline Electric Winter Consumption (kWh)],MATCH(Tbl_MeasureList[[#This Row],[Baseline ID]],Tbl_BaselineSummary[Baseline ID],0))</f>
        <v>n/a</v>
      </c>
      <c r="X26" s="249" t="str">
        <f>INDEX(Tbl_BaselineSummary[Baseline Electric Summer Consumption (kWh)],MATCH(Tbl_MeasureList[[#This Row],[Baseline ID]],Tbl_BaselineSummary[Baseline ID],0))</f>
        <v>n/a</v>
      </c>
      <c r="Y26" s="250">
        <f>INDEX(Tbl_BaselineSummary[Baseline Electric Baseline Winter Peak Demand (kW)],MATCH(Tbl_MeasureList[[#This Row],[Baseline ID]],Tbl_BaselineSummary[Baseline ID],0))</f>
        <v>3.5282837967401733E-2</v>
      </c>
      <c r="Z26" s="452">
        <f>INDEX(Tbl_BaselineSummary[Baseline Electric Baseline Summer Peak Demand (kW)],MATCH(Tbl_MeasureList[[#This Row],[Baseline ID]],Tbl_BaselineSummary[Baseline ID],0))</f>
        <v>0</v>
      </c>
      <c r="AA26" s="458">
        <f>INDEX(Tbl_BaselineSummary[Baseline Natural Gas Annual Consumption  (therms)],MATCH(Tbl_MeasureList[[#This Row],[Baseline ID]],Tbl_BaselineSummary[Baseline ID],0))</f>
        <v>0</v>
      </c>
      <c r="AB26" s="455">
        <f>INDEX(Tbl_BaselineSummary[Baseline Propane Annual Consumption  (MMBtu)],MATCH(Tbl_MeasureList[[#This Row],[Baseline ID]],Tbl_BaselineSummary[Baseline ID],0))</f>
        <v>0</v>
      </c>
      <c r="AC26" s="252">
        <f>INDEX(Tbl_BaselineSummary[Baseline Oil Annual Consumption  (MMBtu)],MATCH(Tbl_MeasureList[[#This Row],[Baseline ID]],Tbl_BaselineSummary[Baseline ID],0))</f>
        <v>120.80000000000001</v>
      </c>
      <c r="AD26" s="371">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121.58476000000002</v>
      </c>
      <c r="AE26" s="460">
        <f>(lbCO2_per_Therm_Gas*Tbl_MeasureList[[#This Row],[Baseline Natural Gas Annual Consumption (therms/yr)]]+lbCO2_per_MMBtu_Prop*Tbl_MeasureList[[#This Row],[Baseline Propane Annual Consumption (MMBtu/yr)]]+lbCO2_per_MMBtu_Oil*Tbl_MeasureList[[#This Row],[Baseline Oil Annual Consumption (MMBtu/yr)]])*Lbs_per_ShortTon</f>
        <v>9.7425200000000025</v>
      </c>
      <c r="AF26" s="463">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9.8237468000000021</v>
      </c>
      <c r="AG26" s="465">
        <f>INDEX(Tbl_BaselineSummary[Code Annual Energy Cost (USD)],MATCH(Tbl_MeasureList[[#This Row],[Baseline ID]],Tbl_BaselineSummary[Baseline ID],0))</f>
        <v>2467.9830042540925</v>
      </c>
      <c r="AH26" s="468">
        <f>INDEX(Tbl_BaselineSummary[Deferred Replacement Credit (USD)],MATCH(Tbl_MeasureList[[#This Row],[Baseline ID]],Tbl_BaselineSummary[Baseline ID],0))</f>
        <v>3177.0818630015465</v>
      </c>
      <c r="AI26" s="201">
        <f>INDEX(Tbl_BaselineSummary[A/C-only Deferred Replacement Credit (USD)],MATCH(Tbl_MeasureList[[#This Row],[Baseline ID]],Tbl_BaselineSummary[Baseline ID],0))</f>
        <v>0</v>
      </c>
      <c r="AJ26" s="468">
        <f>INDEX(Tbl_BaselineSummary[Code Installed Costs (USD)],MATCH(Tbl_MeasureList[[#This Row],[Baseline ID]],Tbl_BaselineSummary[Baseline ID],0))</f>
        <v>7380.95</v>
      </c>
      <c r="AK26" s="201">
        <f>INDEX(Tbl_BaselineSummary[Code A/C-only Installed Cost (USD)],MATCH(Tbl_MeasureList[[#This Row],[Baseline ID]],Tbl_BaselineSummary[Baseline ID],0))</f>
        <v>0</v>
      </c>
      <c r="AL26" s="86">
        <f>INDEX(Tbl_BaselineSummary[Code Electric Annual Consumption (kWh)],MATCH(Tbl_MeasureList[[#This Row],[Baseline ID]],Tbl_BaselineSummary[Baseline ID],0))</f>
        <v>230</v>
      </c>
      <c r="AM26" s="86" t="str">
        <f>INDEX(Tbl_BaselineSummary[Code Electric Winter Consumption (kWh)],MATCH(Tbl_MeasureList[[#This Row],[Baseline ID]],Tbl_BaselineSummary[Baseline ID],0))</f>
        <v>n/a</v>
      </c>
      <c r="AN26" s="86" t="str">
        <f>INDEX(Tbl_BaselineSummary[Code Electric Summer Consumption (kWh)],MATCH(Tbl_MeasureList[[#This Row],[Baseline ID]],Tbl_BaselineSummary[Baseline ID],0))</f>
        <v>n/a</v>
      </c>
      <c r="AO26" s="152">
        <f>INDEX(Tbl_BaselineSummary[Code Electric Winter Peak Demand (kW)],MATCH(Tbl_MeasureList[[#This Row],[Baseline ID]],Tbl_BaselineSummary[Baseline ID],0))</f>
        <v>3.5282837967401733E-2</v>
      </c>
      <c r="AP26" s="470">
        <f>INDEX(Tbl_BaselineSummary[Code Electric Summer Peak Demand (kW)],MATCH(Tbl_MeasureList[[#This Row],[Baseline ID]],Tbl_BaselineSummary[Baseline ID],0))</f>
        <v>0</v>
      </c>
      <c r="AQ26" s="467">
        <f>INDEX(Tbl_BaselineSummary[Code Natural Gas Annual Consumption (therms)],MATCH(Tbl_MeasureList[[#This Row],[Baseline ID]],Tbl_BaselineSummary[Baseline ID],0))</f>
        <v>0</v>
      </c>
      <c r="AR26" s="472">
        <f>INDEX(Tbl_BaselineSummary[Code Propane Annual Consumption (MMBtu)],MATCH(Tbl_MeasureList[[#This Row],[Baseline ID]],Tbl_BaselineSummary[Baseline ID],0))</f>
        <v>0</v>
      </c>
      <c r="AS26" s="467">
        <f>INDEX(Tbl_BaselineSummary[Code Oil Annual Consumption (MMBtu)],MATCH(Tbl_MeasureList[[#This Row],[Baseline ID]],Tbl_BaselineSummary[Baseline ID],0))</f>
        <v>107.85714285714288</v>
      </c>
      <c r="AT26" s="204">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108.64190285714288</v>
      </c>
      <c r="AU26" s="467">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8.6986785714285748</v>
      </c>
      <c r="AV26" s="474">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8.7799053714285744</v>
      </c>
      <c r="AW26" s="248">
        <f ca="1">INDIRECT(Tbl_MeasureList[[#This Row],[Measure ID]]&amp;"!L26")</f>
        <v>1688.8295333333335</v>
      </c>
      <c r="AX26" s="477">
        <f ca="1">INDIRECT(Tbl_MeasureList[[#This Row],[Measure ID]]&amp;"!M26")</f>
        <v>16130</v>
      </c>
      <c r="AY26" s="481">
        <f ca="1">INDIRECT(Tbl_MeasureList[[#This Row],[Measure ID]]&amp;"!D26")</f>
        <v>329</v>
      </c>
      <c r="AZ26" s="481" t="str">
        <f ca="1">INDIRECT(Tbl_MeasureList[[#This Row],[Measure ID]]&amp;"!J26")</f>
        <v>n/a</v>
      </c>
      <c r="BA26" s="481" t="str">
        <f ca="1">INDIRECT(Tbl_MeasureList[[#This Row],[Measure ID]]&amp;"!I26")</f>
        <v>n/a</v>
      </c>
      <c r="BB26" s="479">
        <f ca="1">INDIRECT(Tbl_MeasureList[[#This Row],[Measure ID]]&amp;"!E26")</f>
        <v>5.0469798657718119E-2</v>
      </c>
      <c r="BC26" s="268">
        <f ca="1">INDIRECT(Tbl_MeasureList[[#This Row],[Measure ID]]&amp;"!H26")</f>
        <v>0</v>
      </c>
      <c r="BD26" s="253">
        <f ca="1">INDIRECT(Tbl_MeasureList[[#This Row],[Measure ID]]&amp;"!D32")</f>
        <v>1006.6666666666667</v>
      </c>
      <c r="BE26" s="270">
        <f ca="1">INDIRECT(Tbl_MeasureList[[#This Row],[Measure ID]]&amp;"!D38")</f>
        <v>0</v>
      </c>
      <c r="BF26" s="253">
        <f ca="1">INDIRECT(Tbl_MeasureList[[#This Row],[Measure ID]]&amp;"!D44")</f>
        <v>0</v>
      </c>
      <c r="BG26" s="460">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101.78921466666667</v>
      </c>
      <c r="BH26" s="371">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5.8890000000000002</v>
      </c>
      <c r="BI26" s="272">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6.0051896399999993</v>
      </c>
      <c r="BJ26" s="273">
        <f ca="1">INDIRECT(Tbl_MeasureList[[#This Row],[Measure ID]]&amp;"!L27")</f>
        <v>1688.8295333333335</v>
      </c>
      <c r="BK26" s="201">
        <f ca="1">INDIRECT(Tbl_MeasureList[[#This Row],[Measure ID]]&amp;"!M27")</f>
        <v>16130</v>
      </c>
      <c r="BL26" s="85">
        <f ca="1">INDIRECT(Tbl_MeasureList[[#This Row],[Measure ID]]&amp;"!D27")</f>
        <v>329</v>
      </c>
      <c r="BM26" s="85" t="str">
        <f ca="1">INDIRECT(Tbl_MeasureList[[#This Row],[Measure ID]]&amp;"!J27")</f>
        <v>n/a</v>
      </c>
      <c r="BN26" s="85" t="str">
        <f ca="1">INDIRECT(Tbl_MeasureList[[#This Row],[Measure ID]]&amp;"!I27")</f>
        <v>n/a</v>
      </c>
      <c r="BO26" s="152">
        <f ca="1">INDIRECT(Tbl_MeasureList[[#This Row],[Measure ID]]&amp;"!E27")</f>
        <v>5.0469798657718119E-2</v>
      </c>
      <c r="BP26" s="470">
        <f ca="1">INDIRECT(Tbl_MeasureList[[#This Row],[Measure ID]]&amp;"!H27")</f>
        <v>0</v>
      </c>
      <c r="BQ26" s="467">
        <f ca="1">INDIRECT(Tbl_MeasureList[[#This Row],[Measure ID]]&amp;"!D33")</f>
        <v>1006.6666666666667</v>
      </c>
      <c r="BR26" s="472">
        <f ca="1">INDIRECT(Tbl_MeasureList[[#This Row],[Measure ID]]&amp;"!D39")</f>
        <v>0</v>
      </c>
      <c r="BS26" s="467">
        <f ca="1">INDIRECT(Tbl_MeasureList[[#This Row],[Measure ID]]&amp;"!D45")</f>
        <v>0</v>
      </c>
      <c r="BT26" s="204">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101.78921466666667</v>
      </c>
      <c r="BU26" s="467">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5.8890000000000002</v>
      </c>
      <c r="BV26" s="260">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6.0051896399999993</v>
      </c>
      <c r="BW26" s="24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1600.0062315789478</v>
      </c>
      <c r="BX26" s="26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16130</v>
      </c>
      <c r="BY26"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312</v>
      </c>
      <c r="BZ26"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n/a</v>
      </c>
      <c r="CA26"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n/a</v>
      </c>
      <c r="CB26"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4.7861936720997124E-2</v>
      </c>
      <c r="CC26"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0</v>
      </c>
      <c r="CD26"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953.68421052631595</v>
      </c>
      <c r="CE26"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0</v>
      </c>
      <c r="CF26"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0</v>
      </c>
      <c r="CG26" s="460">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96.432965052631587</v>
      </c>
      <c r="CH26" s="37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5.5790526315789482</v>
      </c>
      <c r="CI26" s="26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5.6892385515789483</v>
      </c>
      <c r="CJ26" s="320">
        <f ca="1">-Tbl_MeasureList[[#This Row],[Low Measure Energy Cost (USD/yr)]]+Tbl_MeasureList[[#This Row],[Baseline Energy Cost (USD/yr)]]</f>
        <v>1069.8521514312497</v>
      </c>
      <c r="CK26"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12952.918136998454</v>
      </c>
      <c r="CL26" s="249">
        <f ca="1">-Tbl_MeasureList[[#This Row],[Low Measure Electric Annual Consumption (kWh/yr)]]+Tbl_MeasureList[[#This Row],[Baseline Electric Annual Consumption (kWh/yr)]]</f>
        <v>-99</v>
      </c>
      <c r="CM26" s="249" t="str">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v>
      </c>
      <c r="CN26" s="249" t="str">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v>
      </c>
      <c r="CO26" s="268">
        <f ca="1">-Tbl_MeasureList[[#This Row],[Low Measure Electric Winter Peak Demand (kW)]]+Tbl_MeasureList[[#This Row],[Baseline Electric Winter Peak Demand (kW)]]</f>
        <v>-1.5186960690316387E-2</v>
      </c>
      <c r="CP26" s="479">
        <f ca="1">-Tbl_MeasureList[[#This Row],[Low Measure Electric Summer Peak Demand (kW)]]+Tbl_MeasureList[[#This Row],[Baseline Electric Summer Peak Demand (kW)]]</f>
        <v>0</v>
      </c>
      <c r="CQ26" s="481">
        <f ca="1">-Tbl_MeasureList[[#This Row],[Low Measure Natural Gas Annual Consumption (therms/yr)]]+Tbl_MeasureList[[#This Row],[Baseline Natural Gas Annual Consumption (therms/yr)]]</f>
        <v>-1006.6666666666667</v>
      </c>
      <c r="CR26" s="490">
        <f ca="1">-Tbl_MeasureList[[#This Row],[Low Measure Propane Annual Consumption (MMBtu/yr)]]+Tbl_MeasureList[[#This Row],[Baseline Propane Annual Consumption (MMBtu/yr)]]</f>
        <v>0</v>
      </c>
      <c r="CS26" s="252">
        <f ca="1">-Tbl_MeasureList[[#This Row],[Low Measure Oil Annual Consumption (MMBtu/yr)]]+Tbl_MeasureList[[#This Row],[Baseline Oil Annual Consumption (MMBtu/yr)]]</f>
        <v>120.80000000000001</v>
      </c>
      <c r="CT26"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19.795545333333337</v>
      </c>
      <c r="CU26" s="487">
        <f ca="1">-Tbl_MeasureList[[#This Row],[Low Measure Carbon Emissions, Site (tons CO2/yr)]]+Tbl_MeasureList[[#This Row],[Baseline Carbon Emissions, Site (tons CO2/yr)]]</f>
        <v>3.8535200000000023</v>
      </c>
      <c r="CV26" s="491">
        <f ca="1">-Tbl_MeasureList[[#This Row],[Low Measure Carbon Emissions, Source (tons CO2/yr)]]+Tbl_MeasureList[[#This Row],[Baseline Carbon Emissions, Source (tons CO2/yr)]]</f>
        <v>3.8185571600000028</v>
      </c>
      <c r="CW26"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1158.6754531856354</v>
      </c>
      <c r="CX26"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12952.918136998454</v>
      </c>
      <c r="CY26"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-82</v>
      </c>
      <c r="CZ26"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v>
      </c>
      <c r="DA26"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v>
      </c>
      <c r="DB26"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-1.2579098753595391E-2</v>
      </c>
      <c r="DC26"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0</v>
      </c>
      <c r="DD26"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-953.68421052631595</v>
      </c>
      <c r="DE26"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0</v>
      </c>
      <c r="DF26"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120.80000000000001</v>
      </c>
      <c r="DG26" s="270">
        <f ca="1">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25.151794947368415</v>
      </c>
      <c r="DH26"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4.1634673684210544</v>
      </c>
      <c r="DI26"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4.1345082484210538</v>
      </c>
      <c r="DJ26" s="320">
        <f ca="1">-Tbl_MeasureList[[#This Row],[Low Measure Energy Cost (USD/yr)]]+Tbl_MeasureList[[#This Row],[Code (old fuel) Energy Cost (USD/yr)]]</f>
        <v>779.15347092075899</v>
      </c>
      <c r="DK26" s="267">
        <f ca="1">Tbl_MeasureList[[#This Row],[Low Measure Installed Costs (USD)]]-Tbl_MeasureList[[#This Row],[Code (old fuel) Installed Costs (USD)]]</f>
        <v>8749.0499999999993</v>
      </c>
      <c r="DL26" s="249">
        <f ca="1">-Tbl_MeasureList[[#This Row],[Low Measure Electric Annual Consumption (kWh/yr)]]+Tbl_MeasureList[[#This Row],[Code (old fuel) Electric Annual Consumption (kWh/yr)]]</f>
        <v>-99</v>
      </c>
      <c r="DM26" s="249" t="str">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v>
      </c>
      <c r="DN26" s="249" t="str">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v>
      </c>
      <c r="DO26" s="268">
        <f ca="1">-Tbl_MeasureList[[#This Row],[Low Measure Electric Winter Peak Demand (kW)]]+Tbl_MeasureList[[#This Row],[Code (old fuel) Electric Winter Peak Demand (kW)]]</f>
        <v>-1.5186960690316387E-2</v>
      </c>
      <c r="DP26" s="479">
        <f ca="1">-Tbl_MeasureList[[#This Row],[Low Measure Electric Summer Peak Demand (kW)]]+Tbl_MeasureList[[#This Row],[Code (old fuel) Electric Summer Peak Demand (kW)]]</f>
        <v>0</v>
      </c>
      <c r="DQ26" s="481">
        <f ca="1">-Tbl_MeasureList[[#This Row],[Low Measure Natural Gas Annual Consumption (therms/yr)]]+Tbl_MeasureList[[#This Row],[Code (old fuel) Natural Gas Annual Consumption (therms/yr)]]</f>
        <v>-1006.6666666666667</v>
      </c>
      <c r="DR26" s="490">
        <f ca="1">-Tbl_MeasureList[[#This Row],[Low Measure Propane Annual Consumption (MMBtu/yr)]]+Tbl_MeasureList[[#This Row],[Code (old fuel) Propane Annual Consumption (MMBtu/yr)]]</f>
        <v>0</v>
      </c>
      <c r="DS26" s="252">
        <f ca="1">-Tbl_MeasureList[[#This Row],[Low Measure Oil Annual Consumption (MMBtu/yr)]]+Tbl_MeasureList[[#This Row],[Code (old fuel) Oil Annual Consumption (MMBtu/yr)]]</f>
        <v>107.85714285714288</v>
      </c>
      <c r="DT26"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6.8526881904762007</v>
      </c>
      <c r="DU26" s="487">
        <f ca="1">-Tbl_MeasureList[[#This Row],[Low Measure Carbon Emissions, Site (tons CO2/yr)]]+Tbl_MeasureList[[#This Row],[Code (old fuel) Carbon Emissions, Site (tons CO2/yr)]]</f>
        <v>2.8096785714285746</v>
      </c>
      <c r="DV26" s="491">
        <f ca="1">-Tbl_MeasureList[[#This Row],[Low Measure Carbon Emissions, Source (tons CO2/yr)]]+Tbl_MeasureList[[#This Row],[Code (old fuel) Carbon Emissions, Source (tons CO2/yr)]]</f>
        <v>2.7747157314285751</v>
      </c>
      <c r="DW26"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(old fuel) Energy Cost (USD/yr)]],
        "-")</f>
        <v>867.97677267514473</v>
      </c>
      <c r="DX26"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8749.0499999999993</v>
      </c>
      <c r="DY26"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-82</v>
      </c>
      <c r="DZ26"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v>
      </c>
      <c r="EA26"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v>
      </c>
      <c r="EB26"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-1.2579098753595391E-2</v>
      </c>
      <c r="EC26"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0</v>
      </c>
      <c r="ED26"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-953.68421052631595</v>
      </c>
      <c r="EE26"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0</v>
      </c>
      <c r="EF26"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107.85714285714288</v>
      </c>
      <c r="EG26" s="270">
        <f ca="1">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12.20893780451128</v>
      </c>
      <c r="EH26"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3.1196259398496267</v>
      </c>
      <c r="EI26"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3.0906668198496261</v>
      </c>
      <c r="EJ26" s="477">
        <f ca="1">Tbl_MeasureList[[#This Row],[Code (old fuel) Energy Cost (USD/yr)]]-Tbl_MeasureList[[#This Row],[Code (new fuel) Energy Cost (USD/yr)]]</f>
        <v>779.15347092075899</v>
      </c>
      <c r="EK26" s="496">
        <f ca="1">Tbl_MeasureList[[#This Row],[Code (old fuel) Electric Annual Consumption (kWh/yr)]]-Tbl_MeasureList[[#This Row],[Code (new fuel) Electric Annual Consumption (kWh/yr)]]</f>
        <v>-99</v>
      </c>
      <c r="EL26" s="496" t="str">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v>
      </c>
      <c r="EM26" s="496" t="str">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v>
      </c>
      <c r="EN26" s="500">
        <f ca="1">Tbl_MeasureList[[#This Row],[Code (old fuel) Electric Winter Peak Demand (kW)]]-Tbl_MeasureList[[#This Row],[Code (new fuel) Electric Winter Peak Demand (kW)]]</f>
        <v>-1.5186960690316387E-2</v>
      </c>
      <c r="EO26" s="493">
        <f ca="1">Tbl_MeasureList[[#This Row],[Code (old fuel) Electric Summer Peak Demand (kW)]]-Tbl_MeasureList[[#This Row],[Code (new fuel) Electric Summer Peak Demand (kW)]]</f>
        <v>0</v>
      </c>
      <c r="EP26" s="502">
        <f ca="1">Tbl_MeasureList[[#This Row],[Code (old fuel) Natural Gas Annual Consumption (therms/yr)]]-Tbl_MeasureList[[#This Row],[Code (new fuel) Natural Gas Annual Consumption (therms/yr)]]</f>
        <v>-1006.6666666666667</v>
      </c>
      <c r="EQ26" s="215">
        <f ca="1">Tbl_MeasureList[[#This Row],[Code (old fuel) Propane Annual Consumption (MMBtu/yr)]]-Tbl_MeasureList[[#This Row],[Code (new fuel) Propane Annual Consumption (MMBtu/yr)]]</f>
        <v>0</v>
      </c>
      <c r="ER26" s="502">
        <f ca="1">Tbl_MeasureList[[#This Row],[Code (old fuel) Oil Annual Consumption (MMBtu/yr)]]-Tbl_MeasureList[[#This Row],[Code (new fuel) Oil Annual Consumption (MMBtu/yr)]]</f>
        <v>107.85714285714288</v>
      </c>
      <c r="ES26" s="215">
        <f ca="1">Tbl_MeasureList[[#This Row],[Code (old fuel) Energy Consumption on MMBtu Basis (MMBtu/yr)]]-Tbl_MeasureList[[#This Row],[Code (new fuel) Energy Consumption on MMBtu Basis (MMBtu/yr)]]</f>
        <v>6.8526881904762149</v>
      </c>
      <c r="ET26" s="502">
        <f ca="1">Tbl_MeasureList[[#This Row],[Code (old fuel) Carbon Emissions, Site (tons CO2/yr)]]-Tbl_MeasureList[[#This Row],[Code (new fuel) Carbon Emissions, Site (tons CO2/yr)]]</f>
        <v>2.8096785714285746</v>
      </c>
      <c r="EU26" s="498">
        <f ca="1">Tbl_MeasureList[[#This Row],[Code (old fuel) Carbon Emissions, Source (tons CO2/yr)]]-Tbl_MeasureList[[#This Row],[Code (new fuel) Carbon Emissions, Source (tons CO2/yr)]]</f>
        <v>2.7747157314285751</v>
      </c>
      <c r="EV26" s="450">
        <f ca="1">Tbl_MeasureList[[#This Row],[ER Total Low Measure Electric Annual Consumption Savings (kWh/yr)]]*COAL_BTU_PER_SITE_KWH/Btu_per_MMBtu</f>
        <v>-1.089721255619646E-2</v>
      </c>
      <c r="EW26" s="411">
        <f ca="1">Tbl_MeasureList[[#This Row],[ER Total Low Measure Electric Annual Consumption Savings (kWh/yr)]]*COAL_LBS_PER_SITE_KWH</f>
        <v>-0.9558958382628473</v>
      </c>
      <c r="EX26" s="326">
        <f ca="1">Tbl_MeasureList[[#This Row],[ER Total Low Measure Electric Annual Consumption Savings (kWh/yr)]]*OIL_BTU_PER_SITE_KWH/Btu_per_MMBtu</f>
        <v>-1.2544809664774313E-2</v>
      </c>
      <c r="EY26" s="325">
        <f ca="1">Tbl_MeasureList[[#This Row],[ER Total Low Measure Electric Annual Consumption Savings (kWh/yr)]]*OIL_GAL_PER_SITE_KWH</f>
        <v>-9.0940662327553101E-2</v>
      </c>
      <c r="EZ26" s="326">
        <f ca="1">Tbl_MeasureList[[#This Row],[ER Total Low Measure Oil Annual Consumption Savings (MMBtu/yr)]]*Btu_per_MMBtu/OIL_BTU_PER_GAL</f>
        <v>875.71133422740957</v>
      </c>
      <c r="FA26" s="325">
        <f ca="1">Tbl_MeasureList[[#This Row],[Current ER Total Low Measure Oil Source Fuel Savings (gallons oil/year)]]+Tbl_MeasureList[[#This Row],[Current ER Total Low Measure Oil Site Fuel Savings (gallons oil/year)]]</f>
        <v>875.62039356508205</v>
      </c>
      <c r="FB26" s="326">
        <f ca="1">Tbl_MeasureList[[#This Row],[ER Total Low Measure Electric Annual Consumption Savings (kWh/yr)]]*GAS_BTU_PER_SITE_KWH/Btu_per_MMBtu</f>
        <v>-0.4051209558503176</v>
      </c>
      <c r="FC26" s="327">
        <f ca="1">Tbl_MeasureList[[#This Row],[ER Total Low Measure Electric Annual Consumption Savings (kWh/yr)]]*GAS_CUFT_PER_SITE_KWH/1000</f>
        <v>-0.39370355281857877</v>
      </c>
      <c r="FD26" s="328">
        <f ca="1">Tbl_MeasureList[[#This Row],[ER Total Low Measure Natural Gas Annual Consumption Savings (therms/yr)]]*Btu_per_MMBtu/(GAS_BTU_PER_CUFT*Therm_per_MMBtu*1000)</f>
        <v>-97.829608033689681</v>
      </c>
      <c r="FE26" s="329">
        <f ca="1">Tbl_MeasureList[[#This Row],[Current ER Total Low Measure Gas Source Fuel Savings (1,000 cu.ft. gas/year)]]+Tbl_MeasureList[[#This Row],[Current ER Total Low Measure Gas Site Fuel Savings (1,000 cu.ft gas/year)]]</f>
        <v>-98.22331158650826</v>
      </c>
      <c r="FF26" s="324">
        <f ca="1">IFERROR(Tbl_MeasureList[[#This Row],[ER Total High Measure Electric Annual Consumption Savings (kWh/yr)]]*COAL_BTU_PER_SITE_KWH/Btu_per_MMBtu,"-")</f>
        <v>-9.0259740364455523E-3</v>
      </c>
      <c r="FG26" s="325">
        <f ca="1">IFERROR(Tbl_MeasureList[[#This Row],[ER Total High Measure Electric Annual Consumption Savings (kWh/yr)]]*COAL_LBS_PER_SITE_KWH,"-")</f>
        <v>-0.79175210846013611</v>
      </c>
      <c r="FH26" s="326">
        <f ca="1">IFERROR(Tbl_MeasureList[[#This Row],[ER Total High Measure Electric Annual Consumption Savings (kWh/yr)]]*OIL_BTU_PER_SITE_KWH/Btu_per_MMBtu,"-")</f>
        <v>-1.0390650429409027E-2</v>
      </c>
      <c r="FI26" s="325">
        <f ca="1">IFERROR(Tbl_MeasureList[[#This Row],[ER Total High Measure Electric Annual Consumption Savings (kWh/yr)]]*OIL_GAL_PER_SITE_KWH,"-")</f>
        <v>-7.5324588998579328E-2</v>
      </c>
      <c r="FJ26" s="326">
        <f ca="1">IFERROR(Tbl_MeasureList[[#This Row],[ER Total High Measure Oil Annual Consumption Savings (MMBtu/yr)]]*Btu_per_MMBtu/OIL_BTU_PER_GAL,"-")</f>
        <v>875.71133422740957</v>
      </c>
      <c r="FK26" s="325">
        <f ca="1">IFERROR(Tbl_MeasureList[[#This Row],[Current ER Total High Measure Oil Source Fuel Savings (gallons oil/year)]]+Tbl_MeasureList[[#This Row],[Current ER Total High Measure Oil Site Fuel Savings (gallons oil/year)]],"-")</f>
        <v>875.636009638411</v>
      </c>
      <c r="FL26" s="326">
        <f ca="1">IFERROR(Tbl_MeasureList[[#This Row],[ER Total High Measure Electric Annual Consumption Savings (kWh/yr)]]*GAS_BTU_PER_SITE_KWH/Btu_per_MMBtu,"-")</f>
        <v>-0.33555473110834388</v>
      </c>
      <c r="FM26" s="327">
        <f ca="1">IFERROR(Tbl_MeasureList[[#This Row],[ER Total High Measure Electric Annual Consumption Savings (kWh/yr)]]*GAS_CUFT_PER_SITE_KWH/1000,"-")</f>
        <v>-0.32609789223357027</v>
      </c>
      <c r="FN26" s="328">
        <f ca="1">IFERROR(Tbl_MeasureList[[#This Row],[ER Total High Measure Natural Gas Annual Consumption Savings (therms/yr)]]*Btu_per_MMBtu/(GAS_BTU_PER_CUFT*Therm_per_MMBtu*1000),"-")</f>
        <v>-92.680681295074436</v>
      </c>
      <c r="FO26" s="329">
        <f ca="1">IFERROR(Tbl_MeasureList[[#This Row],[Current ER Total High Measure Gas Source Fuel Savings (1,000 cu.ft. gas/year)]]+Tbl_MeasureList[[#This Row],[Current ER Total High Measure Gas Site Fuel Savings (1,000 cu.ft gas/year)]],"-")</f>
        <v>-93.006779187308013</v>
      </c>
      <c r="FP26" s="412">
        <f ca="1">Tbl_MeasureList[[#This Row],[ROF Low Measure Electric Annual Consumption Savings (kWh/yr)]]*COAL_BTU_PER_SITE_KWH/Btu_per_MMBtu</f>
        <v>-1.089721255619646E-2</v>
      </c>
      <c r="FQ26" s="327">
        <f ca="1">Tbl_MeasureList[[#This Row],[ROF Low Measure Electric Annual Consumption Savings (kWh/yr)]]*COAL_LBS_PER_SITE_KWH</f>
        <v>-0.9558958382628473</v>
      </c>
      <c r="FR26" s="412">
        <f ca="1">Tbl_MeasureList[[#This Row],[ROF Low Measure Electric Annual Consumption Savings (kWh/yr)]]*OIL_BTU_PER_SITE_KWH/Btu_per_MMBtu</f>
        <v>-1.2544809664774313E-2</v>
      </c>
      <c r="FS26" s="327">
        <f ca="1">Tbl_MeasureList[[#This Row],[ROF Low Measure Electric Annual Consumption Savings (kWh/yr)]]*OIL_GAL_PER_SITE_KWH</f>
        <v>-9.0940662327553101E-2</v>
      </c>
      <c r="FT26" s="412">
        <f ca="1">Tbl_MeasureList[[#This Row],[ROF Low Measure Oil Annual Consumption Savings (MMBtu/yr)]]*Btu_per_MMBtu/OIL_BTU_PER_GAL</f>
        <v>781.8851198459015</v>
      </c>
      <c r="FU26" s="327">
        <f ca="1">Tbl_MeasureList[[#This Row],[Current ROF Low Measure Oil Source Fuel Savings (gallons oil/year)]]+Tbl_MeasureList[[#This Row],[Current ROF Low Measure Oil Site Fuel Savings (gallons oil/year)]]</f>
        <v>781.79417918357399</v>
      </c>
      <c r="FV26" s="412">
        <f ca="1">Tbl_MeasureList[[#This Row],[ROF Low Measure Electric Annual Consumption Savings (kWh/yr)]]*GAS_BTU_PER_SITE_KWH/Btu_per_MMBtu</f>
        <v>-0.4051209558503176</v>
      </c>
      <c r="FW26" s="327">
        <f ca="1">Tbl_MeasureList[[#This Row],[ROF Low Measure Electric Annual Consumption Savings (kWh/yr)]]*GAS_CUFT_PER_SITE_KWH/1000</f>
        <v>-0.39370355281857877</v>
      </c>
      <c r="FX26" s="412">
        <f ca="1">Tbl_MeasureList[[#This Row],[ROF Low Measure Natural Gas Annual Consumption Savings (therms/yr)]]*Btu_per_MMBtu/(GAS_BTU_PER_CUFT*Therm_per_MMBtu*1000)</f>
        <v>-97.829608033689681</v>
      </c>
      <c r="FY26" s="327">
        <f ca="1">Tbl_MeasureList[[#This Row],[Current ROF Low Measure Gas Source Fuel Savings (1,000 cu.ft. gas/year)]]+Tbl_MeasureList[[#This Row],[Current ROF Low Measure Gas Site Fuel Savings (1,000 cu.ft gas/year)]]</f>
        <v>-98.22331158650826</v>
      </c>
      <c r="FZ26" s="414">
        <f ca="1">IFERROR(Tbl_MeasureList[[#This Row],[ROF High Measure Electric Annual Consumption Savings (kWh/yr)]]*COAL_BTU_PER_SITE_KWH/Btu_per_MMBtu,"-")</f>
        <v>-9.0259740364455523E-3</v>
      </c>
      <c r="GA26" s="327">
        <f ca="1">IFERROR(Tbl_MeasureList[[#This Row],[ROF High Measure Electric Annual Consumption Savings (kWh/yr)]]*COAL_LBS_PER_SITE_KWH,"-")</f>
        <v>-0.79175210846013611</v>
      </c>
      <c r="GB26" s="412">
        <f ca="1">IFERROR(Tbl_MeasureList[[#This Row],[ROF High Measure Electric Annual Consumption Savings (kWh/yr)]]*OIL_BTU_PER_SITE_KWH/Btu_per_MMBtu,"-")</f>
        <v>-1.0390650429409027E-2</v>
      </c>
      <c r="GC26" s="327">
        <f ca="1">IFERROR(Tbl_MeasureList[[#This Row],[ROF High Measure Electric Annual Consumption Savings (kWh/yr)]]*OIL_GAL_PER_SITE_KWH,"-")</f>
        <v>-7.5324588998579328E-2</v>
      </c>
      <c r="GD26" s="412">
        <f ca="1">IFERROR(Tbl_MeasureList[[#This Row],[ROF High Measure Oil Annual Consumption Savings (MMBtu/yr)]]*Btu_per_MMBtu/OIL_BTU_PER_GAL,"-")</f>
        <v>781.8851198459015</v>
      </c>
      <c r="GE26" s="327">
        <f ca="1">IFERROR(Tbl_MeasureList[[#This Row],[Current ROF High Measure Oil Source Fuel Savings (gallons oil/year)]]+Tbl_MeasureList[[#This Row],[Current ROF High Measure Oil Site Fuel Savings (gallons oil/year)]],"-")</f>
        <v>781.80979525690293</v>
      </c>
      <c r="GF26" s="412">
        <f ca="1">IFERROR(Tbl_MeasureList[[#This Row],[ROF High Measure Electric Annual Consumption Savings (kWh/yr)]]*GAS_BTU_PER_SITE_KWH/Btu_per_MMBtu,"-")</f>
        <v>-0.33555473110834388</v>
      </c>
      <c r="GG26" s="327">
        <f ca="1">IFERROR(Tbl_MeasureList[[#This Row],[ROF High Measure Electric Annual Consumption Savings (kWh/yr)]]*GAS_CUFT_PER_SITE_KWH/1000,"-")</f>
        <v>-0.32609789223357027</v>
      </c>
      <c r="GH26" s="412">
        <f ca="1">IFERROR(Tbl_MeasureList[[#This Row],[ROF High Measure Natural Gas Annual Consumption Savings (therms/yr)]]*Btu_per_MMBtu/(GAS_BTU_PER_CUFT*Therm_per_MMBtu*1000),"-")</f>
        <v>-92.680681295074436</v>
      </c>
      <c r="GI26" s="327">
        <f ca="1">IFERROR(Tbl_MeasureList[[#This Row],[Current ROF High Measure Gas Source Fuel Savings (1,000 cu.ft. gas/year)]]+Tbl_MeasureList[[#This Row],[Current ROF High Measure Gas Site Fuel Savings (1,000 cu.ft gas/year)]],"-")</f>
        <v>-93.006779187308013</v>
      </c>
      <c r="GJ26" s="324">
        <f ca="1">Tbl_MeasureList[[#This Row],[ER Total Low Measure Electric Annual Consumption Savings (kWh/yr)]]*COAL_BTU_PER_SITE_KWH_CES/Btu_per_MMBtu</f>
        <v>-1.8525261345533978E-2</v>
      </c>
      <c r="GK26" s="325">
        <f ca="1">Tbl_MeasureList[[#This Row],[ER Total Low Measure Electric Annual Consumption Savings (kWh/yr)]]*COAL_LBS_PER_SITE_KWH_CES</f>
        <v>-1.6822794538261878</v>
      </c>
      <c r="GL26" s="326">
        <f ca="1">Tbl_MeasureList[[#This Row],[ER Total Low Measure Electric Annual Consumption Savings (kWh/yr)]]*OIL_BTU_PER_SITE_KWH_CES/Btu_per_MMBtu</f>
        <v>-5.7021862112610518E-3</v>
      </c>
      <c r="GM26" s="325">
        <f ca="1">Tbl_MeasureList[[#This Row],[ER Total Low Measure Electric Annual Consumption Savings (kWh/yr)]]*OIL_GAL_PER_SITE_KWH_CES</f>
        <v>-3.8470060255161455E-2</v>
      </c>
      <c r="GN26" s="326">
        <f ca="1">Tbl_MeasureList[[#This Row],[ER Total Low Measure Oil Annual Consumption Savings (MMBtu/yr)]]*Btu_per_MMBtu/OIL_BTU_PER_GAL_CES</f>
        <v>814.98272884283256</v>
      </c>
      <c r="GO26" s="325">
        <f ca="1">Tbl_MeasureList[[#This Row],[CES ER Low Measure Oil Source Fuel Savings (gallons oil/year)]]+Tbl_MeasureList[[#This Row],[CES ER Low Measure Oil Site Fuel Savings (gallons oil/year)]]</f>
        <v>814.94425878257744</v>
      </c>
      <c r="GP26" s="326">
        <f ca="1">Tbl_MeasureList[[#This Row],[ER Total Low Measure Electric Annual Consumption Savings (kWh/yr)]]*GAS_BTU_PER_SITE_KWH_CES/Btu_per_MMBtu</f>
        <v>-0.16866260202747918</v>
      </c>
      <c r="GQ26" s="327">
        <f ca="1">Tbl_MeasureList[[#This Row],[ER Total Low Measure Electric Annual Consumption Savings (kWh/yr)]]*GAS_CUFT_PER_SITE_KWH_CES/1000</f>
        <v>-0.16375009905580504</v>
      </c>
      <c r="GR26" s="328">
        <f ca="1">Tbl_MeasureList[[#This Row],[ER Total Low Measure Natural Gas Annual Consumption Savings (therms/yr)]]*Btu_per_MMBtu/(GAS_BTU_PER_CUFT_CES*Therm_per_MMBtu*1000)</f>
        <v>-97.734627831715216</v>
      </c>
      <c r="GS26" s="329">
        <f ca="1">Tbl_MeasureList[[#This Row],[CES ER Low Measure Gas Source Fuel Savings (1,000 cu.ft. gas/year)]]+Tbl_MeasureList[[#This Row],[CES ER Low Measure Gas Site Fuel Savings (1,000 cu.ft gas/year)]]</f>
        <v>-97.898377930771019</v>
      </c>
      <c r="GT26" s="324">
        <f ca="1">IFERROR(Tbl_MeasureList[[#This Row],[ER Total High Measure Electric Annual Consumption Savings (kWh/yr)]]*COAL_BTU_PER_SITE_KWH_CES/Btu_per_MMBtu,"-")</f>
        <v>-1.5344155861957438E-2</v>
      </c>
      <c r="GU26" s="325">
        <f ca="1">IFERROR(Tbl_MeasureList[[#This Row],[ER Total High Measure Electric Annual Consumption Savings (kWh/yr)]]*COAL_LBS_PER_SITE_KWH_CES,"-")</f>
        <v>-1.3934031839772465</v>
      </c>
      <c r="GV26" s="326">
        <f ca="1">IFERROR(Tbl_MeasureList[[#This Row],[ER Total High Measure Electric Annual Consumption Savings (kWh/yr)]]*OIL_BTU_PER_SITE_KWH_CES/Btu_per_MMBtu,"-")</f>
        <v>-4.723022922458648E-3</v>
      </c>
      <c r="GW26" s="325">
        <f ca="1">IFERROR(Tbl_MeasureList[[#This Row],[ER Total High Measure Electric Annual Consumption Savings (kWh/yr)]]*OIL_GAL_PER_SITE_KWH_CES,"-")</f>
        <v>-3.1864090312355951E-2</v>
      </c>
      <c r="GX26" s="326">
        <f ca="1">IFERROR(Tbl_MeasureList[[#This Row],[ER Total High Measure Oil Annual Consumption Savings (MMBtu/yr)]]*Btu_per_MMBtu/OIL_BTU_PER_GAL_CES,"-")</f>
        <v>814.98272884283256</v>
      </c>
      <c r="GY26" s="325">
        <f ca="1">IFERROR(Tbl_MeasureList[[#This Row],[CES ER High Measure Oil Source Fuel Savings (gallons oil/year)]]+Tbl_MeasureList[[#This Row],[CES ER High Measure Oil Site Fuel Savings (gallons oil/year)]],"-")</f>
        <v>814.95086475252015</v>
      </c>
      <c r="GZ26" s="326">
        <f ca="1">IFERROR(Tbl_MeasureList[[#This Row],[ER Total High Measure Electric Annual Consumption Savings (kWh/yr)]]*GAS_BTU_PER_SITE_KWH_CES/Btu_per_MMBtu,"-")</f>
        <v>-0.13970033703286155</v>
      </c>
      <c r="HA26" s="327">
        <f ca="1">IFERROR(Tbl_MeasureList[[#This Row],[ER Total High Measure Electric Annual Consumption Savings (kWh/yr)]]*GAS_CUFT_PER_SITE_KWH_CES/1000,"-")</f>
        <v>-0.13563139517753547</v>
      </c>
      <c r="HB26" s="328">
        <f ca="1">IFERROR(Tbl_MeasureList[[#This Row],[ER Total High Measure Natural Gas Annual Consumption Savings (therms/yr)]]*Btu_per_MMBtu/(GAS_BTU_PER_CUFT_CES*Therm_per_MMBtu*1000),"-")</f>
        <v>-92.590700051098636</v>
      </c>
      <c r="HC26" s="329">
        <f ca="1">IFERROR(Tbl_MeasureList[[#This Row],[CES ER High Measure Gas Source Fuel Savings (1,000 cu.ft. gas/year)]]+Tbl_MeasureList[[#This Row],[CES ER High Measure Gas Site Fuel Savings (1,000 cu.ft gas/year)]],"-")</f>
        <v>-92.726331446276177</v>
      </c>
      <c r="HD26" s="315">
        <f ca="1">Tbl_MeasureList[[#This Row],[ROF Low Measure Electric Annual Consumption Savings (kWh/yr)]]*COAL_BTU_PER_SITE_KWH_CES/Btu_per_MMBtu</f>
        <v>-1.8525261345533978E-2</v>
      </c>
      <c r="HE26" s="316">
        <f ca="1">Tbl_MeasureList[[#This Row],[ROF Low Measure Electric Annual Consumption Savings (kWh/yr)]]*COAL_LBS_PER_SITE_KWH_CES</f>
        <v>-1.6822794538261878</v>
      </c>
      <c r="HF26" s="317">
        <f ca="1">Tbl_MeasureList[[#This Row],[ROF Low Measure Electric Annual Consumption Savings (kWh/yr)]]*OIL_BTU_PER_SITE_KWH_CES/Btu_per_MMBtu</f>
        <v>-5.7021862112610518E-3</v>
      </c>
      <c r="HG26" s="316">
        <f ca="1">Tbl_MeasureList[[#This Row],[ROF Low Measure Electric Annual Consumption Savings (kWh/yr)]]*OIL_GAL_PER_SITE_KWH_CES</f>
        <v>-3.8470060255161455E-2</v>
      </c>
      <c r="HH26" s="317">
        <f ca="1">Tbl_MeasureList[[#This Row],[ROF Low Measure Oil Annual Consumption Savings (MMBtu/yr)]]*Btu_per_MMBtu/OIL_BTU_PER_GAL_CES</f>
        <v>727.66315075252919</v>
      </c>
      <c r="HI26" s="316">
        <f ca="1">Tbl_MeasureList[[#This Row],[CES ROF Low Measure Oil Source Fuel Savings (gallons oil/year)]]+Tbl_MeasureList[[#This Row],[CES ROF Low Measure Oil Site Fuel Savings (gallons oil/year)]]</f>
        <v>727.62468069227407</v>
      </c>
      <c r="HJ26" s="317">
        <f ca="1">Tbl_MeasureList[[#This Row],[ROF Low Measure Electric Annual Consumption Savings (kWh/yr)]]*GAS_BTU_PER_SITE_KWH_CES/Btu_per_MMBtu</f>
        <v>-0.16866260202747918</v>
      </c>
      <c r="HK26" s="316">
        <f ca="1">Tbl_MeasureList[[#This Row],[ROF Low Measure Electric Annual Consumption Savings (kWh/yr)]]*GAS_CUFT_PER_SITE_KWH_CES/1000</f>
        <v>-0.16375009905580504</v>
      </c>
      <c r="HL26" s="317">
        <f ca="1">Tbl_MeasureList[[#This Row],[ROF Low Measure Natural Gas Annual Consumption Savings (therms/yr)]]*Btu_per_MMBtu/(GAS_BTU_PER_CUFT_CES*Therm_per_MMBtu*1000)</f>
        <v>-97.734627831715216</v>
      </c>
      <c r="HM26" s="318">
        <f ca="1">Tbl_MeasureList[[#This Row],[CES ROF Low Measure Gas Source Fuel Savings (1,000 cu.ft. gas/year)]]+Tbl_MeasureList[[#This Row],[CES ROF Low Measure Gas Site Fuel Savings (1,000 cu.ft gas/year)]]</f>
        <v>-97.898377930771019</v>
      </c>
      <c r="HN26" s="315">
        <f ca="1">IFERROR(Tbl_MeasureList[[#This Row],[ROF High Measure Electric Annual Consumption Savings (kWh/yr)]]*COAL_BTU_PER_SITE_KWH_CES/Btu_per_MMBtu,"-")</f>
        <v>-1.5344155861957438E-2</v>
      </c>
      <c r="HO26" s="316">
        <f ca="1">IFERROR(Tbl_MeasureList[[#This Row],[ROF High Measure Electric Annual Consumption Savings (kWh/yr)]]*COAL_LBS_PER_SITE_KWH_CES,"-")</f>
        <v>-1.3934031839772465</v>
      </c>
      <c r="HP26" s="317">
        <f ca="1">IFERROR(Tbl_MeasureList[[#This Row],[ROF High Measure Electric Annual Consumption Savings (kWh/yr)]]*OIL_BTU_PER_SITE_KWH_CES/Btu_per_MMBtu,"-")</f>
        <v>-4.723022922458648E-3</v>
      </c>
      <c r="HQ26" s="316">
        <f ca="1">IFERROR(Tbl_MeasureList[[#This Row],[ROF High Measure Electric Annual Consumption Savings (kWh/yr)]]*OIL_GAL_PER_SITE_KWH_CES,"-")</f>
        <v>-3.1864090312355951E-2</v>
      </c>
      <c r="HR26" s="317">
        <f ca="1">IFERROR(Tbl_MeasureList[[#This Row],[ROF High Measure Oil Annual Consumption Savings (MMBtu/yr)]]*Btu_per_MMBtu/OIL_BTU_PER_GAL_CES,"-")</f>
        <v>727.66315075252919</v>
      </c>
      <c r="HS26" s="316">
        <f ca="1">IFERROR(Tbl_MeasureList[[#This Row],[CES ROF High Measure Oil Source Fuel Savings (gallons oil/year)]]+Tbl_MeasureList[[#This Row],[CES ROF High Measure Oil Site Fuel Savings (gallons oil/year)]],"-")</f>
        <v>727.63128666221678</v>
      </c>
      <c r="HT26" s="317">
        <f ca="1">IFERROR(Tbl_MeasureList[[#This Row],[ROF High Measure Electric Annual Consumption Savings (kWh/yr)]]*GAS_BTU_PER_SITE_KWH_CES/Btu_per_MMBtu,"-")</f>
        <v>-0.13970033703286155</v>
      </c>
      <c r="HU26" s="316">
        <f ca="1">IFERROR(Tbl_MeasureList[[#This Row],[ROF High Measure Electric Annual Consumption Savings (kWh/yr)]]*GAS_CUFT_PER_SITE_KWH_CES/1000,"-")</f>
        <v>-0.13563139517753547</v>
      </c>
      <c r="HV26" s="317">
        <f ca="1">IFERROR(Tbl_MeasureList[[#This Row],[ROF High Measure Natural Gas Annual Consumption Savings (therms/yr)]]*Btu_per_MMBtu/(GAS_BTU_PER_CUFT_CES*Therm_per_MMBtu*1000),"-")</f>
        <v>-92.590700051098636</v>
      </c>
      <c r="HW26" s="318">
        <f ca="1">IFERROR(Tbl_MeasureList[[#This Row],[CES ROF High Measure Gas Source Fuel Savings (1,000 cu.ft. gas/year)]]+Tbl_MeasureList[[#This Row],[CES ROF High Measure Gas Site Fuel Savings (1,000 cu.ft gas/year)]],"-")</f>
        <v>-92.726331446276177</v>
      </c>
      <c r="HX26" s="248">
        <f>Tbl_MeasureList[[#This Row],[Baseline Energy Cost (USD/yr)]]-Tbl_MeasureList[[#This Row],[Code (old fuel) Energy Cost (USD/yr)]]</f>
        <v>290.6986805104907</v>
      </c>
      <c r="HY26" s="201">
        <f>0</f>
        <v>0</v>
      </c>
      <c r="HZ26" s="86">
        <f>Tbl_MeasureList[[#This Row],[Baseline Electric Annual Consumption (kWh/yr)]]-Tbl_MeasureList[[#This Row],[Code (old fuel) Electric Annual Consumption (kWh/yr)]]</f>
        <v>0</v>
      </c>
      <c r="IA26" s="86" t="str">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v>
      </c>
      <c r="IB26" s="86" t="str">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v>
      </c>
      <c r="IC26" s="152">
        <f>Tbl_MeasureList[[#This Row],[Baseline Electric Winter Peak Demand (kW)]]-Tbl_MeasureList[[#This Row],[Code (old fuel) Electric Winter Peak Demand (kW)]]</f>
        <v>0</v>
      </c>
      <c r="ID26" s="152">
        <f>Tbl_MeasureList[[#This Row],[Baseline Electric Summer Peak Demand (kW)]]-Tbl_MeasureList[[#This Row],[Code (old fuel) Electric Summer Peak Demand (kW)]]</f>
        <v>0</v>
      </c>
      <c r="IE26" s="251">
        <f>Tbl_MeasureList[[#This Row],[Baseline Natural Gas Annual Consumption (therms/yr)]]-Tbl_MeasureList[[#This Row],[Code (old fuel) Natural Gas Annual Consumption (therms/yr)]]</f>
        <v>0</v>
      </c>
      <c r="IF26" s="252">
        <f>Tbl_MeasureList[[#This Row],[Baseline Propane Annual Consumption (MMBtu/yr)]]-Tbl_MeasureList[[#This Row],[Code (old fuel) Propane Annual Consumption (MMBtu/yr)]]</f>
        <v>0</v>
      </c>
      <c r="IG26" s="253">
        <f>Tbl_MeasureList[[#This Row],[Baseline Oil Annual Consumption (MMBtu/yr)]]-Tbl_MeasureList[[#This Row],[Code (old fuel) Oil Annual Consumption (MMBtu/yr)]]</f>
        <v>12.942857142857136</v>
      </c>
      <c r="IH26" s="371">
        <f>Tbl_MeasureList[[#This Row],[Baseline Energy Consumption on MMBtu Basis (MMBtu/yr)]]-Tbl_MeasureList[[#This Row],[Code (old fuel) Energy Consumption on MMBtu Basis (MMBtu/yr)]]</f>
        <v>12.942857142857136</v>
      </c>
      <c r="II26" s="371">
        <f>Tbl_MeasureList[[#This Row],[Baseline Carbon Emissions, Site (tons CO2/yr)]]-Tbl_MeasureList[[#This Row],[Code (old fuel) Carbon Emissions, Site (tons CO2/yr)]]</f>
        <v>1.0438414285714277</v>
      </c>
      <c r="IJ26" s="279">
        <f>Tbl_MeasureList[[#This Row],[Baseline Carbon Emissions, Source (tons CO2/yr)]]-Tbl_MeasureList[[#This Row],[Code (old fuel) Carbon Emissions, Source (tons CO2/yr)]]</f>
        <v>1.0438414285714277</v>
      </c>
      <c r="IK26" s="273">
        <f ca="1">Tbl_MeasureList[[#This Row],[Code (new fuel) Energy Cost (USD/yr)]]-Tbl_MeasureList[[#This Row],[Low Measure Energy Cost (USD/yr)]]</f>
        <v>0</v>
      </c>
      <c r="IL26"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12952.918136998454</v>
      </c>
      <c r="IM26" s="85">
        <f ca="1">Tbl_MeasureList[[#This Row],[Code (old fuel) Electric Annual Consumption (kWh/yr)]]-Tbl_MeasureList[[#This Row],[Low Measure Electric Annual Consumption (kWh/yr)]]</f>
        <v>-99</v>
      </c>
      <c r="IN26" s="85" t="str">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v>
      </c>
      <c r="IO26" s="85" t="str">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v>
      </c>
      <c r="IP26" s="152">
        <f ca="1">Tbl_MeasureList[[#This Row],[Code (old fuel) Electric Winter Peak Demand (kW)]]-Tbl_MeasureList[[#This Row],[Low Measure Electric Winter Peak Demand (kW)]]</f>
        <v>-1.5186960690316387E-2</v>
      </c>
      <c r="IQ26" s="152">
        <f ca="1">Tbl_MeasureList[[#This Row],[Code (old fuel) Electric Summer Peak Demand (kW)]]-Tbl_MeasureList[[#This Row],[Low Measure Electric Summer Peak Demand (kW)]]</f>
        <v>0</v>
      </c>
      <c r="IR26" s="204">
        <f ca="1">Tbl_MeasureList[[#This Row],[Code (old fuel) Natural Gas Annual Consumption (therms/yr)]]-Tbl_MeasureList[[#This Row],[Low Measure Natural Gas Annual Consumption (therms/yr)]]</f>
        <v>-1006.6666666666667</v>
      </c>
      <c r="IS26" s="153">
        <f ca="1">Tbl_MeasureList[[#This Row],[Code (old fuel) Propane Annual Consumption (MMBtu/yr)]]-Tbl_MeasureList[[#This Row],[Low Measure Propane Annual Consumption (MMBtu/yr)]]</f>
        <v>0</v>
      </c>
      <c r="IT26" s="204">
        <f ca="1">Tbl_MeasureList[[#This Row],[Code (old fuel) Oil Annual Consumption (MMBtu/yr)]]-Tbl_MeasureList[[#This Row],[Low Measure Oil Annual Consumption (MMBtu/yr)]]</f>
        <v>107.85714285714288</v>
      </c>
      <c r="IU26" s="204">
        <f ca="1">Tbl_MeasureList[[#This Row],[Code (old fuel) Energy Consumption on MMBtu Basis (MMBtu/yr)]]-Tbl_MeasureList[[#This Row],[Low Measure Energy Consumption on MMBtu Basis (MMBtu/yr)]]</f>
        <v>6.8526881904762149</v>
      </c>
      <c r="IV26" s="204">
        <f ca="1">Tbl_MeasureList[[#This Row],[Code (old fuel) Carbon Emissions, Site (tons CO2/yr)]]-Tbl_MeasureList[[#This Row],[Low Measure Carbon Emissions, Site (tons CO2/yr)]]</f>
        <v>2.8096785714285746</v>
      </c>
      <c r="IW26" s="260">
        <f ca="1">Tbl_MeasureList[[#This Row],[Code (old fuel) Carbon Emissions, Source (tons CO2/yr)]]-Tbl_MeasureList[[#This Row],[Low Measure Carbon Emissions, Source (tons CO2/yr)]]</f>
        <v>2.7747157314285751</v>
      </c>
      <c r="IX26" s="27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867.97677267514473</v>
      </c>
      <c r="IY26" s="20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12952.918136998454</v>
      </c>
      <c r="IZ26"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-82</v>
      </c>
      <c r="JA26" s="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v>
      </c>
      <c r="JB26" s="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v>
      </c>
      <c r="JC26"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-1.2579098753595391E-2</v>
      </c>
      <c r="JD26"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0</v>
      </c>
      <c r="JE26"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-953.68421052631595</v>
      </c>
      <c r="JF26" s="1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0</v>
      </c>
      <c r="JG26"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107.85714285714288</v>
      </c>
      <c r="JH26"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12.208937804511294</v>
      </c>
      <c r="JI26"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3.1196259398496267</v>
      </c>
      <c r="JJ26"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3.0906668198496261</v>
      </c>
      <c r="JK26" s="432">
        <f>Tbl_MeasureList[[#This Row],[ER (Retire) Electric Annual Consumption Savings (kWh/yr)]]*COAL_BTU_PER_SITE_KWH/Btu_per_MMBtu</f>
        <v>0</v>
      </c>
      <c r="JL26" s="428">
        <f>Tbl_MeasureList[[#This Row],[ER (Retire) Electric Annual Consumption Savings (kWh/yr)]]*COAL_LBS_PER_SITE_KWH</f>
        <v>0</v>
      </c>
      <c r="JM26" s="427">
        <f>Tbl_MeasureList[[#This Row],[ER (Retire) Electric Annual Consumption Savings (kWh/yr)]]*OIL_BTU_PER_SITE_KWH/Btu_per_MMBtu</f>
        <v>0</v>
      </c>
      <c r="JN26" s="428">
        <f>Tbl_MeasureList[[#This Row],[ER (Retire) Electric Annual Consumption Savings (kWh/yr)]]*OIL_GAL_PER_SITE_KWH</f>
        <v>0</v>
      </c>
      <c r="JO26" s="427">
        <f>Tbl_MeasureList[[#This Row],[ER (Retire) Oil Annual Consumption Savings (MMBtu/yr)]]*Btu_per_MMBtu/OIL_BTU_PER_GAL</f>
        <v>93.826214381508109</v>
      </c>
      <c r="JP26" s="428">
        <f ca="1">Tbl_MeasureList[[#This Row],[Current ER (Retire) Oil Source Fuel Savings (gallons oil/year)]]+Tbl_MeasureList[[#This Row],[Current ER Total Low Measure Oil Site Fuel Savings (gallons oil/year)]]</f>
        <v>875.71133422740957</v>
      </c>
      <c r="JQ26" s="427">
        <f>Tbl_MeasureList[[#This Row],[ER (Retire) Electric Annual Consumption Savings (kWh/yr)]]*GAS_BTU_PER_SITE_KWH/Btu_per_MMBtu</f>
        <v>0</v>
      </c>
      <c r="JR26" s="429">
        <f>Tbl_MeasureList[[#This Row],[ER (Retire) Electric Annual Consumption Savings (kWh/yr)]]*GAS_CUFT_PER_SITE_KWH/1000</f>
        <v>0</v>
      </c>
      <c r="JS26" s="430">
        <f>Tbl_MeasureList[[#This Row],[ER (Retire) Natural Gas Annual Consumption Savings (therms/yr)]]*Btu_per_MMBtu/(GAS_BTU_PER_CUFT*Therm_per_MMBtu*1000)</f>
        <v>0</v>
      </c>
      <c r="JT26" s="431">
        <f ca="1">Tbl_MeasureList[[#This Row],[Current ER (Retire) Gas Source Fuel Savings (1,000 cu.ft. gas/year)]]+Tbl_MeasureList[[#This Row],[Current ER Total Low Measure Gas Site Fuel Savings (1,000 cu.ft gas/year)]]</f>
        <v>-97.829608033689681</v>
      </c>
      <c r="JU26" s="432">
        <f ca="1">Tbl_MeasureList[[#This Row],[ER (EE) Low Measure Electric Annual Consumption Savings (kWh/yr)]]*COAL_BTU_PER_SITE_KWH/Btu_per_MMBtu</f>
        <v>-1.089721255619646E-2</v>
      </c>
      <c r="JV26" s="428">
        <f ca="1">Tbl_MeasureList[[#This Row],[ER (EE) Low Measure Electric Annual Consumption Savings (kWh/yr)]]*COAL_LBS_PER_SITE_KWH</f>
        <v>-0.9558958382628473</v>
      </c>
      <c r="JW26" s="427">
        <f ca="1">Tbl_MeasureList[[#This Row],[ER (EE) Low Measure Electric Annual Consumption Savings (kWh/yr)]]*OIL_BTU_PER_SITE_KWH/Btu_per_MMBtu</f>
        <v>-1.2544809664774313E-2</v>
      </c>
      <c r="JX26" s="428">
        <f ca="1">Tbl_MeasureList[[#This Row],[ER (EE) Low Measure Electric Annual Consumption Savings (kWh/yr)]]*OIL_GAL_PER_SITE_KWH</f>
        <v>-9.0940662327553101E-2</v>
      </c>
      <c r="JY26" s="427">
        <f ca="1">Tbl_MeasureList[[#This Row],[ER (EE) Low Measure Oil Annual Consumption Savings (MMBtu/yr)]]*Btu_per_MMBtu/OIL_BTU_PER_GAL</f>
        <v>781.8851198459015</v>
      </c>
      <c r="JZ26" s="428">
        <f ca="1">Tbl_MeasureList[[#This Row],[Current ER (EE) Low Measure Oil Source Fuel Savings (gallons oil/year)]]+Tbl_MeasureList[[#This Row],[Current ER (EE) Low Measure Oil Site Fuel Savings (gallons oil/year)]]</f>
        <v>781.79417918357399</v>
      </c>
      <c r="KA26" s="427">
        <f ca="1">Tbl_MeasureList[[#This Row],[ER (EE) Low Measure Electric Annual Consumption Savings (kWh/yr)]]*GAS_BTU_PER_SITE_KWH/Btu_per_MMBtu</f>
        <v>-0.4051209558503176</v>
      </c>
      <c r="KB26" s="429">
        <f ca="1">Tbl_MeasureList[[#This Row],[ER (EE) Low Measure Electric Annual Consumption Savings (kWh/yr)]]*GAS_CUFT_PER_SITE_KWH/1000</f>
        <v>-0.39370355281857877</v>
      </c>
      <c r="KC26" s="430">
        <f ca="1">Tbl_MeasureList[[#This Row],[ER (EE) Low Measure Natural Gas Annual Consumption Savings (therms/yr)]]*Btu_per_MMBtu/(GAS_BTU_PER_CUFT*Therm_per_MMBtu*1000)</f>
        <v>-97.829608033689681</v>
      </c>
      <c r="KD26" s="431">
        <f ca="1">Tbl_MeasureList[[#This Row],[Current ER (EE) Low Measure Gas Source Fuel Savings (1,000 cu.ft. gas/year)]]+Tbl_MeasureList[[#This Row],[Current ER (EE) Low Measure Gas Site Fuel Savings (1,000 cu.ft gas/year)]]</f>
        <v>-98.22331158650826</v>
      </c>
      <c r="KE26" s="432">
        <f ca="1">IFERROR(Tbl_MeasureList[[#This Row],[ER (EE) High Measure Electric Annual Consumption Savings (kWh/yr)]]*COAL_BTU_PER_SITE_KWH/Btu_per_MMBtu,"-")</f>
        <v>-9.0259740364455523E-3</v>
      </c>
      <c r="KF26" s="428">
        <f ca="1">IFERROR(Tbl_MeasureList[[#This Row],[ER (EE) High Measure Electric Annual Consumption Savings (kWh/yr)]]*COAL_LBS_PER_SITE_KWH,"-")</f>
        <v>-0.79175210846013611</v>
      </c>
      <c r="KG26" s="427">
        <f ca="1">IFERROR(Tbl_MeasureList[[#This Row],[ER (EE) High Measure Electric Annual Consumption Savings (kWh/yr)]]*OIL_BTU_PER_SITE_KWH/Btu_per_MMBtu,"-")</f>
        <v>-1.0390650429409027E-2</v>
      </c>
      <c r="KH26" s="428">
        <f ca="1">IFERROR(Tbl_MeasureList[[#This Row],[ER (EE) High Measure Electric Annual Consumption Savings (kWh/yr)]]*OIL_GAL_PER_SITE_KWH,"-")</f>
        <v>-7.5324588998579328E-2</v>
      </c>
      <c r="KI26" s="427">
        <f ca="1">IFERROR(Tbl_MeasureList[[#This Row],[ER (EE) High Measure Oil Annual Consumption Savings (MMBtu/yr)]]*Btu_per_MMBtu/OIL_BTU_PER_GAL,"-")</f>
        <v>781.8851198459015</v>
      </c>
      <c r="KJ26" s="428">
        <f ca="1">IFERROR(Tbl_MeasureList[[#This Row],[Current ER (EE) High Measure Oil Source Fuel Savings (gallons oil/year)]]+Tbl_MeasureList[[#This Row],[Current ER (EE) High Measure Oil Site Fuel Savings (gallons oil/year)]],"-")</f>
        <v>781.80979525690293</v>
      </c>
      <c r="KK26" s="427">
        <f ca="1">IFERROR(Tbl_MeasureList[[#This Row],[ER (EE) High Measure Electric Annual Consumption Savings (kWh/yr)]]*GAS_BTU_PER_SITE_KWH/Btu_per_MMBtu,"-")</f>
        <v>-0.33555473110834388</v>
      </c>
      <c r="KL26" s="429">
        <f ca="1">IFERROR(Tbl_MeasureList[[#This Row],[ER (EE) High Measure Electric Annual Consumption Savings (kWh/yr)]]*GAS_CUFT_PER_SITE_KWH/1000,"-")</f>
        <v>-0.32609789223357027</v>
      </c>
      <c r="KM26" s="430">
        <f ca="1">IFERROR(Tbl_MeasureList[[#This Row],[ER (EE) High Measure Natural Gas Annual Consumption Savings (therms/yr)]]*Btu_per_MMBtu/(GAS_BTU_PER_CUFT*Therm_per_MMBtu*1000),"-")</f>
        <v>-92.680681295074436</v>
      </c>
      <c r="KN26" s="431">
        <f ca="1">IFERROR(Tbl_MeasureList[[#This Row],[Current ER (EE) High Measure Gas Source Fuel Savings (1,000 cu.ft. gas/year)]]+Tbl_MeasureList[[#This Row],[Current ER (EE) High Measure Gas Site Fuel Savings (1,000 cu.ft gas/year)]],"-")</f>
        <v>-93.006779187308013</v>
      </c>
    </row>
    <row r="27" spans="2:300" x14ac:dyDescent="0.2">
      <c r="B27" s="16"/>
      <c r="C27" s="2" t="s">
        <v>101</v>
      </c>
      <c r="D27" s="12" t="str">
        <f>INDEX(Tbl_BaselineSummary[Equipment ID],MATCH(Tbl_MeasureList[[#This Row],[Baseline ID]],Tbl_BaselineSummary[Baseline ID],0))</f>
        <v>EQUI023</v>
      </c>
      <c r="E27" s="11" t="str">
        <f>INDEX(Tbl_EquipmentDefinitions[Equipment Name],MATCH('Measure List'!$D27,Tbl_EquipmentDefinitions[Equipment ID],0))</f>
        <v>Propane Combination Boiler</v>
      </c>
      <c r="F27" s="3" t="s">
        <v>238</v>
      </c>
      <c r="G27" s="11" t="str">
        <f>INDEX(Tbl_EquipmentDefinitions[Function],MATCH('Measure List'!$D27,Tbl_EquipmentDefinitions[Equipment ID],0))</f>
        <v>Heat+HW</v>
      </c>
      <c r="H27" s="3" t="s">
        <v>111</v>
      </c>
      <c r="I27" s="3" t="s">
        <v>45</v>
      </c>
      <c r="J27" s="11" t="str">
        <f>INDEX(Tbl_EquipmentDefinitions[Equipment Name],MATCH('Measure List'!$I27,Tbl_EquipmentDefinitions[Equipment ID],0))</f>
        <v>Gas Combination Boiler</v>
      </c>
      <c r="K27" s="11">
        <f>INDEX(Tbl_EquipmentDefinitions[],MATCH(Tbl_MeasureList[[#This Row],[Replacement ID]],Tbl_EquipmentDefinitions[[Equipment ID]:[Equipment ID]],0),MATCH(Tbl_MeasureList[[#Headers],[New Unit Equipment Life (years)]],Tbl_EquipmentDefinitions[#Headers],0))</f>
        <v>19</v>
      </c>
      <c r="L27" s="11">
        <f>INDEX(Tbl_EquipmentDefinitions[],MATCH(Tbl_MeasureList[[#This Row],[Baseline Equipment ID]],Tbl_EquipmentDefinitions[[Equipment ID]:[Equipment ID]],0),MATCH(Tbl_MeasureList[[#Headers],[Remaining Life for Early Replacement (years)]],Tbl_EquipmentDefinitions[#Headers],0))</f>
        <v>7</v>
      </c>
      <c r="M27" s="12" t="str">
        <f>INDEX(Tbl_EquipmentDefinitions[Function],MATCH('Measure List'!$I27,Tbl_EquipmentDefinitions[Equipment ID],0))</f>
        <v>Heat+HW</v>
      </c>
      <c r="N27" s="368" t="s">
        <v>118</v>
      </c>
      <c r="O27" s="14" t="str">
        <f t="shared" si="0"/>
        <v>OK</v>
      </c>
      <c r="P27" s="12" t="str">
        <f ca="1">IFERROR(INDIRECT(Tbl_MeasureList[[#This Row],[Measure ID]]&amp;"!D5"),"No tab")</f>
        <v>3. Ready</v>
      </c>
      <c r="Q27" s="11"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Propane</v>
      </c>
      <c r="R27" s="12"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v>
      </c>
      <c r="S27" s="11"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Natural Gas</v>
      </c>
      <c r="T27" s="247"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v>
      </c>
      <c r="U27" s="248">
        <f>INDEX(Tbl_BaselineSummary[Baseline Annual Energy Cost (USD)],MATCH(Tbl_MeasureList[[#This Row],[Baseline ID]],Tbl_BaselineSummary[Baseline ID],0))</f>
        <v>3448.9949028815445</v>
      </c>
      <c r="V27" s="249">
        <f>INDEX(Tbl_BaselineSummary[Baseline Electric Annual Consumption  (kWh)],MATCH(Tbl_MeasureList[[#This Row],[Baseline ID]],Tbl_BaselineSummary[Baseline ID],0))</f>
        <v>197</v>
      </c>
      <c r="W27" s="249" t="str">
        <f>INDEX(Tbl_BaselineSummary[Baseline Electric Winter Consumption (kWh)],MATCH(Tbl_MeasureList[[#This Row],[Baseline ID]],Tbl_BaselineSummary[Baseline ID],0))</f>
        <v>n/a</v>
      </c>
      <c r="X27" s="249" t="str">
        <f>INDEX(Tbl_BaselineSummary[Baseline Electric Summer Consumption (kWh)],MATCH(Tbl_MeasureList[[#This Row],[Baseline ID]],Tbl_BaselineSummary[Baseline ID],0))</f>
        <v>n/a</v>
      </c>
      <c r="Y27" s="250">
        <f>INDEX(Tbl_BaselineSummary[Baseline Electric Baseline Winter Peak Demand (kW)],MATCH(Tbl_MeasureList[[#This Row],[Baseline ID]],Tbl_BaselineSummary[Baseline ID],0))</f>
        <v>3.0220517737296261E-2</v>
      </c>
      <c r="Z27" s="452">
        <f>INDEX(Tbl_BaselineSummary[Baseline Electric Baseline Summer Peak Demand (kW)],MATCH(Tbl_MeasureList[[#This Row],[Baseline ID]],Tbl_BaselineSummary[Baseline ID],0))</f>
        <v>0</v>
      </c>
      <c r="AA27" s="458">
        <f>INDEX(Tbl_BaselineSummary[Baseline Natural Gas Annual Consumption  (therms)],MATCH(Tbl_MeasureList[[#This Row],[Baseline ID]],Tbl_BaselineSummary[Baseline ID],0))</f>
        <v>0</v>
      </c>
      <c r="AB27" s="455">
        <f>INDEX(Tbl_BaselineSummary[Baseline Propane Annual Consumption  (MMBtu)],MATCH(Tbl_MeasureList[[#This Row],[Baseline ID]],Tbl_BaselineSummary[Baseline ID],0))</f>
        <v>94.866925064599485</v>
      </c>
      <c r="AC27" s="252">
        <f>INDEX(Tbl_BaselineSummary[Baseline Oil Annual Consumption  (MMBtu)],MATCH(Tbl_MeasureList[[#This Row],[Baseline ID]],Tbl_BaselineSummary[Baseline ID],0))</f>
        <v>0</v>
      </c>
      <c r="AD27" s="371">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95.53908906459948</v>
      </c>
      <c r="AE27" s="460">
        <f>(lbCO2_per_Therm_Gas*Tbl_MeasureList[[#This Row],[Baseline Natural Gas Annual Consumption (therms/yr)]]+lbCO2_per_MMBtu_Prop*Tbl_MeasureList[[#This Row],[Baseline Propane Annual Consumption (MMBtu/yr)]]+lbCO2_per_MMBtu_Oil*Tbl_MeasureList[[#This Row],[Baseline Oil Annual Consumption (MMBtu/yr)]])*Lbs_per_ShortTon</f>
        <v>6.5932512919896649</v>
      </c>
      <c r="AF27" s="463">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6.6628238119896643</v>
      </c>
      <c r="AG27" s="465">
        <f>INDEX(Tbl_BaselineSummary[Code Annual Energy Cost (USD)],MATCH(Tbl_MeasureList[[#This Row],[Baseline ID]],Tbl_BaselineSummary[Baseline ID],0))</f>
        <v>2971.5909404781287</v>
      </c>
      <c r="AH27" s="468">
        <f>INDEX(Tbl_BaselineSummary[Deferred Replacement Credit (USD)],MATCH(Tbl_MeasureList[[#This Row],[Baseline ID]],Tbl_BaselineSummary[Baseline ID],0))</f>
        <v>6218.0497230298324</v>
      </c>
      <c r="AI27" s="201">
        <f>INDEX(Tbl_BaselineSummary[A/C-only Deferred Replacement Credit (USD)],MATCH(Tbl_MeasureList[[#This Row],[Baseline ID]],Tbl_BaselineSummary[Baseline ID],0))</f>
        <v>0</v>
      </c>
      <c r="AJ27" s="468">
        <f>INDEX(Tbl_BaselineSummary[Code Installed Costs (USD)],MATCH(Tbl_MeasureList[[#This Row],[Baseline ID]],Tbl_BaselineSummary[Baseline ID],0))</f>
        <v>10631</v>
      </c>
      <c r="AK27" s="201">
        <f>INDEX(Tbl_BaselineSummary[Code A/C-only Installed Cost (USD)],MATCH(Tbl_MeasureList[[#This Row],[Baseline ID]],Tbl_BaselineSummary[Baseline ID],0))</f>
        <v>0</v>
      </c>
      <c r="AL27" s="86">
        <f>INDEX(Tbl_BaselineSummary[Code Electric Annual Consumption (kWh)],MATCH(Tbl_MeasureList[[#This Row],[Baseline ID]],Tbl_BaselineSummary[Baseline ID],0))</f>
        <v>197</v>
      </c>
      <c r="AM27" s="86" t="str">
        <f>INDEX(Tbl_BaselineSummary[Code Electric Winter Consumption (kWh)],MATCH(Tbl_MeasureList[[#This Row],[Baseline ID]],Tbl_BaselineSummary[Baseline ID],0))</f>
        <v>n/a</v>
      </c>
      <c r="AN27" s="86" t="str">
        <f>INDEX(Tbl_BaselineSummary[Code Electric Summer Consumption (kWh)],MATCH(Tbl_MeasureList[[#This Row],[Baseline ID]],Tbl_BaselineSummary[Baseline ID],0))</f>
        <v>n/a</v>
      </c>
      <c r="AO27" s="152">
        <f>INDEX(Tbl_BaselineSummary[Code Electric Winter Peak Demand (kW)],MATCH(Tbl_MeasureList[[#This Row],[Baseline ID]],Tbl_BaselineSummary[Baseline ID],0))</f>
        <v>3.0220517737296261E-2</v>
      </c>
      <c r="AP27" s="470">
        <f>INDEX(Tbl_BaselineSummary[Code Electric Summer Peak Demand (kW)],MATCH(Tbl_MeasureList[[#This Row],[Baseline ID]],Tbl_BaselineSummary[Baseline ID],0))</f>
        <v>0</v>
      </c>
      <c r="AQ27" s="467">
        <f>INDEX(Tbl_BaselineSummary[Code Natural Gas Annual Consumption (therms)],MATCH(Tbl_MeasureList[[#This Row],[Baseline ID]],Tbl_BaselineSummary[Baseline ID],0))</f>
        <v>0</v>
      </c>
      <c r="AR27" s="472">
        <f>INDEX(Tbl_BaselineSummary[Code Propane Annual Consumption (MMBtu)],MATCH(Tbl_MeasureList[[#This Row],[Baseline ID]],Tbl_BaselineSummary[Baseline ID],0))</f>
        <v>81.585555555555558</v>
      </c>
      <c r="AS27" s="467">
        <f>INDEX(Tbl_BaselineSummary[Code Oil Annual Consumption (MMBtu)],MATCH(Tbl_MeasureList[[#This Row],[Baseline ID]],Tbl_BaselineSummary[Baseline ID],0))</f>
        <v>0</v>
      </c>
      <c r="AT27" s="204">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82.257719555555553</v>
      </c>
      <c r="AU27" s="467">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5.6701961111111112</v>
      </c>
      <c r="AV27" s="474">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5.7397686311111116</v>
      </c>
      <c r="AW27" s="248">
        <f ca="1">INDIRECT(Tbl_MeasureList[[#This Row],[Measure ID]]&amp;"!L26")</f>
        <v>1381.0512111111113</v>
      </c>
      <c r="AX27" s="477">
        <f ca="1">INDIRECT(Tbl_MeasureList[[#This Row],[Measure ID]]&amp;"!M26")</f>
        <v>16130</v>
      </c>
      <c r="AY27" s="481">
        <f ca="1">INDIRECT(Tbl_MeasureList[[#This Row],[Measure ID]]&amp;"!D26")</f>
        <v>329</v>
      </c>
      <c r="AZ27" s="481" t="str">
        <f ca="1">INDIRECT(Tbl_MeasureList[[#This Row],[Measure ID]]&amp;"!J26")</f>
        <v>n/a</v>
      </c>
      <c r="BA27" s="481" t="str">
        <f ca="1">INDIRECT(Tbl_MeasureList[[#This Row],[Measure ID]]&amp;"!I26")</f>
        <v>n/a</v>
      </c>
      <c r="BB27" s="479">
        <f ca="1">INDIRECT(Tbl_MeasureList[[#This Row],[Measure ID]]&amp;"!E26")</f>
        <v>5.0469798657718119E-2</v>
      </c>
      <c r="BC27" s="268">
        <f ca="1">INDIRECT(Tbl_MeasureList[[#This Row],[Measure ID]]&amp;"!H26")</f>
        <v>0</v>
      </c>
      <c r="BD27" s="253">
        <f ca="1">INDIRECT(Tbl_MeasureList[[#This Row],[Measure ID]]&amp;"!D32")</f>
        <v>815.85555555555561</v>
      </c>
      <c r="BE27" s="270">
        <f ca="1">INDIRECT(Tbl_MeasureList[[#This Row],[Measure ID]]&amp;"!D38")</f>
        <v>0</v>
      </c>
      <c r="BF27" s="253">
        <f ca="1">INDIRECT(Tbl_MeasureList[[#This Row],[Measure ID]]&amp;"!D44")</f>
        <v>0</v>
      </c>
      <c r="BG27" s="460">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82.708103555555553</v>
      </c>
      <c r="BH27" s="371">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4.7727550000000001</v>
      </c>
      <c r="BI27" s="272">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4.8889446400000001</v>
      </c>
      <c r="BJ27" s="273">
        <f ca="1">INDIRECT(Tbl_MeasureList[[#This Row],[Measure ID]]&amp;"!L27")</f>
        <v>1381.0512111111113</v>
      </c>
      <c r="BK27" s="201">
        <f ca="1">INDIRECT(Tbl_MeasureList[[#This Row],[Measure ID]]&amp;"!M27")</f>
        <v>16130</v>
      </c>
      <c r="BL27" s="85">
        <f ca="1">INDIRECT(Tbl_MeasureList[[#This Row],[Measure ID]]&amp;"!D27")</f>
        <v>329</v>
      </c>
      <c r="BM27" s="85" t="str">
        <f ca="1">INDIRECT(Tbl_MeasureList[[#This Row],[Measure ID]]&amp;"!J27")</f>
        <v>n/a</v>
      </c>
      <c r="BN27" s="85" t="str">
        <f ca="1">INDIRECT(Tbl_MeasureList[[#This Row],[Measure ID]]&amp;"!I27")</f>
        <v>n/a</v>
      </c>
      <c r="BO27" s="152">
        <f ca="1">INDIRECT(Tbl_MeasureList[[#This Row],[Measure ID]]&amp;"!E27")</f>
        <v>5.0469798657718119E-2</v>
      </c>
      <c r="BP27" s="470">
        <f ca="1">INDIRECT(Tbl_MeasureList[[#This Row],[Measure ID]]&amp;"!H27")</f>
        <v>0</v>
      </c>
      <c r="BQ27" s="467">
        <f ca="1">INDIRECT(Tbl_MeasureList[[#This Row],[Measure ID]]&amp;"!D33")</f>
        <v>815.85555555555561</v>
      </c>
      <c r="BR27" s="472">
        <f ca="1">INDIRECT(Tbl_MeasureList[[#This Row],[Measure ID]]&amp;"!D39")</f>
        <v>0</v>
      </c>
      <c r="BS27" s="467">
        <f ca="1">INDIRECT(Tbl_MeasureList[[#This Row],[Measure ID]]&amp;"!D45")</f>
        <v>0</v>
      </c>
      <c r="BT27" s="204">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82.708103555555553</v>
      </c>
      <c r="BU27" s="467">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4.7727550000000001</v>
      </c>
      <c r="BV27" s="260">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4.8889446400000001</v>
      </c>
      <c r="BW27" s="24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1308.4267684210529</v>
      </c>
      <c r="BX27" s="26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16130</v>
      </c>
      <c r="BY27"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312</v>
      </c>
      <c r="BZ27"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n/a</v>
      </c>
      <c r="CA27"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n/a</v>
      </c>
      <c r="CB27"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4.7861936720997124E-2</v>
      </c>
      <c r="CC27"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0</v>
      </c>
      <c r="CD27"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772.9157894736843</v>
      </c>
      <c r="CE27"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0</v>
      </c>
      <c r="CF27"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0</v>
      </c>
      <c r="CG27" s="460">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78.356122947368434</v>
      </c>
      <c r="CH27" s="37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4.5215573684210533</v>
      </c>
      <c r="CI27" s="26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4.6317432884210534</v>
      </c>
      <c r="CJ27" s="320">
        <f ca="1">-Tbl_MeasureList[[#This Row],[Low Measure Energy Cost (USD/yr)]]+Tbl_MeasureList[[#This Row],[Baseline Energy Cost (USD/yr)]]</f>
        <v>2067.9436917704334</v>
      </c>
      <c r="CK27"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9911.9502769701685</v>
      </c>
      <c r="CL27" s="249">
        <f ca="1">-Tbl_MeasureList[[#This Row],[Low Measure Electric Annual Consumption (kWh/yr)]]+Tbl_MeasureList[[#This Row],[Baseline Electric Annual Consumption (kWh/yr)]]</f>
        <v>-132</v>
      </c>
      <c r="CM27" s="249" t="str">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v>
      </c>
      <c r="CN27" s="249" t="str">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v>
      </c>
      <c r="CO27" s="268">
        <f ca="1">-Tbl_MeasureList[[#This Row],[Low Measure Electric Winter Peak Demand (kW)]]+Tbl_MeasureList[[#This Row],[Baseline Electric Winter Peak Demand (kW)]]</f>
        <v>-2.0249280920421858E-2</v>
      </c>
      <c r="CP27" s="479">
        <f ca="1">-Tbl_MeasureList[[#This Row],[Low Measure Electric Summer Peak Demand (kW)]]+Tbl_MeasureList[[#This Row],[Baseline Electric Summer Peak Demand (kW)]]</f>
        <v>0</v>
      </c>
      <c r="CQ27" s="481">
        <f ca="1">-Tbl_MeasureList[[#This Row],[Low Measure Natural Gas Annual Consumption (therms/yr)]]+Tbl_MeasureList[[#This Row],[Baseline Natural Gas Annual Consumption (therms/yr)]]</f>
        <v>-815.85555555555561</v>
      </c>
      <c r="CR27" s="490">
        <f ca="1">-Tbl_MeasureList[[#This Row],[Low Measure Propane Annual Consumption (MMBtu/yr)]]+Tbl_MeasureList[[#This Row],[Baseline Propane Annual Consumption (MMBtu/yr)]]</f>
        <v>94.866925064599485</v>
      </c>
      <c r="CS27" s="252">
        <f ca="1">-Tbl_MeasureList[[#This Row],[Low Measure Oil Annual Consumption (MMBtu/yr)]]+Tbl_MeasureList[[#This Row],[Baseline Oil Annual Consumption (MMBtu/yr)]]</f>
        <v>0</v>
      </c>
      <c r="CT27"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12.830985509043927</v>
      </c>
      <c r="CU27" s="487">
        <f ca="1">-Tbl_MeasureList[[#This Row],[Low Measure Carbon Emissions, Site (tons CO2/yr)]]+Tbl_MeasureList[[#This Row],[Baseline Carbon Emissions, Site (tons CO2/yr)]]</f>
        <v>1.8204962919896648</v>
      </c>
      <c r="CV27" s="491">
        <f ca="1">-Tbl_MeasureList[[#This Row],[Low Measure Carbon Emissions, Source (tons CO2/yr)]]+Tbl_MeasureList[[#This Row],[Baseline Carbon Emissions, Source (tons CO2/yr)]]</f>
        <v>1.7738791719896643</v>
      </c>
      <c r="CW27"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2140.5681344604918</v>
      </c>
      <c r="CX27"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9911.9502769701685</v>
      </c>
      <c r="CY27"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-115</v>
      </c>
      <c r="CZ27"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v>
      </c>
      <c r="DA27"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v>
      </c>
      <c r="DB27"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-1.7641418983700863E-2</v>
      </c>
      <c r="DC27"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0</v>
      </c>
      <c r="DD27"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-772.9157894736843</v>
      </c>
      <c r="DE27"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94.866925064599485</v>
      </c>
      <c r="DF27"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0</v>
      </c>
      <c r="DG27" s="270">
        <f ca="1">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17.182966117231047</v>
      </c>
      <c r="DH27"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2.0716939235686116</v>
      </c>
      <c r="DI27"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2.0310805235686109</v>
      </c>
      <c r="DJ27" s="320">
        <f ca="1">-Tbl_MeasureList[[#This Row],[Low Measure Energy Cost (USD/yr)]]+Tbl_MeasureList[[#This Row],[Code (old fuel) Energy Cost (USD/yr)]]</f>
        <v>1590.5397293670173</v>
      </c>
      <c r="DK27" s="267">
        <f ca="1">Tbl_MeasureList[[#This Row],[Low Measure Installed Costs (USD)]]-Tbl_MeasureList[[#This Row],[Code (old fuel) Installed Costs (USD)]]</f>
        <v>5499</v>
      </c>
      <c r="DL27" s="249">
        <f ca="1">-Tbl_MeasureList[[#This Row],[Low Measure Electric Annual Consumption (kWh/yr)]]+Tbl_MeasureList[[#This Row],[Code (old fuel) Electric Annual Consumption (kWh/yr)]]</f>
        <v>-132</v>
      </c>
      <c r="DM27" s="249" t="str">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v>
      </c>
      <c r="DN27" s="249" t="str">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v>
      </c>
      <c r="DO27" s="268">
        <f ca="1">-Tbl_MeasureList[[#This Row],[Low Measure Electric Winter Peak Demand (kW)]]+Tbl_MeasureList[[#This Row],[Code (old fuel) Electric Winter Peak Demand (kW)]]</f>
        <v>-2.0249280920421858E-2</v>
      </c>
      <c r="DP27" s="479">
        <f ca="1">-Tbl_MeasureList[[#This Row],[Low Measure Electric Summer Peak Demand (kW)]]+Tbl_MeasureList[[#This Row],[Code (old fuel) Electric Summer Peak Demand (kW)]]</f>
        <v>0</v>
      </c>
      <c r="DQ27" s="481">
        <f ca="1">-Tbl_MeasureList[[#This Row],[Low Measure Natural Gas Annual Consumption (therms/yr)]]+Tbl_MeasureList[[#This Row],[Code (old fuel) Natural Gas Annual Consumption (therms/yr)]]</f>
        <v>-815.85555555555561</v>
      </c>
      <c r="DR27" s="490">
        <f ca="1">-Tbl_MeasureList[[#This Row],[Low Measure Propane Annual Consumption (MMBtu/yr)]]+Tbl_MeasureList[[#This Row],[Code (old fuel) Propane Annual Consumption (MMBtu/yr)]]</f>
        <v>81.585555555555558</v>
      </c>
      <c r="DS27" s="252">
        <f ca="1">-Tbl_MeasureList[[#This Row],[Low Measure Oil Annual Consumption (MMBtu/yr)]]+Tbl_MeasureList[[#This Row],[Code (old fuel) Oil Annual Consumption (MMBtu/yr)]]</f>
        <v>0</v>
      </c>
      <c r="DT27"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-0.45038399999999967</v>
      </c>
      <c r="DU27" s="487">
        <f ca="1">-Tbl_MeasureList[[#This Row],[Low Measure Carbon Emissions, Site (tons CO2/yr)]]+Tbl_MeasureList[[#This Row],[Code (old fuel) Carbon Emissions, Site (tons CO2/yr)]]</f>
        <v>0.89744111111111113</v>
      </c>
      <c r="DV27" s="491">
        <f ca="1">-Tbl_MeasureList[[#This Row],[Low Measure Carbon Emissions, Source (tons CO2/yr)]]+Tbl_MeasureList[[#This Row],[Code (old fuel) Carbon Emissions, Source (tons CO2/yr)]]</f>
        <v>0.85082399111111151</v>
      </c>
      <c r="DW27"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(old fuel) Energy Cost (USD/yr)]],
        "-")</f>
        <v>1663.1641720570758</v>
      </c>
      <c r="DX27"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5499</v>
      </c>
      <c r="DY27"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-115</v>
      </c>
      <c r="DZ27"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v>
      </c>
      <c r="EA27"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v>
      </c>
      <c r="EB27"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-1.7641418983700863E-2</v>
      </c>
      <c r="EC27"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0</v>
      </c>
      <c r="ED27"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-772.9157894736843</v>
      </c>
      <c r="EE27"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81.585555555555558</v>
      </c>
      <c r="EF27"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0</v>
      </c>
      <c r="EG27" s="270">
        <f ca="1">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3.9015966081871198</v>
      </c>
      <c r="EH27"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1.1486387426900579</v>
      </c>
      <c r="EI27"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1.1080253426900581</v>
      </c>
      <c r="EJ27" s="477">
        <f ca="1">Tbl_MeasureList[[#This Row],[Code (old fuel) Energy Cost (USD/yr)]]-Tbl_MeasureList[[#This Row],[Code (new fuel) Energy Cost (USD/yr)]]</f>
        <v>1590.5397293670173</v>
      </c>
      <c r="EK27" s="496">
        <f ca="1">Tbl_MeasureList[[#This Row],[Code (old fuel) Electric Annual Consumption (kWh/yr)]]-Tbl_MeasureList[[#This Row],[Code (new fuel) Electric Annual Consumption (kWh/yr)]]</f>
        <v>-132</v>
      </c>
      <c r="EL27" s="496" t="str">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v>
      </c>
      <c r="EM27" s="496" t="str">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v>
      </c>
      <c r="EN27" s="500">
        <f ca="1">Tbl_MeasureList[[#This Row],[Code (old fuel) Electric Winter Peak Demand (kW)]]-Tbl_MeasureList[[#This Row],[Code (new fuel) Electric Winter Peak Demand (kW)]]</f>
        <v>-2.0249280920421858E-2</v>
      </c>
      <c r="EO27" s="493">
        <f ca="1">Tbl_MeasureList[[#This Row],[Code (old fuel) Electric Summer Peak Demand (kW)]]-Tbl_MeasureList[[#This Row],[Code (new fuel) Electric Summer Peak Demand (kW)]]</f>
        <v>0</v>
      </c>
      <c r="EP27" s="502">
        <f ca="1">Tbl_MeasureList[[#This Row],[Code (old fuel) Natural Gas Annual Consumption (therms/yr)]]-Tbl_MeasureList[[#This Row],[Code (new fuel) Natural Gas Annual Consumption (therms/yr)]]</f>
        <v>-815.85555555555561</v>
      </c>
      <c r="EQ27" s="215">
        <f ca="1">Tbl_MeasureList[[#This Row],[Code (old fuel) Propane Annual Consumption (MMBtu/yr)]]-Tbl_MeasureList[[#This Row],[Code (new fuel) Propane Annual Consumption (MMBtu/yr)]]</f>
        <v>81.585555555555558</v>
      </c>
      <c r="ER27" s="502">
        <f ca="1">Tbl_MeasureList[[#This Row],[Code (old fuel) Oil Annual Consumption (MMBtu/yr)]]-Tbl_MeasureList[[#This Row],[Code (new fuel) Oil Annual Consumption (MMBtu/yr)]]</f>
        <v>0</v>
      </c>
      <c r="ES27" s="215">
        <f ca="1">Tbl_MeasureList[[#This Row],[Code (old fuel) Energy Consumption on MMBtu Basis (MMBtu/yr)]]-Tbl_MeasureList[[#This Row],[Code (new fuel) Energy Consumption on MMBtu Basis (MMBtu/yr)]]</f>
        <v>-0.45038399999999967</v>
      </c>
      <c r="ET27" s="502">
        <f ca="1">Tbl_MeasureList[[#This Row],[Code (old fuel) Carbon Emissions, Site (tons CO2/yr)]]-Tbl_MeasureList[[#This Row],[Code (new fuel) Carbon Emissions, Site (tons CO2/yr)]]</f>
        <v>0.89744111111111113</v>
      </c>
      <c r="EU27" s="498">
        <f ca="1">Tbl_MeasureList[[#This Row],[Code (old fuel) Carbon Emissions, Source (tons CO2/yr)]]-Tbl_MeasureList[[#This Row],[Code (new fuel) Carbon Emissions, Source (tons CO2/yr)]]</f>
        <v>0.85082399111111151</v>
      </c>
      <c r="EV27" s="450">
        <f ca="1">Tbl_MeasureList[[#This Row],[ER Total Low Measure Electric Annual Consumption Savings (kWh/yr)]]*COAL_BTU_PER_SITE_KWH/Btu_per_MMBtu</f>
        <v>-1.4529616741595279E-2</v>
      </c>
      <c r="EW27" s="411">
        <f ca="1">Tbl_MeasureList[[#This Row],[ER Total Low Measure Electric Annual Consumption Savings (kWh/yr)]]*COAL_LBS_PER_SITE_KWH</f>
        <v>-1.274527784350463</v>
      </c>
      <c r="EX27" s="326">
        <f ca="1">Tbl_MeasureList[[#This Row],[ER Total Low Measure Electric Annual Consumption Savings (kWh/yr)]]*OIL_BTU_PER_SITE_KWH/Btu_per_MMBtu</f>
        <v>-1.6726412886365751E-2</v>
      </c>
      <c r="EY27" s="325">
        <f ca="1">Tbl_MeasureList[[#This Row],[ER Total Low Measure Electric Annual Consumption Savings (kWh/yr)]]*OIL_GAL_PER_SITE_KWH</f>
        <v>-0.12125421643673746</v>
      </c>
      <c r="EZ27" s="326">
        <f ca="1">Tbl_MeasureList[[#This Row],[ER Total Low Measure Oil Annual Consumption Savings (MMBtu/yr)]]*Btu_per_MMBtu/OIL_BTU_PER_GAL</f>
        <v>0</v>
      </c>
      <c r="FA27" s="325">
        <f ca="1">Tbl_MeasureList[[#This Row],[Current ER Total Low Measure Oil Source Fuel Savings (gallons oil/year)]]+Tbl_MeasureList[[#This Row],[Current ER Total Low Measure Oil Site Fuel Savings (gallons oil/year)]]</f>
        <v>-0.12125421643673746</v>
      </c>
      <c r="FB27" s="326">
        <f ca="1">Tbl_MeasureList[[#This Row],[ER Total Low Measure Electric Annual Consumption Savings (kWh/yr)]]*GAS_BTU_PER_SITE_KWH/Btu_per_MMBtu</f>
        <v>-0.54016127446709017</v>
      </c>
      <c r="FC27" s="327">
        <f ca="1">Tbl_MeasureList[[#This Row],[ER Total Low Measure Electric Annual Consumption Savings (kWh/yr)]]*GAS_CUFT_PER_SITE_KWH/1000</f>
        <v>-0.5249380704247717</v>
      </c>
      <c r="FD27" s="328">
        <f ca="1">Tbl_MeasureList[[#This Row],[ER Total Low Measure Natural Gas Annual Consumption Savings (therms/yr)]]*Btu_per_MMBtu/(GAS_BTU_PER_CUFT*Therm_per_MMBtu*1000)</f>
        <v>-79.286254184213377</v>
      </c>
      <c r="FE27" s="329">
        <f ca="1">Tbl_MeasureList[[#This Row],[Current ER Total Low Measure Gas Source Fuel Savings (1,000 cu.ft. gas/year)]]+Tbl_MeasureList[[#This Row],[Current ER Total Low Measure Gas Site Fuel Savings (1,000 cu.ft gas/year)]]</f>
        <v>-79.811192254638144</v>
      </c>
      <c r="FF27" s="324">
        <f ca="1">IFERROR(Tbl_MeasureList[[#This Row],[ER Total High Measure Electric Annual Consumption Savings (kWh/yr)]]*COAL_BTU_PER_SITE_KWH/Btu_per_MMBtu,"-")</f>
        <v>-1.2658378221844372E-2</v>
      </c>
      <c r="FG27" s="325">
        <f ca="1">IFERROR(Tbl_MeasureList[[#This Row],[ER Total High Measure Electric Annual Consumption Savings (kWh/yr)]]*COAL_LBS_PER_SITE_KWH,"-")</f>
        <v>-1.1103840545477519</v>
      </c>
      <c r="FH27" s="326">
        <f ca="1">IFERROR(Tbl_MeasureList[[#This Row],[ER Total High Measure Electric Annual Consumption Savings (kWh/yr)]]*OIL_BTU_PER_SITE_KWH/Btu_per_MMBtu,"-")</f>
        <v>-1.4572253651000464E-2</v>
      </c>
      <c r="FI27" s="325">
        <f ca="1">IFERROR(Tbl_MeasureList[[#This Row],[ER Total High Measure Electric Annual Consumption Savings (kWh/yr)]]*OIL_GAL_PER_SITE_KWH,"-")</f>
        <v>-0.1056381431077637</v>
      </c>
      <c r="FJ27" s="326">
        <f ca="1">IFERROR(Tbl_MeasureList[[#This Row],[ER Total High Measure Oil Annual Consumption Savings (MMBtu/yr)]]*Btu_per_MMBtu/OIL_BTU_PER_GAL,"-")</f>
        <v>0</v>
      </c>
      <c r="FK27" s="325">
        <f ca="1">IFERROR(Tbl_MeasureList[[#This Row],[Current ER Total High Measure Oil Source Fuel Savings (gallons oil/year)]]+Tbl_MeasureList[[#This Row],[Current ER Total High Measure Oil Site Fuel Savings (gallons oil/year)]],"-")</f>
        <v>-0.1056381431077637</v>
      </c>
      <c r="FL27" s="326">
        <f ca="1">IFERROR(Tbl_MeasureList[[#This Row],[ER Total High Measure Electric Annual Consumption Savings (kWh/yr)]]*GAS_BTU_PER_SITE_KWH/Btu_per_MMBtu,"-")</f>
        <v>-0.4705950497251164</v>
      </c>
      <c r="FM27" s="327">
        <f ca="1">IFERROR(Tbl_MeasureList[[#This Row],[ER Total High Measure Electric Annual Consumption Savings (kWh/yr)]]*GAS_CUFT_PER_SITE_KWH/1000,"-")</f>
        <v>-0.45733240983976325</v>
      </c>
      <c r="FN27" s="328">
        <f ca="1">IFERROR(Tbl_MeasureList[[#This Row],[ER Total High Measure Natural Gas Annual Consumption Savings (therms/yr)]]*Btu_per_MMBtu/(GAS_BTU_PER_CUFT*Therm_per_MMBtu*1000),"-")</f>
        <v>-75.113293437675836</v>
      </c>
      <c r="FO27" s="329">
        <f ca="1">IFERROR(Tbl_MeasureList[[#This Row],[Current ER Total High Measure Gas Source Fuel Savings (1,000 cu.ft. gas/year)]]+Tbl_MeasureList[[#This Row],[Current ER Total High Measure Gas Site Fuel Savings (1,000 cu.ft gas/year)]],"-")</f>
        <v>-75.570625847515601</v>
      </c>
      <c r="FP27" s="412">
        <f ca="1">Tbl_MeasureList[[#This Row],[ROF Low Measure Electric Annual Consumption Savings (kWh/yr)]]*COAL_BTU_PER_SITE_KWH/Btu_per_MMBtu</f>
        <v>-1.4529616741595279E-2</v>
      </c>
      <c r="FQ27" s="327">
        <f ca="1">Tbl_MeasureList[[#This Row],[ROF Low Measure Electric Annual Consumption Savings (kWh/yr)]]*COAL_LBS_PER_SITE_KWH</f>
        <v>-1.274527784350463</v>
      </c>
      <c r="FR27" s="412">
        <f ca="1">Tbl_MeasureList[[#This Row],[ROF Low Measure Electric Annual Consumption Savings (kWh/yr)]]*OIL_BTU_PER_SITE_KWH/Btu_per_MMBtu</f>
        <v>-1.6726412886365751E-2</v>
      </c>
      <c r="FS27" s="327">
        <f ca="1">Tbl_MeasureList[[#This Row],[ROF Low Measure Electric Annual Consumption Savings (kWh/yr)]]*OIL_GAL_PER_SITE_KWH</f>
        <v>-0.12125421643673746</v>
      </c>
      <c r="FT27" s="412">
        <f ca="1">Tbl_MeasureList[[#This Row],[ROF Low Measure Oil Annual Consumption Savings (MMBtu/yr)]]*Btu_per_MMBtu/OIL_BTU_PER_GAL</f>
        <v>0</v>
      </c>
      <c r="FU27" s="327">
        <f ca="1">Tbl_MeasureList[[#This Row],[Current ROF Low Measure Oil Source Fuel Savings (gallons oil/year)]]+Tbl_MeasureList[[#This Row],[Current ROF Low Measure Oil Site Fuel Savings (gallons oil/year)]]</f>
        <v>-0.12125421643673746</v>
      </c>
      <c r="FV27" s="412">
        <f ca="1">Tbl_MeasureList[[#This Row],[ROF Low Measure Electric Annual Consumption Savings (kWh/yr)]]*GAS_BTU_PER_SITE_KWH/Btu_per_MMBtu</f>
        <v>-0.54016127446709017</v>
      </c>
      <c r="FW27" s="327">
        <f ca="1">Tbl_MeasureList[[#This Row],[ROF Low Measure Electric Annual Consumption Savings (kWh/yr)]]*GAS_CUFT_PER_SITE_KWH/1000</f>
        <v>-0.5249380704247717</v>
      </c>
      <c r="FX27" s="412">
        <f ca="1">Tbl_MeasureList[[#This Row],[ROF Low Measure Natural Gas Annual Consumption Savings (therms/yr)]]*Btu_per_MMBtu/(GAS_BTU_PER_CUFT*Therm_per_MMBtu*1000)</f>
        <v>-79.286254184213377</v>
      </c>
      <c r="FY27" s="327">
        <f ca="1">Tbl_MeasureList[[#This Row],[Current ROF Low Measure Gas Source Fuel Savings (1,000 cu.ft. gas/year)]]+Tbl_MeasureList[[#This Row],[Current ROF Low Measure Gas Site Fuel Savings (1,000 cu.ft gas/year)]]</f>
        <v>-79.811192254638144</v>
      </c>
      <c r="FZ27" s="414">
        <f ca="1">IFERROR(Tbl_MeasureList[[#This Row],[ROF High Measure Electric Annual Consumption Savings (kWh/yr)]]*COAL_BTU_PER_SITE_KWH/Btu_per_MMBtu,"-")</f>
        <v>-1.2658378221844372E-2</v>
      </c>
      <c r="GA27" s="327">
        <f ca="1">IFERROR(Tbl_MeasureList[[#This Row],[ROF High Measure Electric Annual Consumption Savings (kWh/yr)]]*COAL_LBS_PER_SITE_KWH,"-")</f>
        <v>-1.1103840545477519</v>
      </c>
      <c r="GB27" s="412">
        <f ca="1">IFERROR(Tbl_MeasureList[[#This Row],[ROF High Measure Electric Annual Consumption Savings (kWh/yr)]]*OIL_BTU_PER_SITE_KWH/Btu_per_MMBtu,"-")</f>
        <v>-1.4572253651000464E-2</v>
      </c>
      <c r="GC27" s="327">
        <f ca="1">IFERROR(Tbl_MeasureList[[#This Row],[ROF High Measure Electric Annual Consumption Savings (kWh/yr)]]*OIL_GAL_PER_SITE_KWH,"-")</f>
        <v>-0.1056381431077637</v>
      </c>
      <c r="GD27" s="412">
        <f ca="1">IFERROR(Tbl_MeasureList[[#This Row],[ROF High Measure Oil Annual Consumption Savings (MMBtu/yr)]]*Btu_per_MMBtu/OIL_BTU_PER_GAL,"-")</f>
        <v>0</v>
      </c>
      <c r="GE27" s="327">
        <f ca="1">IFERROR(Tbl_MeasureList[[#This Row],[Current ROF High Measure Oil Source Fuel Savings (gallons oil/year)]]+Tbl_MeasureList[[#This Row],[Current ROF High Measure Oil Site Fuel Savings (gallons oil/year)]],"-")</f>
        <v>-0.1056381431077637</v>
      </c>
      <c r="GF27" s="412">
        <f ca="1">IFERROR(Tbl_MeasureList[[#This Row],[ROF High Measure Electric Annual Consumption Savings (kWh/yr)]]*GAS_BTU_PER_SITE_KWH/Btu_per_MMBtu,"-")</f>
        <v>-0.4705950497251164</v>
      </c>
      <c r="GG27" s="327">
        <f ca="1">IFERROR(Tbl_MeasureList[[#This Row],[ROF High Measure Electric Annual Consumption Savings (kWh/yr)]]*GAS_CUFT_PER_SITE_KWH/1000,"-")</f>
        <v>-0.45733240983976325</v>
      </c>
      <c r="GH27" s="412">
        <f ca="1">IFERROR(Tbl_MeasureList[[#This Row],[ROF High Measure Natural Gas Annual Consumption Savings (therms/yr)]]*Btu_per_MMBtu/(GAS_BTU_PER_CUFT*Therm_per_MMBtu*1000),"-")</f>
        <v>-75.113293437675836</v>
      </c>
      <c r="GI27" s="327">
        <f ca="1">IFERROR(Tbl_MeasureList[[#This Row],[Current ROF High Measure Gas Source Fuel Savings (1,000 cu.ft. gas/year)]]+Tbl_MeasureList[[#This Row],[Current ROF High Measure Gas Site Fuel Savings (1,000 cu.ft gas/year)]],"-")</f>
        <v>-75.570625847515601</v>
      </c>
      <c r="GJ27" s="324">
        <f ca="1">Tbl_MeasureList[[#This Row],[ER Total Low Measure Electric Annual Consumption Savings (kWh/yr)]]*COAL_BTU_PER_SITE_KWH_CES/Btu_per_MMBtu</f>
        <v>-2.4700348460711972E-2</v>
      </c>
      <c r="GK27" s="325">
        <f ca="1">Tbl_MeasureList[[#This Row],[ER Total Low Measure Electric Annual Consumption Savings (kWh/yr)]]*COAL_LBS_PER_SITE_KWH_CES</f>
        <v>-2.2430392717682506</v>
      </c>
      <c r="GL27" s="326">
        <f ca="1">Tbl_MeasureList[[#This Row],[ER Total Low Measure Electric Annual Consumption Savings (kWh/yr)]]*OIL_BTU_PER_SITE_KWH_CES/Btu_per_MMBtu</f>
        <v>-7.602914948348069E-3</v>
      </c>
      <c r="GM27" s="325">
        <f ca="1">Tbl_MeasureList[[#This Row],[ER Total Low Measure Electric Annual Consumption Savings (kWh/yr)]]*OIL_GAL_PER_SITE_KWH_CES</f>
        <v>-5.1293413673548609E-2</v>
      </c>
      <c r="GN27" s="326">
        <f ca="1">Tbl_MeasureList[[#This Row],[ER Total Low Measure Oil Annual Consumption Savings (MMBtu/yr)]]*Btu_per_MMBtu/OIL_BTU_PER_GAL_CES</f>
        <v>0</v>
      </c>
      <c r="GO27" s="325">
        <f ca="1">Tbl_MeasureList[[#This Row],[CES ER Low Measure Oil Source Fuel Savings (gallons oil/year)]]+Tbl_MeasureList[[#This Row],[CES ER Low Measure Oil Site Fuel Savings (gallons oil/year)]]</f>
        <v>-5.1293413673548609E-2</v>
      </c>
      <c r="GP27" s="326">
        <f ca="1">Tbl_MeasureList[[#This Row],[ER Total Low Measure Electric Annual Consumption Savings (kWh/yr)]]*GAS_BTU_PER_SITE_KWH_CES/Btu_per_MMBtu</f>
        <v>-0.22488346936997225</v>
      </c>
      <c r="GQ27" s="327">
        <f ca="1">Tbl_MeasureList[[#This Row],[ER Total Low Measure Electric Annual Consumption Savings (kWh/yr)]]*GAS_CUFT_PER_SITE_KWH_CES/1000</f>
        <v>-0.21833346540774004</v>
      </c>
      <c r="GR27" s="328">
        <f ca="1">Tbl_MeasureList[[#This Row],[ER Total Low Measure Natural Gas Annual Consumption Savings (therms/yr)]]*Btu_per_MMBtu/(GAS_BTU_PER_CUFT_CES*Therm_per_MMBtu*1000)</f>
        <v>-79.209277238403459</v>
      </c>
      <c r="GS27" s="329">
        <f ca="1">Tbl_MeasureList[[#This Row],[CES ER Low Measure Gas Source Fuel Savings (1,000 cu.ft. gas/year)]]+Tbl_MeasureList[[#This Row],[CES ER Low Measure Gas Site Fuel Savings (1,000 cu.ft gas/year)]]</f>
        <v>-79.427610703811197</v>
      </c>
      <c r="GT27" s="324">
        <f ca="1">IFERROR(Tbl_MeasureList[[#This Row],[ER Total High Measure Electric Annual Consumption Savings (kWh/yr)]]*COAL_BTU_PER_SITE_KWH_CES/Btu_per_MMBtu,"-")</f>
        <v>-2.1519242977135429E-2</v>
      </c>
      <c r="GU27" s="325">
        <f ca="1">IFERROR(Tbl_MeasureList[[#This Row],[ER Total High Measure Electric Annual Consumption Savings (kWh/yr)]]*COAL_LBS_PER_SITE_KWH_CES,"-")</f>
        <v>-1.954163001919309</v>
      </c>
      <c r="GV27" s="326">
        <f ca="1">IFERROR(Tbl_MeasureList[[#This Row],[ER Total High Measure Electric Annual Consumption Savings (kWh/yr)]]*OIL_BTU_PER_SITE_KWH_CES/Btu_per_MMBtu,"-")</f>
        <v>-6.6237516595456652E-3</v>
      </c>
      <c r="GW27" s="325">
        <f ca="1">IFERROR(Tbl_MeasureList[[#This Row],[ER Total High Measure Electric Annual Consumption Savings (kWh/yr)]]*OIL_GAL_PER_SITE_KWH_CES,"-")</f>
        <v>-4.4687443730743105E-2</v>
      </c>
      <c r="GX27" s="326">
        <f ca="1">IFERROR(Tbl_MeasureList[[#This Row],[ER Total High Measure Oil Annual Consumption Savings (MMBtu/yr)]]*Btu_per_MMBtu/OIL_BTU_PER_GAL_CES,"-")</f>
        <v>0</v>
      </c>
      <c r="GY27" s="325">
        <f ca="1">IFERROR(Tbl_MeasureList[[#This Row],[CES ER High Measure Oil Source Fuel Savings (gallons oil/year)]]+Tbl_MeasureList[[#This Row],[CES ER High Measure Oil Site Fuel Savings (gallons oil/year)]],"-")</f>
        <v>-4.4687443730743105E-2</v>
      </c>
      <c r="GZ27" s="326">
        <f ca="1">IFERROR(Tbl_MeasureList[[#This Row],[ER Total High Measure Electric Annual Consumption Savings (kWh/yr)]]*GAS_BTU_PER_SITE_KWH_CES/Btu_per_MMBtu,"-")</f>
        <v>-0.1959212043753546</v>
      </c>
      <c r="HA27" s="327">
        <f ca="1">IFERROR(Tbl_MeasureList[[#This Row],[ER Total High Measure Electric Annual Consumption Savings (kWh/yr)]]*GAS_CUFT_PER_SITE_KWH_CES/1000,"-")</f>
        <v>-0.19021476152947048</v>
      </c>
      <c r="HB27" s="328">
        <f ca="1">IFERROR(Tbl_MeasureList[[#This Row],[ER Total High Measure Natural Gas Annual Consumption Savings (therms/yr)]]*Btu_per_MMBtu/(GAS_BTU_PER_CUFT_CES*Therm_per_MMBtu*1000),"-")</f>
        <v>-75.040367910066436</v>
      </c>
      <c r="HC27" s="329">
        <f ca="1">IFERROR(Tbl_MeasureList[[#This Row],[CES ER High Measure Gas Source Fuel Savings (1,000 cu.ft. gas/year)]]+Tbl_MeasureList[[#This Row],[CES ER High Measure Gas Site Fuel Savings (1,000 cu.ft gas/year)]],"-")</f>
        <v>-75.230582671595911</v>
      </c>
      <c r="HD27" s="315">
        <f ca="1">Tbl_MeasureList[[#This Row],[ROF Low Measure Electric Annual Consumption Savings (kWh/yr)]]*COAL_BTU_PER_SITE_KWH_CES/Btu_per_MMBtu</f>
        <v>-2.4700348460711972E-2</v>
      </c>
      <c r="HE27" s="316">
        <f ca="1">Tbl_MeasureList[[#This Row],[ROF Low Measure Electric Annual Consumption Savings (kWh/yr)]]*COAL_LBS_PER_SITE_KWH_CES</f>
        <v>-2.2430392717682506</v>
      </c>
      <c r="HF27" s="317">
        <f ca="1">Tbl_MeasureList[[#This Row],[ROF Low Measure Electric Annual Consumption Savings (kWh/yr)]]*OIL_BTU_PER_SITE_KWH_CES/Btu_per_MMBtu</f>
        <v>-7.602914948348069E-3</v>
      </c>
      <c r="HG27" s="316">
        <f ca="1">Tbl_MeasureList[[#This Row],[ROF Low Measure Electric Annual Consumption Savings (kWh/yr)]]*OIL_GAL_PER_SITE_KWH_CES</f>
        <v>-5.1293413673548609E-2</v>
      </c>
      <c r="HH27" s="317">
        <f ca="1">Tbl_MeasureList[[#This Row],[ROF Low Measure Oil Annual Consumption Savings (MMBtu/yr)]]*Btu_per_MMBtu/OIL_BTU_PER_GAL_CES</f>
        <v>0</v>
      </c>
      <c r="HI27" s="316">
        <f ca="1">Tbl_MeasureList[[#This Row],[CES ROF Low Measure Oil Source Fuel Savings (gallons oil/year)]]+Tbl_MeasureList[[#This Row],[CES ROF Low Measure Oil Site Fuel Savings (gallons oil/year)]]</f>
        <v>-5.1293413673548609E-2</v>
      </c>
      <c r="HJ27" s="317">
        <f ca="1">Tbl_MeasureList[[#This Row],[ROF Low Measure Electric Annual Consumption Savings (kWh/yr)]]*GAS_BTU_PER_SITE_KWH_CES/Btu_per_MMBtu</f>
        <v>-0.22488346936997225</v>
      </c>
      <c r="HK27" s="316">
        <f ca="1">Tbl_MeasureList[[#This Row],[ROF Low Measure Electric Annual Consumption Savings (kWh/yr)]]*GAS_CUFT_PER_SITE_KWH_CES/1000</f>
        <v>-0.21833346540774004</v>
      </c>
      <c r="HL27" s="317">
        <f ca="1">Tbl_MeasureList[[#This Row],[ROF Low Measure Natural Gas Annual Consumption Savings (therms/yr)]]*Btu_per_MMBtu/(GAS_BTU_PER_CUFT_CES*Therm_per_MMBtu*1000)</f>
        <v>-79.209277238403459</v>
      </c>
      <c r="HM27" s="318">
        <f ca="1">Tbl_MeasureList[[#This Row],[CES ROF Low Measure Gas Source Fuel Savings (1,000 cu.ft. gas/year)]]+Tbl_MeasureList[[#This Row],[CES ROF Low Measure Gas Site Fuel Savings (1,000 cu.ft gas/year)]]</f>
        <v>-79.427610703811197</v>
      </c>
      <c r="HN27" s="315">
        <f ca="1">IFERROR(Tbl_MeasureList[[#This Row],[ROF High Measure Electric Annual Consumption Savings (kWh/yr)]]*COAL_BTU_PER_SITE_KWH_CES/Btu_per_MMBtu,"-")</f>
        <v>-2.1519242977135429E-2</v>
      </c>
      <c r="HO27" s="316">
        <f ca="1">IFERROR(Tbl_MeasureList[[#This Row],[ROF High Measure Electric Annual Consumption Savings (kWh/yr)]]*COAL_LBS_PER_SITE_KWH_CES,"-")</f>
        <v>-1.954163001919309</v>
      </c>
      <c r="HP27" s="317">
        <f ca="1">IFERROR(Tbl_MeasureList[[#This Row],[ROF High Measure Electric Annual Consumption Savings (kWh/yr)]]*OIL_BTU_PER_SITE_KWH_CES/Btu_per_MMBtu,"-")</f>
        <v>-6.6237516595456652E-3</v>
      </c>
      <c r="HQ27" s="316">
        <f ca="1">IFERROR(Tbl_MeasureList[[#This Row],[ROF High Measure Electric Annual Consumption Savings (kWh/yr)]]*OIL_GAL_PER_SITE_KWH_CES,"-")</f>
        <v>-4.4687443730743105E-2</v>
      </c>
      <c r="HR27" s="317">
        <f ca="1">IFERROR(Tbl_MeasureList[[#This Row],[ROF High Measure Oil Annual Consumption Savings (MMBtu/yr)]]*Btu_per_MMBtu/OIL_BTU_PER_GAL_CES,"-")</f>
        <v>0</v>
      </c>
      <c r="HS27" s="316">
        <f ca="1">IFERROR(Tbl_MeasureList[[#This Row],[CES ROF High Measure Oil Source Fuel Savings (gallons oil/year)]]+Tbl_MeasureList[[#This Row],[CES ROF High Measure Oil Site Fuel Savings (gallons oil/year)]],"-")</f>
        <v>-4.4687443730743105E-2</v>
      </c>
      <c r="HT27" s="317">
        <f ca="1">IFERROR(Tbl_MeasureList[[#This Row],[ROF High Measure Electric Annual Consumption Savings (kWh/yr)]]*GAS_BTU_PER_SITE_KWH_CES/Btu_per_MMBtu,"-")</f>
        <v>-0.1959212043753546</v>
      </c>
      <c r="HU27" s="316">
        <f ca="1">IFERROR(Tbl_MeasureList[[#This Row],[ROF High Measure Electric Annual Consumption Savings (kWh/yr)]]*GAS_CUFT_PER_SITE_KWH_CES/1000,"-")</f>
        <v>-0.19021476152947048</v>
      </c>
      <c r="HV27" s="317">
        <f ca="1">IFERROR(Tbl_MeasureList[[#This Row],[ROF High Measure Natural Gas Annual Consumption Savings (therms/yr)]]*Btu_per_MMBtu/(GAS_BTU_PER_CUFT_CES*Therm_per_MMBtu*1000),"-")</f>
        <v>-75.040367910066436</v>
      </c>
      <c r="HW27" s="318">
        <f ca="1">IFERROR(Tbl_MeasureList[[#This Row],[CES ROF High Measure Gas Source Fuel Savings (1,000 cu.ft. gas/year)]]+Tbl_MeasureList[[#This Row],[CES ROF High Measure Gas Site Fuel Savings (1,000 cu.ft gas/year)]],"-")</f>
        <v>-75.230582671595911</v>
      </c>
      <c r="HX27" s="248">
        <f>Tbl_MeasureList[[#This Row],[Baseline Energy Cost (USD/yr)]]-Tbl_MeasureList[[#This Row],[Code (old fuel) Energy Cost (USD/yr)]]</f>
        <v>477.40396240341579</v>
      </c>
      <c r="HY27" s="201">
        <f>0</f>
        <v>0</v>
      </c>
      <c r="HZ27" s="86">
        <f>Tbl_MeasureList[[#This Row],[Baseline Electric Annual Consumption (kWh/yr)]]-Tbl_MeasureList[[#This Row],[Code (old fuel) Electric Annual Consumption (kWh/yr)]]</f>
        <v>0</v>
      </c>
      <c r="IA27" s="86" t="str">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v>
      </c>
      <c r="IB27" s="86" t="str">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v>
      </c>
      <c r="IC27" s="152">
        <f>Tbl_MeasureList[[#This Row],[Baseline Electric Winter Peak Demand (kW)]]-Tbl_MeasureList[[#This Row],[Code (old fuel) Electric Winter Peak Demand (kW)]]</f>
        <v>0</v>
      </c>
      <c r="ID27" s="152">
        <f>Tbl_MeasureList[[#This Row],[Baseline Electric Summer Peak Demand (kW)]]-Tbl_MeasureList[[#This Row],[Code (old fuel) Electric Summer Peak Demand (kW)]]</f>
        <v>0</v>
      </c>
      <c r="IE27" s="251">
        <f>Tbl_MeasureList[[#This Row],[Baseline Natural Gas Annual Consumption (therms/yr)]]-Tbl_MeasureList[[#This Row],[Code (old fuel) Natural Gas Annual Consumption (therms/yr)]]</f>
        <v>0</v>
      </c>
      <c r="IF27" s="252">
        <f>Tbl_MeasureList[[#This Row],[Baseline Propane Annual Consumption (MMBtu/yr)]]-Tbl_MeasureList[[#This Row],[Code (old fuel) Propane Annual Consumption (MMBtu/yr)]]</f>
        <v>13.281369509043927</v>
      </c>
      <c r="IG27" s="253">
        <f>Tbl_MeasureList[[#This Row],[Baseline Oil Annual Consumption (MMBtu/yr)]]-Tbl_MeasureList[[#This Row],[Code (old fuel) Oil Annual Consumption (MMBtu/yr)]]</f>
        <v>0</v>
      </c>
      <c r="IH27" s="371">
        <f>Tbl_MeasureList[[#This Row],[Baseline Energy Consumption on MMBtu Basis (MMBtu/yr)]]-Tbl_MeasureList[[#This Row],[Code (old fuel) Energy Consumption on MMBtu Basis (MMBtu/yr)]]</f>
        <v>13.281369509043927</v>
      </c>
      <c r="II27" s="371">
        <f>Tbl_MeasureList[[#This Row],[Baseline Carbon Emissions, Site (tons CO2/yr)]]-Tbl_MeasureList[[#This Row],[Code (old fuel) Carbon Emissions, Site (tons CO2/yr)]]</f>
        <v>0.92305518087855365</v>
      </c>
      <c r="IJ27" s="279">
        <f>Tbl_MeasureList[[#This Row],[Baseline Carbon Emissions, Source (tons CO2/yr)]]-Tbl_MeasureList[[#This Row],[Code (old fuel) Carbon Emissions, Source (tons CO2/yr)]]</f>
        <v>0.92305518087855276</v>
      </c>
      <c r="IK27" s="273">
        <f ca="1">Tbl_MeasureList[[#This Row],[Code (new fuel) Energy Cost (USD/yr)]]-Tbl_MeasureList[[#This Row],[Low Measure Energy Cost (USD/yr)]]</f>
        <v>0</v>
      </c>
      <c r="IL27"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9911.9502769701685</v>
      </c>
      <c r="IM27" s="85">
        <f ca="1">Tbl_MeasureList[[#This Row],[Code (old fuel) Electric Annual Consumption (kWh/yr)]]-Tbl_MeasureList[[#This Row],[Low Measure Electric Annual Consumption (kWh/yr)]]</f>
        <v>-132</v>
      </c>
      <c r="IN27" s="85" t="str">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v>
      </c>
      <c r="IO27" s="85" t="str">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v>
      </c>
      <c r="IP27" s="152">
        <f ca="1">Tbl_MeasureList[[#This Row],[Code (old fuel) Electric Winter Peak Demand (kW)]]-Tbl_MeasureList[[#This Row],[Low Measure Electric Winter Peak Demand (kW)]]</f>
        <v>-2.0249280920421858E-2</v>
      </c>
      <c r="IQ27" s="152">
        <f ca="1">Tbl_MeasureList[[#This Row],[Code (old fuel) Electric Summer Peak Demand (kW)]]-Tbl_MeasureList[[#This Row],[Low Measure Electric Summer Peak Demand (kW)]]</f>
        <v>0</v>
      </c>
      <c r="IR27" s="204">
        <f ca="1">Tbl_MeasureList[[#This Row],[Code (old fuel) Natural Gas Annual Consumption (therms/yr)]]-Tbl_MeasureList[[#This Row],[Low Measure Natural Gas Annual Consumption (therms/yr)]]</f>
        <v>-815.85555555555561</v>
      </c>
      <c r="IS27" s="153">
        <f ca="1">Tbl_MeasureList[[#This Row],[Code (old fuel) Propane Annual Consumption (MMBtu/yr)]]-Tbl_MeasureList[[#This Row],[Low Measure Propane Annual Consumption (MMBtu/yr)]]</f>
        <v>81.585555555555558</v>
      </c>
      <c r="IT27" s="204">
        <f ca="1">Tbl_MeasureList[[#This Row],[Code (old fuel) Oil Annual Consumption (MMBtu/yr)]]-Tbl_MeasureList[[#This Row],[Low Measure Oil Annual Consumption (MMBtu/yr)]]</f>
        <v>0</v>
      </c>
      <c r="IU27" s="204">
        <f ca="1">Tbl_MeasureList[[#This Row],[Code (old fuel) Energy Consumption on MMBtu Basis (MMBtu/yr)]]-Tbl_MeasureList[[#This Row],[Low Measure Energy Consumption on MMBtu Basis (MMBtu/yr)]]</f>
        <v>-0.45038399999999967</v>
      </c>
      <c r="IV27" s="204">
        <f ca="1">Tbl_MeasureList[[#This Row],[Code (old fuel) Carbon Emissions, Site (tons CO2/yr)]]-Tbl_MeasureList[[#This Row],[Low Measure Carbon Emissions, Site (tons CO2/yr)]]</f>
        <v>0.89744111111111113</v>
      </c>
      <c r="IW27" s="260">
        <f ca="1">Tbl_MeasureList[[#This Row],[Code (old fuel) Carbon Emissions, Source (tons CO2/yr)]]-Tbl_MeasureList[[#This Row],[Low Measure Carbon Emissions, Source (tons CO2/yr)]]</f>
        <v>0.85082399111111151</v>
      </c>
      <c r="IX27" s="27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1663.1641720570758</v>
      </c>
      <c r="IY27" s="20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9911.9502769701685</v>
      </c>
      <c r="IZ27"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-115</v>
      </c>
      <c r="JA27" s="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v>
      </c>
      <c r="JB27" s="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v>
      </c>
      <c r="JC27"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-1.7641418983700863E-2</v>
      </c>
      <c r="JD27"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0</v>
      </c>
      <c r="JE27"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-772.9157894736843</v>
      </c>
      <c r="JF27" s="1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81.585555555555558</v>
      </c>
      <c r="JG27"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0</v>
      </c>
      <c r="JH27"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3.9015966081871198</v>
      </c>
      <c r="JI27"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1.1486387426900579</v>
      </c>
      <c r="JJ27"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1.1080253426900581</v>
      </c>
      <c r="JK27" s="432">
        <f>Tbl_MeasureList[[#This Row],[ER (Retire) Electric Annual Consumption Savings (kWh/yr)]]*COAL_BTU_PER_SITE_KWH/Btu_per_MMBtu</f>
        <v>0</v>
      </c>
      <c r="JL27" s="428">
        <f>Tbl_MeasureList[[#This Row],[ER (Retire) Electric Annual Consumption Savings (kWh/yr)]]*COAL_LBS_PER_SITE_KWH</f>
        <v>0</v>
      </c>
      <c r="JM27" s="427">
        <f>Tbl_MeasureList[[#This Row],[ER (Retire) Electric Annual Consumption Savings (kWh/yr)]]*OIL_BTU_PER_SITE_KWH/Btu_per_MMBtu</f>
        <v>0</v>
      </c>
      <c r="JN27" s="428">
        <f>Tbl_MeasureList[[#This Row],[ER (Retire) Electric Annual Consumption Savings (kWh/yr)]]*OIL_GAL_PER_SITE_KWH</f>
        <v>0</v>
      </c>
      <c r="JO27" s="427">
        <f>Tbl_MeasureList[[#This Row],[ER (Retire) Oil Annual Consumption Savings (MMBtu/yr)]]*Btu_per_MMBtu/OIL_BTU_PER_GAL</f>
        <v>0</v>
      </c>
      <c r="JP27" s="428">
        <f ca="1">Tbl_MeasureList[[#This Row],[Current ER (Retire) Oil Source Fuel Savings (gallons oil/year)]]+Tbl_MeasureList[[#This Row],[Current ER Total Low Measure Oil Site Fuel Savings (gallons oil/year)]]</f>
        <v>0</v>
      </c>
      <c r="JQ27" s="427">
        <f>Tbl_MeasureList[[#This Row],[ER (Retire) Electric Annual Consumption Savings (kWh/yr)]]*GAS_BTU_PER_SITE_KWH/Btu_per_MMBtu</f>
        <v>0</v>
      </c>
      <c r="JR27" s="429">
        <f>Tbl_MeasureList[[#This Row],[ER (Retire) Electric Annual Consumption Savings (kWh/yr)]]*GAS_CUFT_PER_SITE_KWH/1000</f>
        <v>0</v>
      </c>
      <c r="JS27" s="430">
        <f>Tbl_MeasureList[[#This Row],[ER (Retire) Natural Gas Annual Consumption Savings (therms/yr)]]*Btu_per_MMBtu/(GAS_BTU_PER_CUFT*Therm_per_MMBtu*1000)</f>
        <v>0</v>
      </c>
      <c r="JT27" s="431">
        <f ca="1">Tbl_MeasureList[[#This Row],[Current ER (Retire) Gas Source Fuel Savings (1,000 cu.ft. gas/year)]]+Tbl_MeasureList[[#This Row],[Current ER Total Low Measure Gas Site Fuel Savings (1,000 cu.ft gas/year)]]</f>
        <v>-79.286254184213377</v>
      </c>
      <c r="JU27" s="432">
        <f ca="1">Tbl_MeasureList[[#This Row],[ER (EE) Low Measure Electric Annual Consumption Savings (kWh/yr)]]*COAL_BTU_PER_SITE_KWH/Btu_per_MMBtu</f>
        <v>-1.4529616741595279E-2</v>
      </c>
      <c r="JV27" s="428">
        <f ca="1">Tbl_MeasureList[[#This Row],[ER (EE) Low Measure Electric Annual Consumption Savings (kWh/yr)]]*COAL_LBS_PER_SITE_KWH</f>
        <v>-1.274527784350463</v>
      </c>
      <c r="JW27" s="427">
        <f ca="1">Tbl_MeasureList[[#This Row],[ER (EE) Low Measure Electric Annual Consumption Savings (kWh/yr)]]*OIL_BTU_PER_SITE_KWH/Btu_per_MMBtu</f>
        <v>-1.6726412886365751E-2</v>
      </c>
      <c r="JX27" s="428">
        <f ca="1">Tbl_MeasureList[[#This Row],[ER (EE) Low Measure Electric Annual Consumption Savings (kWh/yr)]]*OIL_GAL_PER_SITE_KWH</f>
        <v>-0.12125421643673746</v>
      </c>
      <c r="JY27" s="427">
        <f ca="1">Tbl_MeasureList[[#This Row],[ER (EE) Low Measure Oil Annual Consumption Savings (MMBtu/yr)]]*Btu_per_MMBtu/OIL_BTU_PER_GAL</f>
        <v>0</v>
      </c>
      <c r="JZ27" s="428">
        <f ca="1">Tbl_MeasureList[[#This Row],[Current ER (EE) Low Measure Oil Source Fuel Savings (gallons oil/year)]]+Tbl_MeasureList[[#This Row],[Current ER (EE) Low Measure Oil Site Fuel Savings (gallons oil/year)]]</f>
        <v>-0.12125421643673746</v>
      </c>
      <c r="KA27" s="427">
        <f ca="1">Tbl_MeasureList[[#This Row],[ER (EE) Low Measure Electric Annual Consumption Savings (kWh/yr)]]*GAS_BTU_PER_SITE_KWH/Btu_per_MMBtu</f>
        <v>-0.54016127446709017</v>
      </c>
      <c r="KB27" s="429">
        <f ca="1">Tbl_MeasureList[[#This Row],[ER (EE) Low Measure Electric Annual Consumption Savings (kWh/yr)]]*GAS_CUFT_PER_SITE_KWH/1000</f>
        <v>-0.5249380704247717</v>
      </c>
      <c r="KC27" s="430">
        <f ca="1">Tbl_MeasureList[[#This Row],[ER (EE) Low Measure Natural Gas Annual Consumption Savings (therms/yr)]]*Btu_per_MMBtu/(GAS_BTU_PER_CUFT*Therm_per_MMBtu*1000)</f>
        <v>-79.286254184213377</v>
      </c>
      <c r="KD27" s="431">
        <f ca="1">Tbl_MeasureList[[#This Row],[Current ER (EE) Low Measure Gas Source Fuel Savings (1,000 cu.ft. gas/year)]]+Tbl_MeasureList[[#This Row],[Current ER (EE) Low Measure Gas Site Fuel Savings (1,000 cu.ft gas/year)]]</f>
        <v>-79.811192254638144</v>
      </c>
      <c r="KE27" s="432">
        <f ca="1">IFERROR(Tbl_MeasureList[[#This Row],[ER (EE) High Measure Electric Annual Consumption Savings (kWh/yr)]]*COAL_BTU_PER_SITE_KWH/Btu_per_MMBtu,"-")</f>
        <v>-1.2658378221844372E-2</v>
      </c>
      <c r="KF27" s="428">
        <f ca="1">IFERROR(Tbl_MeasureList[[#This Row],[ER (EE) High Measure Electric Annual Consumption Savings (kWh/yr)]]*COAL_LBS_PER_SITE_KWH,"-")</f>
        <v>-1.1103840545477519</v>
      </c>
      <c r="KG27" s="427">
        <f ca="1">IFERROR(Tbl_MeasureList[[#This Row],[ER (EE) High Measure Electric Annual Consumption Savings (kWh/yr)]]*OIL_BTU_PER_SITE_KWH/Btu_per_MMBtu,"-")</f>
        <v>-1.4572253651000464E-2</v>
      </c>
      <c r="KH27" s="428">
        <f ca="1">IFERROR(Tbl_MeasureList[[#This Row],[ER (EE) High Measure Electric Annual Consumption Savings (kWh/yr)]]*OIL_GAL_PER_SITE_KWH,"-")</f>
        <v>-0.1056381431077637</v>
      </c>
      <c r="KI27" s="427">
        <f ca="1">IFERROR(Tbl_MeasureList[[#This Row],[ER (EE) High Measure Oil Annual Consumption Savings (MMBtu/yr)]]*Btu_per_MMBtu/OIL_BTU_PER_GAL,"-")</f>
        <v>0</v>
      </c>
      <c r="KJ27" s="428">
        <f ca="1">IFERROR(Tbl_MeasureList[[#This Row],[Current ER (EE) High Measure Oil Source Fuel Savings (gallons oil/year)]]+Tbl_MeasureList[[#This Row],[Current ER (EE) High Measure Oil Site Fuel Savings (gallons oil/year)]],"-")</f>
        <v>-0.1056381431077637</v>
      </c>
      <c r="KK27" s="427">
        <f ca="1">IFERROR(Tbl_MeasureList[[#This Row],[ER (EE) High Measure Electric Annual Consumption Savings (kWh/yr)]]*GAS_BTU_PER_SITE_KWH/Btu_per_MMBtu,"-")</f>
        <v>-0.4705950497251164</v>
      </c>
      <c r="KL27" s="429">
        <f ca="1">IFERROR(Tbl_MeasureList[[#This Row],[ER (EE) High Measure Electric Annual Consumption Savings (kWh/yr)]]*GAS_CUFT_PER_SITE_KWH/1000,"-")</f>
        <v>-0.45733240983976325</v>
      </c>
      <c r="KM27" s="430">
        <f ca="1">IFERROR(Tbl_MeasureList[[#This Row],[ER (EE) High Measure Natural Gas Annual Consumption Savings (therms/yr)]]*Btu_per_MMBtu/(GAS_BTU_PER_CUFT*Therm_per_MMBtu*1000),"-")</f>
        <v>-75.113293437675836</v>
      </c>
      <c r="KN27" s="431">
        <f ca="1">IFERROR(Tbl_MeasureList[[#This Row],[Current ER (EE) High Measure Gas Source Fuel Savings (1,000 cu.ft. gas/year)]]+Tbl_MeasureList[[#This Row],[Current ER (EE) High Measure Gas Site Fuel Savings (1,000 cu.ft gas/year)]],"-")</f>
        <v>-75.570625847515601</v>
      </c>
    </row>
    <row r="28" spans="2:300" x14ac:dyDescent="0.2">
      <c r="B28" s="16"/>
      <c r="C28" s="2" t="s">
        <v>102</v>
      </c>
      <c r="D28" s="12" t="str">
        <f>INDEX(Tbl_BaselineSummary[Equipment ID],MATCH(Tbl_MeasureList[[#This Row],[Baseline ID]],Tbl_BaselineSummary[Baseline ID],0))</f>
        <v>EQUI024</v>
      </c>
      <c r="E28" s="11" t="str">
        <f>INDEX(Tbl_EquipmentDefinitions[Equipment Name],MATCH('Measure List'!$D28,Tbl_EquipmentDefinitions[Equipment ID],0))</f>
        <v>Oil Boiler+Storage WH</v>
      </c>
      <c r="F28" s="3" t="s">
        <v>239</v>
      </c>
      <c r="G28" s="11" t="str">
        <f>INDEX(Tbl_EquipmentDefinitions[Function],MATCH('Measure List'!$D28,Tbl_EquipmentDefinitions[Equipment ID],0))</f>
        <v>Heat+HW</v>
      </c>
      <c r="H28" s="3" t="s">
        <v>111</v>
      </c>
      <c r="I28" s="3" t="s">
        <v>45</v>
      </c>
      <c r="J28" s="11" t="str">
        <f>INDEX(Tbl_EquipmentDefinitions[Equipment Name],MATCH('Measure List'!$I28,Tbl_EquipmentDefinitions[Equipment ID],0))</f>
        <v>Gas Combination Boiler</v>
      </c>
      <c r="K28" s="11">
        <f>INDEX(Tbl_EquipmentDefinitions[],MATCH(Tbl_MeasureList[[#This Row],[Replacement ID]],Tbl_EquipmentDefinitions[[Equipment ID]:[Equipment ID]],0),MATCH(Tbl_MeasureList[[#Headers],[New Unit Equipment Life (years)]],Tbl_EquipmentDefinitions[#Headers],0))</f>
        <v>19</v>
      </c>
      <c r="L28" s="11">
        <f>INDEX(Tbl_EquipmentDefinitions[],MATCH(Tbl_MeasureList[[#This Row],[Baseline Equipment ID]],Tbl_EquipmentDefinitions[[Equipment ID]:[Equipment ID]],0),MATCH(Tbl_MeasureList[[#Headers],[Remaining Life for Early Replacement (years)]],Tbl_EquipmentDefinitions[#Headers],0))</f>
        <v>10</v>
      </c>
      <c r="M28" s="12" t="str">
        <f>INDEX(Tbl_EquipmentDefinitions[Function],MATCH('Measure List'!$I28,Tbl_EquipmentDefinitions[Equipment ID],0))</f>
        <v>Heat+HW</v>
      </c>
      <c r="N28" s="368" t="s">
        <v>118</v>
      </c>
      <c r="O28" s="14" t="str">
        <f t="shared" si="0"/>
        <v>OK</v>
      </c>
      <c r="P28" s="12" t="str">
        <f ca="1">IFERROR(INDIRECT(Tbl_MeasureList[[#This Row],[Measure ID]]&amp;"!D5"),"No tab")</f>
        <v>3. Ready</v>
      </c>
      <c r="Q28" s="11"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Oil</v>
      </c>
      <c r="R28" s="12"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v>
      </c>
      <c r="S28" s="11"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Natural Gas</v>
      </c>
      <c r="T28" s="247"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v>
      </c>
      <c r="U28" s="248">
        <f>INDEX(Tbl_BaselineSummary[Baseline Annual Energy Cost (USD)],MATCH(Tbl_MeasureList[[#This Row],[Baseline ID]],Tbl_BaselineSummary[Baseline ID],0))</f>
        <v>2880.6894205318572</v>
      </c>
      <c r="V28" s="249">
        <f>INDEX(Tbl_BaselineSummary[Baseline Electric Annual Consumption  (kWh)],MATCH(Tbl_MeasureList[[#This Row],[Baseline ID]],Tbl_BaselineSummary[Baseline ID],0))</f>
        <v>230</v>
      </c>
      <c r="W28" s="249" t="str">
        <f>INDEX(Tbl_BaselineSummary[Baseline Electric Winter Consumption (kWh)],MATCH(Tbl_MeasureList[[#This Row],[Baseline ID]],Tbl_BaselineSummary[Baseline ID],0))</f>
        <v>n/a</v>
      </c>
      <c r="X28" s="249" t="str">
        <f>INDEX(Tbl_BaselineSummary[Baseline Electric Summer Consumption (kWh)],MATCH(Tbl_MeasureList[[#This Row],[Baseline ID]],Tbl_BaselineSummary[Baseline ID],0))</f>
        <v>n/a</v>
      </c>
      <c r="Y28" s="250">
        <f>INDEX(Tbl_BaselineSummary[Baseline Electric Baseline Winter Peak Demand (kW)],MATCH(Tbl_MeasureList[[#This Row],[Baseline ID]],Tbl_BaselineSummary[Baseline ID],0))</f>
        <v>3.5282837967401733E-2</v>
      </c>
      <c r="Z28" s="452">
        <f>INDEX(Tbl_BaselineSummary[Baseline Electric Baseline Summer Peak Demand (kW)],MATCH(Tbl_MeasureList[[#This Row],[Baseline ID]],Tbl_BaselineSummary[Baseline ID],0))</f>
        <v>0</v>
      </c>
      <c r="AA28" s="458">
        <f>INDEX(Tbl_BaselineSummary[Baseline Natural Gas Annual Consumption  (therms)],MATCH(Tbl_MeasureList[[#This Row],[Baseline ID]],Tbl_BaselineSummary[Baseline ID],0))</f>
        <v>0</v>
      </c>
      <c r="AB28" s="455">
        <f>INDEX(Tbl_BaselineSummary[Baseline Propane Annual Consumption  (MMBtu)],MATCH(Tbl_MeasureList[[#This Row],[Baseline ID]],Tbl_BaselineSummary[Baseline ID],0))</f>
        <v>0</v>
      </c>
      <c r="AC28" s="252">
        <f>INDEX(Tbl_BaselineSummary[Baseline Oil Annual Consumption  (MMBtu)],MATCH(Tbl_MeasureList[[#This Row],[Baseline ID]],Tbl_BaselineSummary[Baseline ID],0))</f>
        <v>126.23218390804598</v>
      </c>
      <c r="AD28" s="371">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127.01694390804599</v>
      </c>
      <c r="AE28" s="460">
        <f>(lbCO2_per_Therm_Gas*Tbl_MeasureList[[#This Row],[Baseline Natural Gas Annual Consumption (therms/yr)]]+lbCO2_per_MMBtu_Prop*Tbl_MeasureList[[#This Row],[Baseline Propane Annual Consumption (MMBtu/yr)]]+lbCO2_per_MMBtu_Oil*Tbl_MeasureList[[#This Row],[Baseline Oil Annual Consumption (MMBtu/yr)]])*Lbs_per_ShortTon</f>
        <v>10.18062563218391</v>
      </c>
      <c r="AF28" s="463">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10.261852432183911</v>
      </c>
      <c r="AG28" s="465">
        <f>INDEX(Tbl_BaselineSummary[Code Annual Energy Cost (USD)],MATCH(Tbl_MeasureList[[#This Row],[Baseline ID]],Tbl_BaselineSummary[Baseline ID],0))</f>
        <v>2599.8631469410007</v>
      </c>
      <c r="AH28" s="468">
        <f>INDEX(Tbl_BaselineSummary[Deferred Replacement Credit (USD)],MATCH(Tbl_MeasureList[[#This Row],[Baseline ID]],Tbl_BaselineSummary[Baseline ID],0))</f>
        <v>3708.7010928974355</v>
      </c>
      <c r="AI28" s="201">
        <f>INDEX(Tbl_BaselineSummary[A/C-only Deferred Replacement Credit (USD)],MATCH(Tbl_MeasureList[[#This Row],[Baseline ID]],Tbl_BaselineSummary[Baseline ID],0))</f>
        <v>0</v>
      </c>
      <c r="AJ28" s="468">
        <f>INDEX(Tbl_BaselineSummary[Code Installed Costs (USD)],MATCH(Tbl_MeasureList[[#This Row],[Baseline ID]],Tbl_BaselineSummary[Baseline ID],0))</f>
        <v>8616</v>
      </c>
      <c r="AK28" s="201">
        <f>INDEX(Tbl_BaselineSummary[Code A/C-only Installed Cost (USD)],MATCH(Tbl_MeasureList[[#This Row],[Baseline ID]],Tbl_BaselineSummary[Baseline ID],0))</f>
        <v>0</v>
      </c>
      <c r="AL28" s="86">
        <f>INDEX(Tbl_BaselineSummary[Code Electric Annual Consumption (kWh)],MATCH(Tbl_MeasureList[[#This Row],[Baseline ID]],Tbl_BaselineSummary[Baseline ID],0))</f>
        <v>230</v>
      </c>
      <c r="AM28" s="86" t="str">
        <f>INDEX(Tbl_BaselineSummary[Code Electric Winter Consumption (kWh)],MATCH(Tbl_MeasureList[[#This Row],[Baseline ID]],Tbl_BaselineSummary[Baseline ID],0))</f>
        <v>n/a</v>
      </c>
      <c r="AN28" s="86" t="str">
        <f>INDEX(Tbl_BaselineSummary[Code Electric Summer Consumption (kWh)],MATCH(Tbl_MeasureList[[#This Row],[Baseline ID]],Tbl_BaselineSummary[Baseline ID],0))</f>
        <v>n/a</v>
      </c>
      <c r="AO28" s="152">
        <f>INDEX(Tbl_BaselineSummary[Code Electric Winter Peak Demand (kW)],MATCH(Tbl_MeasureList[[#This Row],[Baseline ID]],Tbl_BaselineSummary[Baseline ID],0))</f>
        <v>3.5282837967401733E-2</v>
      </c>
      <c r="AP28" s="470">
        <f>INDEX(Tbl_BaselineSummary[Code Electric Summer Peak Demand (kW)],MATCH(Tbl_MeasureList[[#This Row],[Baseline ID]],Tbl_BaselineSummary[Baseline ID],0))</f>
        <v>0</v>
      </c>
      <c r="AQ28" s="467">
        <f>INDEX(Tbl_BaselineSummary[Code Natural Gas Annual Consumption (therms)],MATCH(Tbl_MeasureList[[#This Row],[Baseline ID]],Tbl_BaselineSummary[Baseline ID],0))</f>
        <v>0</v>
      </c>
      <c r="AR28" s="472">
        <f>INDEX(Tbl_BaselineSummary[Code Propane Annual Consumption (MMBtu)],MATCH(Tbl_MeasureList[[#This Row],[Baseline ID]],Tbl_BaselineSummary[Baseline ID],0))</f>
        <v>0</v>
      </c>
      <c r="AS28" s="467">
        <f>INDEX(Tbl_BaselineSummary[Code Oil Annual Consumption (MMBtu)],MATCH(Tbl_MeasureList[[#This Row],[Baseline ID]],Tbl_BaselineSummary[Baseline ID],0))</f>
        <v>113.72887864823349</v>
      </c>
      <c r="AT28" s="204">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114.5136386482335</v>
      </c>
      <c r="AU28" s="467">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9.1722340629800314</v>
      </c>
      <c r="AV28" s="474">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9.253460862980031</v>
      </c>
      <c r="AW28" s="248">
        <f ca="1">INDIRECT(Tbl_MeasureList[[#This Row],[Measure ID]]&amp;"!L26")</f>
        <v>1688.8295333333335</v>
      </c>
      <c r="AX28" s="477">
        <f ca="1">INDIRECT(Tbl_MeasureList[[#This Row],[Measure ID]]&amp;"!M26")</f>
        <v>16130</v>
      </c>
      <c r="AY28" s="481">
        <f ca="1">INDIRECT(Tbl_MeasureList[[#This Row],[Measure ID]]&amp;"!D26")</f>
        <v>329</v>
      </c>
      <c r="AZ28" s="481" t="str">
        <f ca="1">INDIRECT(Tbl_MeasureList[[#This Row],[Measure ID]]&amp;"!J26")</f>
        <v>n/a</v>
      </c>
      <c r="BA28" s="481" t="str">
        <f ca="1">INDIRECT(Tbl_MeasureList[[#This Row],[Measure ID]]&amp;"!I26")</f>
        <v>n/a</v>
      </c>
      <c r="BB28" s="479">
        <f ca="1">INDIRECT(Tbl_MeasureList[[#This Row],[Measure ID]]&amp;"!E26")</f>
        <v>5.0469798657718119E-2</v>
      </c>
      <c r="BC28" s="268">
        <f ca="1">INDIRECT(Tbl_MeasureList[[#This Row],[Measure ID]]&amp;"!H26")</f>
        <v>0</v>
      </c>
      <c r="BD28" s="253">
        <f ca="1">INDIRECT(Tbl_MeasureList[[#This Row],[Measure ID]]&amp;"!D32")</f>
        <v>1006.6666666666667</v>
      </c>
      <c r="BE28" s="270">
        <f ca="1">INDIRECT(Tbl_MeasureList[[#This Row],[Measure ID]]&amp;"!D38")</f>
        <v>0</v>
      </c>
      <c r="BF28" s="253">
        <f ca="1">INDIRECT(Tbl_MeasureList[[#This Row],[Measure ID]]&amp;"!D44")</f>
        <v>0</v>
      </c>
      <c r="BG28" s="460">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101.78921466666667</v>
      </c>
      <c r="BH28" s="371">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5.8890000000000002</v>
      </c>
      <c r="BI28" s="272">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6.0051896399999993</v>
      </c>
      <c r="BJ28" s="273">
        <f ca="1">INDIRECT(Tbl_MeasureList[[#This Row],[Measure ID]]&amp;"!L27")</f>
        <v>1688.8295333333335</v>
      </c>
      <c r="BK28" s="201">
        <f ca="1">INDIRECT(Tbl_MeasureList[[#This Row],[Measure ID]]&amp;"!M27")</f>
        <v>16130</v>
      </c>
      <c r="BL28" s="85">
        <f ca="1">INDIRECT(Tbl_MeasureList[[#This Row],[Measure ID]]&amp;"!D27")</f>
        <v>329</v>
      </c>
      <c r="BM28" s="85" t="str">
        <f ca="1">INDIRECT(Tbl_MeasureList[[#This Row],[Measure ID]]&amp;"!J27")</f>
        <v>n/a</v>
      </c>
      <c r="BN28" s="85" t="str">
        <f ca="1">INDIRECT(Tbl_MeasureList[[#This Row],[Measure ID]]&amp;"!I27")</f>
        <v>n/a</v>
      </c>
      <c r="BO28" s="152">
        <f ca="1">INDIRECT(Tbl_MeasureList[[#This Row],[Measure ID]]&amp;"!E27")</f>
        <v>5.0469798657718119E-2</v>
      </c>
      <c r="BP28" s="470">
        <f ca="1">INDIRECT(Tbl_MeasureList[[#This Row],[Measure ID]]&amp;"!H27")</f>
        <v>0</v>
      </c>
      <c r="BQ28" s="467">
        <f ca="1">INDIRECT(Tbl_MeasureList[[#This Row],[Measure ID]]&amp;"!D33")</f>
        <v>1006.6666666666667</v>
      </c>
      <c r="BR28" s="472">
        <f ca="1">INDIRECT(Tbl_MeasureList[[#This Row],[Measure ID]]&amp;"!D39")</f>
        <v>0</v>
      </c>
      <c r="BS28" s="467">
        <f ca="1">INDIRECT(Tbl_MeasureList[[#This Row],[Measure ID]]&amp;"!D45")</f>
        <v>0</v>
      </c>
      <c r="BT28" s="204">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101.78921466666667</v>
      </c>
      <c r="BU28" s="467">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5.8890000000000002</v>
      </c>
      <c r="BV28" s="260">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6.0051896399999993</v>
      </c>
      <c r="BW28" s="24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1600.0062315789478</v>
      </c>
      <c r="BX28" s="26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16130</v>
      </c>
      <c r="BY28"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312</v>
      </c>
      <c r="BZ28"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n/a</v>
      </c>
      <c r="CA28"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n/a</v>
      </c>
      <c r="CB28"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4.7861936720997124E-2</v>
      </c>
      <c r="CC28"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0</v>
      </c>
      <c r="CD28"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953.68421052631595</v>
      </c>
      <c r="CE28"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0</v>
      </c>
      <c r="CF28"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0</v>
      </c>
      <c r="CG28" s="460">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96.432965052631587</v>
      </c>
      <c r="CH28" s="37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5.5790526315789482</v>
      </c>
      <c r="CI28" s="26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5.6892385515789483</v>
      </c>
      <c r="CJ28" s="320">
        <f ca="1">-Tbl_MeasureList[[#This Row],[Low Measure Energy Cost (USD/yr)]]+Tbl_MeasureList[[#This Row],[Baseline Energy Cost (USD/yr)]]</f>
        <v>1191.8598871985237</v>
      </c>
      <c r="CK28"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12421.298907102564</v>
      </c>
      <c r="CL28" s="249">
        <f ca="1">-Tbl_MeasureList[[#This Row],[Low Measure Electric Annual Consumption (kWh/yr)]]+Tbl_MeasureList[[#This Row],[Baseline Electric Annual Consumption (kWh/yr)]]</f>
        <v>-99</v>
      </c>
      <c r="CM28" s="249" t="str">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v>
      </c>
      <c r="CN28" s="249" t="str">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v>
      </c>
      <c r="CO28" s="268">
        <f ca="1">-Tbl_MeasureList[[#This Row],[Low Measure Electric Winter Peak Demand (kW)]]+Tbl_MeasureList[[#This Row],[Baseline Electric Winter Peak Demand (kW)]]</f>
        <v>-1.5186960690316387E-2</v>
      </c>
      <c r="CP28" s="479">
        <f ca="1">-Tbl_MeasureList[[#This Row],[Low Measure Electric Summer Peak Demand (kW)]]+Tbl_MeasureList[[#This Row],[Baseline Electric Summer Peak Demand (kW)]]</f>
        <v>0</v>
      </c>
      <c r="CQ28" s="481">
        <f ca="1">-Tbl_MeasureList[[#This Row],[Low Measure Natural Gas Annual Consumption (therms/yr)]]+Tbl_MeasureList[[#This Row],[Baseline Natural Gas Annual Consumption (therms/yr)]]</f>
        <v>-1006.6666666666667</v>
      </c>
      <c r="CR28" s="490">
        <f ca="1">-Tbl_MeasureList[[#This Row],[Low Measure Propane Annual Consumption (MMBtu/yr)]]+Tbl_MeasureList[[#This Row],[Baseline Propane Annual Consumption (MMBtu/yr)]]</f>
        <v>0</v>
      </c>
      <c r="CS28" s="252">
        <f ca="1">-Tbl_MeasureList[[#This Row],[Low Measure Oil Annual Consumption (MMBtu/yr)]]+Tbl_MeasureList[[#This Row],[Baseline Oil Annual Consumption (MMBtu/yr)]]</f>
        <v>126.23218390804598</v>
      </c>
      <c r="CT28"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25.227729241379308</v>
      </c>
      <c r="CU28" s="487">
        <f ca="1">-Tbl_MeasureList[[#This Row],[Low Measure Carbon Emissions, Site (tons CO2/yr)]]+Tbl_MeasureList[[#This Row],[Baseline Carbon Emissions, Site (tons CO2/yr)]]</f>
        <v>4.2916256321839095</v>
      </c>
      <c r="CV28" s="491">
        <f ca="1">-Tbl_MeasureList[[#This Row],[Low Measure Carbon Emissions, Source (tons CO2/yr)]]+Tbl_MeasureList[[#This Row],[Baseline Carbon Emissions, Source (tons CO2/yr)]]</f>
        <v>4.2566627921839117</v>
      </c>
      <c r="CW28"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1280.6831889529094</v>
      </c>
      <c r="CX28"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12421.298907102564</v>
      </c>
      <c r="CY28"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-82</v>
      </c>
      <c r="CZ28"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v>
      </c>
      <c r="DA28"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v>
      </c>
      <c r="DB28"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-1.2579098753595391E-2</v>
      </c>
      <c r="DC28"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0</v>
      </c>
      <c r="DD28"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-953.68421052631595</v>
      </c>
      <c r="DE28"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0</v>
      </c>
      <c r="DF28"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126.23218390804598</v>
      </c>
      <c r="DG28" s="270">
        <f ca="1">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30.583978855414387</v>
      </c>
      <c r="DH28"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4.6015730006049615</v>
      </c>
      <c r="DI28"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4.5726138806049628</v>
      </c>
      <c r="DJ28" s="320">
        <f ca="1">-Tbl_MeasureList[[#This Row],[Low Measure Energy Cost (USD/yr)]]+Tbl_MeasureList[[#This Row],[Code (old fuel) Energy Cost (USD/yr)]]</f>
        <v>911.03361360766712</v>
      </c>
      <c r="DK28" s="267">
        <f ca="1">Tbl_MeasureList[[#This Row],[Low Measure Installed Costs (USD)]]-Tbl_MeasureList[[#This Row],[Code (old fuel) Installed Costs (USD)]]</f>
        <v>7514</v>
      </c>
      <c r="DL28" s="249">
        <f ca="1">-Tbl_MeasureList[[#This Row],[Low Measure Electric Annual Consumption (kWh/yr)]]+Tbl_MeasureList[[#This Row],[Code (old fuel) Electric Annual Consumption (kWh/yr)]]</f>
        <v>-99</v>
      </c>
      <c r="DM28" s="249" t="str">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v>
      </c>
      <c r="DN28" s="249" t="str">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v>
      </c>
      <c r="DO28" s="268">
        <f ca="1">-Tbl_MeasureList[[#This Row],[Low Measure Electric Winter Peak Demand (kW)]]+Tbl_MeasureList[[#This Row],[Code (old fuel) Electric Winter Peak Demand (kW)]]</f>
        <v>-1.5186960690316387E-2</v>
      </c>
      <c r="DP28" s="479">
        <f ca="1">-Tbl_MeasureList[[#This Row],[Low Measure Electric Summer Peak Demand (kW)]]+Tbl_MeasureList[[#This Row],[Code (old fuel) Electric Summer Peak Demand (kW)]]</f>
        <v>0</v>
      </c>
      <c r="DQ28" s="481">
        <f ca="1">-Tbl_MeasureList[[#This Row],[Low Measure Natural Gas Annual Consumption (therms/yr)]]+Tbl_MeasureList[[#This Row],[Code (old fuel) Natural Gas Annual Consumption (therms/yr)]]</f>
        <v>-1006.6666666666667</v>
      </c>
      <c r="DR28" s="490">
        <f ca="1">-Tbl_MeasureList[[#This Row],[Low Measure Propane Annual Consumption (MMBtu/yr)]]+Tbl_MeasureList[[#This Row],[Code (old fuel) Propane Annual Consumption (MMBtu/yr)]]</f>
        <v>0</v>
      </c>
      <c r="DS28" s="252">
        <f ca="1">-Tbl_MeasureList[[#This Row],[Low Measure Oil Annual Consumption (MMBtu/yr)]]+Tbl_MeasureList[[#This Row],[Code (old fuel) Oil Annual Consumption (MMBtu/yr)]]</f>
        <v>113.72887864823349</v>
      </c>
      <c r="DT28"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12.724423981566815</v>
      </c>
      <c r="DU28" s="487">
        <f ca="1">-Tbl_MeasureList[[#This Row],[Low Measure Carbon Emissions, Site (tons CO2/yr)]]+Tbl_MeasureList[[#This Row],[Code (old fuel) Carbon Emissions, Site (tons CO2/yr)]]</f>
        <v>3.2832340629800312</v>
      </c>
      <c r="DV28" s="491">
        <f ca="1">-Tbl_MeasureList[[#This Row],[Low Measure Carbon Emissions, Source (tons CO2/yr)]]+Tbl_MeasureList[[#This Row],[Code (old fuel) Carbon Emissions, Source (tons CO2/yr)]]</f>
        <v>3.2482712229800317</v>
      </c>
      <c r="DW28"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(old fuel) Energy Cost (USD/yr)]],
        "-")</f>
        <v>999.85691536205286</v>
      </c>
      <c r="DX28"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7514</v>
      </c>
      <c r="DY28"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-82</v>
      </c>
      <c r="DZ28"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v>
      </c>
      <c r="EA28"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v>
      </c>
      <c r="EB28"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-1.2579098753595391E-2</v>
      </c>
      <c r="EC28"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0</v>
      </c>
      <c r="ED28"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-953.68421052631595</v>
      </c>
      <c r="EE28"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0</v>
      </c>
      <c r="EF28"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113.72887864823349</v>
      </c>
      <c r="EG28" s="270">
        <f ca="1">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18.080673595601894</v>
      </c>
      <c r="EH28"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3.5931814314010833</v>
      </c>
      <c r="EI28"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3.5642223114010827</v>
      </c>
      <c r="EJ28" s="477">
        <f ca="1">Tbl_MeasureList[[#This Row],[Code (old fuel) Energy Cost (USD/yr)]]-Tbl_MeasureList[[#This Row],[Code (new fuel) Energy Cost (USD/yr)]]</f>
        <v>911.03361360766712</v>
      </c>
      <c r="EK28" s="496">
        <f ca="1">Tbl_MeasureList[[#This Row],[Code (old fuel) Electric Annual Consumption (kWh/yr)]]-Tbl_MeasureList[[#This Row],[Code (new fuel) Electric Annual Consumption (kWh/yr)]]</f>
        <v>-99</v>
      </c>
      <c r="EL28" s="496" t="str">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v>
      </c>
      <c r="EM28" s="496" t="str">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v>
      </c>
      <c r="EN28" s="500">
        <f ca="1">Tbl_MeasureList[[#This Row],[Code (old fuel) Electric Winter Peak Demand (kW)]]-Tbl_MeasureList[[#This Row],[Code (new fuel) Electric Winter Peak Demand (kW)]]</f>
        <v>-1.5186960690316387E-2</v>
      </c>
      <c r="EO28" s="493">
        <f ca="1">Tbl_MeasureList[[#This Row],[Code (old fuel) Electric Summer Peak Demand (kW)]]-Tbl_MeasureList[[#This Row],[Code (new fuel) Electric Summer Peak Demand (kW)]]</f>
        <v>0</v>
      </c>
      <c r="EP28" s="502">
        <f ca="1">Tbl_MeasureList[[#This Row],[Code (old fuel) Natural Gas Annual Consumption (therms/yr)]]-Tbl_MeasureList[[#This Row],[Code (new fuel) Natural Gas Annual Consumption (therms/yr)]]</f>
        <v>-1006.6666666666667</v>
      </c>
      <c r="EQ28" s="215">
        <f ca="1">Tbl_MeasureList[[#This Row],[Code (old fuel) Propane Annual Consumption (MMBtu/yr)]]-Tbl_MeasureList[[#This Row],[Code (new fuel) Propane Annual Consumption (MMBtu/yr)]]</f>
        <v>0</v>
      </c>
      <c r="ER28" s="502">
        <f ca="1">Tbl_MeasureList[[#This Row],[Code (old fuel) Oil Annual Consumption (MMBtu/yr)]]-Tbl_MeasureList[[#This Row],[Code (new fuel) Oil Annual Consumption (MMBtu/yr)]]</f>
        <v>113.72887864823349</v>
      </c>
      <c r="ES28" s="215">
        <f ca="1">Tbl_MeasureList[[#This Row],[Code (old fuel) Energy Consumption on MMBtu Basis (MMBtu/yr)]]-Tbl_MeasureList[[#This Row],[Code (new fuel) Energy Consumption on MMBtu Basis (MMBtu/yr)]]</f>
        <v>12.724423981566829</v>
      </c>
      <c r="ET28" s="502">
        <f ca="1">Tbl_MeasureList[[#This Row],[Code (old fuel) Carbon Emissions, Site (tons CO2/yr)]]-Tbl_MeasureList[[#This Row],[Code (new fuel) Carbon Emissions, Site (tons CO2/yr)]]</f>
        <v>3.2832340629800312</v>
      </c>
      <c r="EU28" s="498">
        <f ca="1">Tbl_MeasureList[[#This Row],[Code (old fuel) Carbon Emissions, Source (tons CO2/yr)]]-Tbl_MeasureList[[#This Row],[Code (new fuel) Carbon Emissions, Source (tons CO2/yr)]]</f>
        <v>3.2482712229800317</v>
      </c>
      <c r="EV28" s="450">
        <f ca="1">Tbl_MeasureList[[#This Row],[ER Total Low Measure Electric Annual Consumption Savings (kWh/yr)]]*COAL_BTU_PER_SITE_KWH/Btu_per_MMBtu</f>
        <v>-1.089721255619646E-2</v>
      </c>
      <c r="EW28" s="411">
        <f ca="1">Tbl_MeasureList[[#This Row],[ER Total Low Measure Electric Annual Consumption Savings (kWh/yr)]]*COAL_LBS_PER_SITE_KWH</f>
        <v>-0.9558958382628473</v>
      </c>
      <c r="EX28" s="326">
        <f ca="1">Tbl_MeasureList[[#This Row],[ER Total Low Measure Electric Annual Consumption Savings (kWh/yr)]]*OIL_BTU_PER_SITE_KWH/Btu_per_MMBtu</f>
        <v>-1.2544809664774313E-2</v>
      </c>
      <c r="EY28" s="325">
        <f ca="1">Tbl_MeasureList[[#This Row],[ER Total Low Measure Electric Annual Consumption Savings (kWh/yr)]]*OIL_GAL_PER_SITE_KWH</f>
        <v>-9.0940662327553101E-2</v>
      </c>
      <c r="EZ28" s="326">
        <f ca="1">Tbl_MeasureList[[#This Row],[ER Total Low Measure Oil Annual Consumption Savings (MMBtu/yr)]]*Btu_per_MMBtu/OIL_BTU_PER_GAL</f>
        <v>915.09068040194268</v>
      </c>
      <c r="FA28" s="325">
        <f ca="1">Tbl_MeasureList[[#This Row],[Current ER Total Low Measure Oil Source Fuel Savings (gallons oil/year)]]+Tbl_MeasureList[[#This Row],[Current ER Total Low Measure Oil Site Fuel Savings (gallons oil/year)]]</f>
        <v>914.99973973961517</v>
      </c>
      <c r="FB28" s="326">
        <f ca="1">Tbl_MeasureList[[#This Row],[ER Total Low Measure Electric Annual Consumption Savings (kWh/yr)]]*GAS_BTU_PER_SITE_KWH/Btu_per_MMBtu</f>
        <v>-0.4051209558503176</v>
      </c>
      <c r="FC28" s="327">
        <f ca="1">Tbl_MeasureList[[#This Row],[ER Total Low Measure Electric Annual Consumption Savings (kWh/yr)]]*GAS_CUFT_PER_SITE_KWH/1000</f>
        <v>-0.39370355281857877</v>
      </c>
      <c r="FD28" s="328">
        <f ca="1">Tbl_MeasureList[[#This Row],[ER Total Low Measure Natural Gas Annual Consumption Savings (therms/yr)]]*Btu_per_MMBtu/(GAS_BTU_PER_CUFT*Therm_per_MMBtu*1000)</f>
        <v>-97.829608033689681</v>
      </c>
      <c r="FE28" s="329">
        <f ca="1">Tbl_MeasureList[[#This Row],[Current ER Total Low Measure Gas Source Fuel Savings (1,000 cu.ft. gas/year)]]+Tbl_MeasureList[[#This Row],[Current ER Total Low Measure Gas Site Fuel Savings (1,000 cu.ft gas/year)]]</f>
        <v>-98.22331158650826</v>
      </c>
      <c r="FF28" s="324">
        <f ca="1">IFERROR(Tbl_MeasureList[[#This Row],[ER Total High Measure Electric Annual Consumption Savings (kWh/yr)]]*COAL_BTU_PER_SITE_KWH/Btu_per_MMBtu,"-")</f>
        <v>-9.0259740364455523E-3</v>
      </c>
      <c r="FG28" s="325">
        <f ca="1">IFERROR(Tbl_MeasureList[[#This Row],[ER Total High Measure Electric Annual Consumption Savings (kWh/yr)]]*COAL_LBS_PER_SITE_KWH,"-")</f>
        <v>-0.79175210846013611</v>
      </c>
      <c r="FH28" s="326">
        <f ca="1">IFERROR(Tbl_MeasureList[[#This Row],[ER Total High Measure Electric Annual Consumption Savings (kWh/yr)]]*OIL_BTU_PER_SITE_KWH/Btu_per_MMBtu,"-")</f>
        <v>-1.0390650429409027E-2</v>
      </c>
      <c r="FI28" s="325">
        <f ca="1">IFERROR(Tbl_MeasureList[[#This Row],[ER Total High Measure Electric Annual Consumption Savings (kWh/yr)]]*OIL_GAL_PER_SITE_KWH,"-")</f>
        <v>-7.5324588998579328E-2</v>
      </c>
      <c r="FJ28" s="326">
        <f ca="1">IFERROR(Tbl_MeasureList[[#This Row],[ER Total High Measure Oil Annual Consumption Savings (MMBtu/yr)]]*Btu_per_MMBtu/OIL_BTU_PER_GAL,"-")</f>
        <v>915.09068040194268</v>
      </c>
      <c r="FK28" s="325">
        <f ca="1">IFERROR(Tbl_MeasureList[[#This Row],[Current ER Total High Measure Oil Source Fuel Savings (gallons oil/year)]]+Tbl_MeasureList[[#This Row],[Current ER Total High Measure Oil Site Fuel Savings (gallons oil/year)]],"-")</f>
        <v>915.01535581294411</v>
      </c>
      <c r="FL28" s="326">
        <f ca="1">IFERROR(Tbl_MeasureList[[#This Row],[ER Total High Measure Electric Annual Consumption Savings (kWh/yr)]]*GAS_BTU_PER_SITE_KWH/Btu_per_MMBtu,"-")</f>
        <v>-0.33555473110834388</v>
      </c>
      <c r="FM28" s="327">
        <f ca="1">IFERROR(Tbl_MeasureList[[#This Row],[ER Total High Measure Electric Annual Consumption Savings (kWh/yr)]]*GAS_CUFT_PER_SITE_KWH/1000,"-")</f>
        <v>-0.32609789223357027</v>
      </c>
      <c r="FN28" s="328">
        <f ca="1">IFERROR(Tbl_MeasureList[[#This Row],[ER Total High Measure Natural Gas Annual Consumption Savings (therms/yr)]]*Btu_per_MMBtu/(GAS_BTU_PER_CUFT*Therm_per_MMBtu*1000),"-")</f>
        <v>-92.680681295074436</v>
      </c>
      <c r="FO28" s="329">
        <f ca="1">IFERROR(Tbl_MeasureList[[#This Row],[Current ER Total High Measure Gas Source Fuel Savings (1,000 cu.ft. gas/year)]]+Tbl_MeasureList[[#This Row],[Current ER Total High Measure Gas Site Fuel Savings (1,000 cu.ft gas/year)]],"-")</f>
        <v>-93.006779187308013</v>
      </c>
      <c r="FP28" s="412">
        <f ca="1">Tbl_MeasureList[[#This Row],[ROF Low Measure Electric Annual Consumption Savings (kWh/yr)]]*COAL_BTU_PER_SITE_KWH/Btu_per_MMBtu</f>
        <v>-1.089721255619646E-2</v>
      </c>
      <c r="FQ28" s="327">
        <f ca="1">Tbl_MeasureList[[#This Row],[ROF Low Measure Electric Annual Consumption Savings (kWh/yr)]]*COAL_LBS_PER_SITE_KWH</f>
        <v>-0.9558958382628473</v>
      </c>
      <c r="FR28" s="412">
        <f ca="1">Tbl_MeasureList[[#This Row],[ROF Low Measure Electric Annual Consumption Savings (kWh/yr)]]*OIL_BTU_PER_SITE_KWH/Btu_per_MMBtu</f>
        <v>-1.2544809664774313E-2</v>
      </c>
      <c r="FS28" s="327">
        <f ca="1">Tbl_MeasureList[[#This Row],[ROF Low Measure Electric Annual Consumption Savings (kWh/yr)]]*OIL_GAL_PER_SITE_KWH</f>
        <v>-9.0940662327553101E-2</v>
      </c>
      <c r="FT28" s="412">
        <f ca="1">Tbl_MeasureList[[#This Row],[ROF Low Measure Oil Annual Consumption Savings (MMBtu/yr)]]*Btu_per_MMBtu/OIL_BTU_PER_GAL</f>
        <v>824.45089454661991</v>
      </c>
      <c r="FU28" s="327">
        <f ca="1">Tbl_MeasureList[[#This Row],[Current ROF Low Measure Oil Source Fuel Savings (gallons oil/year)]]+Tbl_MeasureList[[#This Row],[Current ROF Low Measure Oil Site Fuel Savings (gallons oil/year)]]</f>
        <v>824.35995388429239</v>
      </c>
      <c r="FV28" s="412">
        <f ca="1">Tbl_MeasureList[[#This Row],[ROF Low Measure Electric Annual Consumption Savings (kWh/yr)]]*GAS_BTU_PER_SITE_KWH/Btu_per_MMBtu</f>
        <v>-0.4051209558503176</v>
      </c>
      <c r="FW28" s="327">
        <f ca="1">Tbl_MeasureList[[#This Row],[ROF Low Measure Electric Annual Consumption Savings (kWh/yr)]]*GAS_CUFT_PER_SITE_KWH/1000</f>
        <v>-0.39370355281857877</v>
      </c>
      <c r="FX28" s="412">
        <f ca="1">Tbl_MeasureList[[#This Row],[ROF Low Measure Natural Gas Annual Consumption Savings (therms/yr)]]*Btu_per_MMBtu/(GAS_BTU_PER_CUFT*Therm_per_MMBtu*1000)</f>
        <v>-97.829608033689681</v>
      </c>
      <c r="FY28" s="327">
        <f ca="1">Tbl_MeasureList[[#This Row],[Current ROF Low Measure Gas Source Fuel Savings (1,000 cu.ft. gas/year)]]+Tbl_MeasureList[[#This Row],[Current ROF Low Measure Gas Site Fuel Savings (1,000 cu.ft gas/year)]]</f>
        <v>-98.22331158650826</v>
      </c>
      <c r="FZ28" s="414">
        <f ca="1">IFERROR(Tbl_MeasureList[[#This Row],[ROF High Measure Electric Annual Consumption Savings (kWh/yr)]]*COAL_BTU_PER_SITE_KWH/Btu_per_MMBtu,"-")</f>
        <v>-9.0259740364455523E-3</v>
      </c>
      <c r="GA28" s="327">
        <f ca="1">IFERROR(Tbl_MeasureList[[#This Row],[ROF High Measure Electric Annual Consumption Savings (kWh/yr)]]*COAL_LBS_PER_SITE_KWH,"-")</f>
        <v>-0.79175210846013611</v>
      </c>
      <c r="GB28" s="412">
        <f ca="1">IFERROR(Tbl_MeasureList[[#This Row],[ROF High Measure Electric Annual Consumption Savings (kWh/yr)]]*OIL_BTU_PER_SITE_KWH/Btu_per_MMBtu,"-")</f>
        <v>-1.0390650429409027E-2</v>
      </c>
      <c r="GC28" s="327">
        <f ca="1">IFERROR(Tbl_MeasureList[[#This Row],[ROF High Measure Electric Annual Consumption Savings (kWh/yr)]]*OIL_GAL_PER_SITE_KWH,"-")</f>
        <v>-7.5324588998579328E-2</v>
      </c>
      <c r="GD28" s="412">
        <f ca="1">IFERROR(Tbl_MeasureList[[#This Row],[ROF High Measure Oil Annual Consumption Savings (MMBtu/yr)]]*Btu_per_MMBtu/OIL_BTU_PER_GAL,"-")</f>
        <v>824.45089454661991</v>
      </c>
      <c r="GE28" s="327">
        <f ca="1">IFERROR(Tbl_MeasureList[[#This Row],[Current ROF High Measure Oil Source Fuel Savings (gallons oil/year)]]+Tbl_MeasureList[[#This Row],[Current ROF High Measure Oil Site Fuel Savings (gallons oil/year)]],"-")</f>
        <v>824.37556995762134</v>
      </c>
      <c r="GF28" s="412">
        <f ca="1">IFERROR(Tbl_MeasureList[[#This Row],[ROF High Measure Electric Annual Consumption Savings (kWh/yr)]]*GAS_BTU_PER_SITE_KWH/Btu_per_MMBtu,"-")</f>
        <v>-0.33555473110834388</v>
      </c>
      <c r="GG28" s="327">
        <f ca="1">IFERROR(Tbl_MeasureList[[#This Row],[ROF High Measure Electric Annual Consumption Savings (kWh/yr)]]*GAS_CUFT_PER_SITE_KWH/1000,"-")</f>
        <v>-0.32609789223357027</v>
      </c>
      <c r="GH28" s="412">
        <f ca="1">IFERROR(Tbl_MeasureList[[#This Row],[ROF High Measure Natural Gas Annual Consumption Savings (therms/yr)]]*Btu_per_MMBtu/(GAS_BTU_PER_CUFT*Therm_per_MMBtu*1000),"-")</f>
        <v>-92.680681295074436</v>
      </c>
      <c r="GI28" s="327">
        <f ca="1">IFERROR(Tbl_MeasureList[[#This Row],[Current ROF High Measure Gas Source Fuel Savings (1,000 cu.ft. gas/year)]]+Tbl_MeasureList[[#This Row],[Current ROF High Measure Gas Site Fuel Savings (1,000 cu.ft gas/year)]],"-")</f>
        <v>-93.006779187308013</v>
      </c>
      <c r="GJ28" s="324">
        <f ca="1">Tbl_MeasureList[[#This Row],[ER Total Low Measure Electric Annual Consumption Savings (kWh/yr)]]*COAL_BTU_PER_SITE_KWH_CES/Btu_per_MMBtu</f>
        <v>-1.8525261345533978E-2</v>
      </c>
      <c r="GK28" s="325">
        <f ca="1">Tbl_MeasureList[[#This Row],[ER Total Low Measure Electric Annual Consumption Savings (kWh/yr)]]*COAL_LBS_PER_SITE_KWH_CES</f>
        <v>-1.6822794538261878</v>
      </c>
      <c r="GL28" s="326">
        <f ca="1">Tbl_MeasureList[[#This Row],[ER Total Low Measure Electric Annual Consumption Savings (kWh/yr)]]*OIL_BTU_PER_SITE_KWH_CES/Btu_per_MMBtu</f>
        <v>-5.7021862112610518E-3</v>
      </c>
      <c r="GM28" s="325">
        <f ca="1">Tbl_MeasureList[[#This Row],[ER Total Low Measure Electric Annual Consumption Savings (kWh/yr)]]*OIL_GAL_PER_SITE_KWH_CES</f>
        <v>-3.8470060255161455E-2</v>
      </c>
      <c r="GN28" s="326">
        <f ca="1">Tbl_MeasureList[[#This Row],[ER Total Low Measure Oil Annual Consumption Savings (MMBtu/yr)]]*Btu_per_MMBtu/OIL_BTU_PER_GAL_CES</f>
        <v>851.63120620173504</v>
      </c>
      <c r="GO28" s="325">
        <f ca="1">Tbl_MeasureList[[#This Row],[CES ER Low Measure Oil Source Fuel Savings (gallons oil/year)]]+Tbl_MeasureList[[#This Row],[CES ER Low Measure Oil Site Fuel Savings (gallons oil/year)]]</f>
        <v>851.59273614147992</v>
      </c>
      <c r="GP28" s="326">
        <f ca="1">Tbl_MeasureList[[#This Row],[ER Total Low Measure Electric Annual Consumption Savings (kWh/yr)]]*GAS_BTU_PER_SITE_KWH_CES/Btu_per_MMBtu</f>
        <v>-0.16866260202747918</v>
      </c>
      <c r="GQ28" s="327">
        <f ca="1">Tbl_MeasureList[[#This Row],[ER Total Low Measure Electric Annual Consumption Savings (kWh/yr)]]*GAS_CUFT_PER_SITE_KWH_CES/1000</f>
        <v>-0.16375009905580504</v>
      </c>
      <c r="GR28" s="328">
        <f ca="1">Tbl_MeasureList[[#This Row],[ER Total Low Measure Natural Gas Annual Consumption Savings (therms/yr)]]*Btu_per_MMBtu/(GAS_BTU_PER_CUFT_CES*Therm_per_MMBtu*1000)</f>
        <v>-97.734627831715216</v>
      </c>
      <c r="GS28" s="329">
        <f ca="1">Tbl_MeasureList[[#This Row],[CES ER Low Measure Gas Source Fuel Savings (1,000 cu.ft. gas/year)]]+Tbl_MeasureList[[#This Row],[CES ER Low Measure Gas Site Fuel Savings (1,000 cu.ft gas/year)]]</f>
        <v>-97.898377930771019</v>
      </c>
      <c r="GT28" s="324">
        <f ca="1">IFERROR(Tbl_MeasureList[[#This Row],[ER Total High Measure Electric Annual Consumption Savings (kWh/yr)]]*COAL_BTU_PER_SITE_KWH_CES/Btu_per_MMBtu,"-")</f>
        <v>-1.5344155861957438E-2</v>
      </c>
      <c r="GU28" s="325">
        <f ca="1">IFERROR(Tbl_MeasureList[[#This Row],[ER Total High Measure Electric Annual Consumption Savings (kWh/yr)]]*COAL_LBS_PER_SITE_KWH_CES,"-")</f>
        <v>-1.3934031839772465</v>
      </c>
      <c r="GV28" s="326">
        <f ca="1">IFERROR(Tbl_MeasureList[[#This Row],[ER Total High Measure Electric Annual Consumption Savings (kWh/yr)]]*OIL_BTU_PER_SITE_KWH_CES/Btu_per_MMBtu,"-")</f>
        <v>-4.723022922458648E-3</v>
      </c>
      <c r="GW28" s="325">
        <f ca="1">IFERROR(Tbl_MeasureList[[#This Row],[ER Total High Measure Electric Annual Consumption Savings (kWh/yr)]]*OIL_GAL_PER_SITE_KWH_CES,"-")</f>
        <v>-3.1864090312355951E-2</v>
      </c>
      <c r="GX28" s="326">
        <f ca="1">IFERROR(Tbl_MeasureList[[#This Row],[ER Total High Measure Oil Annual Consumption Savings (MMBtu/yr)]]*Btu_per_MMBtu/OIL_BTU_PER_GAL_CES,"-")</f>
        <v>851.63120620173504</v>
      </c>
      <c r="GY28" s="325">
        <f ca="1">IFERROR(Tbl_MeasureList[[#This Row],[CES ER High Measure Oil Source Fuel Savings (gallons oil/year)]]+Tbl_MeasureList[[#This Row],[CES ER High Measure Oil Site Fuel Savings (gallons oil/year)]],"-")</f>
        <v>851.59934211142263</v>
      </c>
      <c r="GZ28" s="326">
        <f ca="1">IFERROR(Tbl_MeasureList[[#This Row],[ER Total High Measure Electric Annual Consumption Savings (kWh/yr)]]*GAS_BTU_PER_SITE_KWH_CES/Btu_per_MMBtu,"-")</f>
        <v>-0.13970033703286155</v>
      </c>
      <c r="HA28" s="327">
        <f ca="1">IFERROR(Tbl_MeasureList[[#This Row],[ER Total High Measure Electric Annual Consumption Savings (kWh/yr)]]*GAS_CUFT_PER_SITE_KWH_CES/1000,"-")</f>
        <v>-0.13563139517753547</v>
      </c>
      <c r="HB28" s="328">
        <f ca="1">IFERROR(Tbl_MeasureList[[#This Row],[ER Total High Measure Natural Gas Annual Consumption Savings (therms/yr)]]*Btu_per_MMBtu/(GAS_BTU_PER_CUFT_CES*Therm_per_MMBtu*1000),"-")</f>
        <v>-92.590700051098636</v>
      </c>
      <c r="HC28" s="329">
        <f ca="1">IFERROR(Tbl_MeasureList[[#This Row],[CES ER High Measure Gas Source Fuel Savings (1,000 cu.ft. gas/year)]]+Tbl_MeasureList[[#This Row],[CES ER High Measure Gas Site Fuel Savings (1,000 cu.ft gas/year)]],"-")</f>
        <v>-92.726331446276177</v>
      </c>
      <c r="HD28" s="315">
        <f ca="1">Tbl_MeasureList[[#This Row],[ROF Low Measure Electric Annual Consumption Savings (kWh/yr)]]*COAL_BTU_PER_SITE_KWH_CES/Btu_per_MMBtu</f>
        <v>-1.8525261345533978E-2</v>
      </c>
      <c r="HE28" s="316">
        <f ca="1">Tbl_MeasureList[[#This Row],[ROF Low Measure Electric Annual Consumption Savings (kWh/yr)]]*COAL_LBS_PER_SITE_KWH_CES</f>
        <v>-1.6822794538261878</v>
      </c>
      <c r="HF28" s="317">
        <f ca="1">Tbl_MeasureList[[#This Row],[ROF Low Measure Electric Annual Consumption Savings (kWh/yr)]]*OIL_BTU_PER_SITE_KWH_CES/Btu_per_MMBtu</f>
        <v>-5.7021862112610518E-3</v>
      </c>
      <c r="HG28" s="316">
        <f ca="1">Tbl_MeasureList[[#This Row],[ROF Low Measure Electric Annual Consumption Savings (kWh/yr)]]*OIL_GAL_PER_SITE_KWH_CES</f>
        <v>-3.8470060255161455E-2</v>
      </c>
      <c r="HH28" s="317">
        <f ca="1">Tbl_MeasureList[[#This Row],[ROF Low Measure Oil Annual Consumption Savings (MMBtu/yr)]]*Btu_per_MMBtu/OIL_BTU_PER_GAL_CES</f>
        <v>767.27708500805193</v>
      </c>
      <c r="HI28" s="316">
        <f ca="1">Tbl_MeasureList[[#This Row],[CES ROF Low Measure Oil Source Fuel Savings (gallons oil/year)]]+Tbl_MeasureList[[#This Row],[CES ROF Low Measure Oil Site Fuel Savings (gallons oil/year)]]</f>
        <v>767.2386149477968</v>
      </c>
      <c r="HJ28" s="317">
        <f ca="1">Tbl_MeasureList[[#This Row],[ROF Low Measure Electric Annual Consumption Savings (kWh/yr)]]*GAS_BTU_PER_SITE_KWH_CES/Btu_per_MMBtu</f>
        <v>-0.16866260202747918</v>
      </c>
      <c r="HK28" s="316">
        <f ca="1">Tbl_MeasureList[[#This Row],[ROF Low Measure Electric Annual Consumption Savings (kWh/yr)]]*GAS_CUFT_PER_SITE_KWH_CES/1000</f>
        <v>-0.16375009905580504</v>
      </c>
      <c r="HL28" s="317">
        <f ca="1">Tbl_MeasureList[[#This Row],[ROF Low Measure Natural Gas Annual Consumption Savings (therms/yr)]]*Btu_per_MMBtu/(GAS_BTU_PER_CUFT_CES*Therm_per_MMBtu*1000)</f>
        <v>-97.734627831715216</v>
      </c>
      <c r="HM28" s="318">
        <f ca="1">Tbl_MeasureList[[#This Row],[CES ROF Low Measure Gas Source Fuel Savings (1,000 cu.ft. gas/year)]]+Tbl_MeasureList[[#This Row],[CES ROF Low Measure Gas Site Fuel Savings (1,000 cu.ft gas/year)]]</f>
        <v>-97.898377930771019</v>
      </c>
      <c r="HN28" s="315">
        <f ca="1">IFERROR(Tbl_MeasureList[[#This Row],[ROF High Measure Electric Annual Consumption Savings (kWh/yr)]]*COAL_BTU_PER_SITE_KWH_CES/Btu_per_MMBtu,"-")</f>
        <v>-1.5344155861957438E-2</v>
      </c>
      <c r="HO28" s="316">
        <f ca="1">IFERROR(Tbl_MeasureList[[#This Row],[ROF High Measure Electric Annual Consumption Savings (kWh/yr)]]*COAL_LBS_PER_SITE_KWH_CES,"-")</f>
        <v>-1.3934031839772465</v>
      </c>
      <c r="HP28" s="317">
        <f ca="1">IFERROR(Tbl_MeasureList[[#This Row],[ROF High Measure Electric Annual Consumption Savings (kWh/yr)]]*OIL_BTU_PER_SITE_KWH_CES/Btu_per_MMBtu,"-")</f>
        <v>-4.723022922458648E-3</v>
      </c>
      <c r="HQ28" s="316">
        <f ca="1">IFERROR(Tbl_MeasureList[[#This Row],[ROF High Measure Electric Annual Consumption Savings (kWh/yr)]]*OIL_GAL_PER_SITE_KWH_CES,"-")</f>
        <v>-3.1864090312355951E-2</v>
      </c>
      <c r="HR28" s="317">
        <f ca="1">IFERROR(Tbl_MeasureList[[#This Row],[ROF High Measure Oil Annual Consumption Savings (MMBtu/yr)]]*Btu_per_MMBtu/OIL_BTU_PER_GAL_CES,"-")</f>
        <v>767.27708500805193</v>
      </c>
      <c r="HS28" s="316">
        <f ca="1">IFERROR(Tbl_MeasureList[[#This Row],[CES ROF High Measure Oil Source Fuel Savings (gallons oil/year)]]+Tbl_MeasureList[[#This Row],[CES ROF High Measure Oil Site Fuel Savings (gallons oil/year)]],"-")</f>
        <v>767.24522091773952</v>
      </c>
      <c r="HT28" s="317">
        <f ca="1">IFERROR(Tbl_MeasureList[[#This Row],[ROF High Measure Electric Annual Consumption Savings (kWh/yr)]]*GAS_BTU_PER_SITE_KWH_CES/Btu_per_MMBtu,"-")</f>
        <v>-0.13970033703286155</v>
      </c>
      <c r="HU28" s="316">
        <f ca="1">IFERROR(Tbl_MeasureList[[#This Row],[ROF High Measure Electric Annual Consumption Savings (kWh/yr)]]*GAS_CUFT_PER_SITE_KWH_CES/1000,"-")</f>
        <v>-0.13563139517753547</v>
      </c>
      <c r="HV28" s="317">
        <f ca="1">IFERROR(Tbl_MeasureList[[#This Row],[ROF High Measure Natural Gas Annual Consumption Savings (therms/yr)]]*Btu_per_MMBtu/(GAS_BTU_PER_CUFT_CES*Therm_per_MMBtu*1000),"-")</f>
        <v>-92.590700051098636</v>
      </c>
      <c r="HW28" s="318">
        <f ca="1">IFERROR(Tbl_MeasureList[[#This Row],[CES ROF High Measure Gas Source Fuel Savings (1,000 cu.ft. gas/year)]]+Tbl_MeasureList[[#This Row],[CES ROF High Measure Gas Site Fuel Savings (1,000 cu.ft gas/year)]],"-")</f>
        <v>-92.726331446276177</v>
      </c>
      <c r="HX28" s="248">
        <f>Tbl_MeasureList[[#This Row],[Baseline Energy Cost (USD/yr)]]-Tbl_MeasureList[[#This Row],[Code (old fuel) Energy Cost (USD/yr)]]</f>
        <v>280.82627359085654</v>
      </c>
      <c r="HY28" s="201">
        <f>0</f>
        <v>0</v>
      </c>
      <c r="HZ28" s="86">
        <f>Tbl_MeasureList[[#This Row],[Baseline Electric Annual Consumption (kWh/yr)]]-Tbl_MeasureList[[#This Row],[Code (old fuel) Electric Annual Consumption (kWh/yr)]]</f>
        <v>0</v>
      </c>
      <c r="IA28" s="86" t="str">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v>
      </c>
      <c r="IB28" s="86" t="str">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v>
      </c>
      <c r="IC28" s="152">
        <f>Tbl_MeasureList[[#This Row],[Baseline Electric Winter Peak Demand (kW)]]-Tbl_MeasureList[[#This Row],[Code (old fuel) Electric Winter Peak Demand (kW)]]</f>
        <v>0</v>
      </c>
      <c r="ID28" s="152">
        <f>Tbl_MeasureList[[#This Row],[Baseline Electric Summer Peak Demand (kW)]]-Tbl_MeasureList[[#This Row],[Code (old fuel) Electric Summer Peak Demand (kW)]]</f>
        <v>0</v>
      </c>
      <c r="IE28" s="251">
        <f>Tbl_MeasureList[[#This Row],[Baseline Natural Gas Annual Consumption (therms/yr)]]-Tbl_MeasureList[[#This Row],[Code (old fuel) Natural Gas Annual Consumption (therms/yr)]]</f>
        <v>0</v>
      </c>
      <c r="IF28" s="252">
        <f>Tbl_MeasureList[[#This Row],[Baseline Propane Annual Consumption (MMBtu/yr)]]-Tbl_MeasureList[[#This Row],[Code (old fuel) Propane Annual Consumption (MMBtu/yr)]]</f>
        <v>0</v>
      </c>
      <c r="IG28" s="253">
        <f>Tbl_MeasureList[[#This Row],[Baseline Oil Annual Consumption (MMBtu/yr)]]-Tbl_MeasureList[[#This Row],[Code (old fuel) Oil Annual Consumption (MMBtu/yr)]]</f>
        <v>12.503305259812493</v>
      </c>
      <c r="IH28" s="371">
        <f>Tbl_MeasureList[[#This Row],[Baseline Energy Consumption on MMBtu Basis (MMBtu/yr)]]-Tbl_MeasureList[[#This Row],[Code (old fuel) Energy Consumption on MMBtu Basis (MMBtu/yr)]]</f>
        <v>12.503305259812493</v>
      </c>
      <c r="II28" s="371">
        <f>Tbl_MeasureList[[#This Row],[Baseline Carbon Emissions, Site (tons CO2/yr)]]-Tbl_MeasureList[[#This Row],[Code (old fuel) Carbon Emissions, Site (tons CO2/yr)]]</f>
        <v>1.0083915692038783</v>
      </c>
      <c r="IJ28" s="279">
        <f>Tbl_MeasureList[[#This Row],[Baseline Carbon Emissions, Source (tons CO2/yr)]]-Tbl_MeasureList[[#This Row],[Code (old fuel) Carbon Emissions, Source (tons CO2/yr)]]</f>
        <v>1.0083915692038801</v>
      </c>
      <c r="IK28" s="273">
        <f ca="1">Tbl_MeasureList[[#This Row],[Code (new fuel) Energy Cost (USD/yr)]]-Tbl_MeasureList[[#This Row],[Low Measure Energy Cost (USD/yr)]]</f>
        <v>0</v>
      </c>
      <c r="IL28"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12421.298907102564</v>
      </c>
      <c r="IM28" s="85">
        <f ca="1">Tbl_MeasureList[[#This Row],[Code (old fuel) Electric Annual Consumption (kWh/yr)]]-Tbl_MeasureList[[#This Row],[Low Measure Electric Annual Consumption (kWh/yr)]]</f>
        <v>-99</v>
      </c>
      <c r="IN28" s="85" t="str">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v>
      </c>
      <c r="IO28" s="85" t="str">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v>
      </c>
      <c r="IP28" s="152">
        <f ca="1">Tbl_MeasureList[[#This Row],[Code (old fuel) Electric Winter Peak Demand (kW)]]-Tbl_MeasureList[[#This Row],[Low Measure Electric Winter Peak Demand (kW)]]</f>
        <v>-1.5186960690316387E-2</v>
      </c>
      <c r="IQ28" s="152">
        <f ca="1">Tbl_MeasureList[[#This Row],[Code (old fuel) Electric Summer Peak Demand (kW)]]-Tbl_MeasureList[[#This Row],[Low Measure Electric Summer Peak Demand (kW)]]</f>
        <v>0</v>
      </c>
      <c r="IR28" s="204">
        <f ca="1">Tbl_MeasureList[[#This Row],[Code (old fuel) Natural Gas Annual Consumption (therms/yr)]]-Tbl_MeasureList[[#This Row],[Low Measure Natural Gas Annual Consumption (therms/yr)]]</f>
        <v>-1006.6666666666667</v>
      </c>
      <c r="IS28" s="153">
        <f ca="1">Tbl_MeasureList[[#This Row],[Code (old fuel) Propane Annual Consumption (MMBtu/yr)]]-Tbl_MeasureList[[#This Row],[Low Measure Propane Annual Consumption (MMBtu/yr)]]</f>
        <v>0</v>
      </c>
      <c r="IT28" s="204">
        <f ca="1">Tbl_MeasureList[[#This Row],[Code (old fuel) Oil Annual Consumption (MMBtu/yr)]]-Tbl_MeasureList[[#This Row],[Low Measure Oil Annual Consumption (MMBtu/yr)]]</f>
        <v>113.72887864823349</v>
      </c>
      <c r="IU28" s="204">
        <f ca="1">Tbl_MeasureList[[#This Row],[Code (old fuel) Energy Consumption on MMBtu Basis (MMBtu/yr)]]-Tbl_MeasureList[[#This Row],[Low Measure Energy Consumption on MMBtu Basis (MMBtu/yr)]]</f>
        <v>12.724423981566829</v>
      </c>
      <c r="IV28" s="204">
        <f ca="1">Tbl_MeasureList[[#This Row],[Code (old fuel) Carbon Emissions, Site (tons CO2/yr)]]-Tbl_MeasureList[[#This Row],[Low Measure Carbon Emissions, Site (tons CO2/yr)]]</f>
        <v>3.2832340629800312</v>
      </c>
      <c r="IW28" s="260">
        <f ca="1">Tbl_MeasureList[[#This Row],[Code (old fuel) Carbon Emissions, Source (tons CO2/yr)]]-Tbl_MeasureList[[#This Row],[Low Measure Carbon Emissions, Source (tons CO2/yr)]]</f>
        <v>3.2482712229800317</v>
      </c>
      <c r="IX28" s="27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999.85691536205286</v>
      </c>
      <c r="IY28" s="20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12421.298907102564</v>
      </c>
      <c r="IZ28"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-82</v>
      </c>
      <c r="JA28" s="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v>
      </c>
      <c r="JB28" s="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v>
      </c>
      <c r="JC28"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-1.2579098753595391E-2</v>
      </c>
      <c r="JD28"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0</v>
      </c>
      <c r="JE28"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-953.68421052631595</v>
      </c>
      <c r="JF28" s="1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0</v>
      </c>
      <c r="JG28"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113.72887864823349</v>
      </c>
      <c r="JH28"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18.080673595601908</v>
      </c>
      <c r="JI28"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3.5931814314010833</v>
      </c>
      <c r="JJ28"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3.5642223114010827</v>
      </c>
      <c r="JK28" s="432">
        <f>Tbl_MeasureList[[#This Row],[ER (Retire) Electric Annual Consumption Savings (kWh/yr)]]*COAL_BTU_PER_SITE_KWH/Btu_per_MMBtu</f>
        <v>0</v>
      </c>
      <c r="JL28" s="428">
        <f>Tbl_MeasureList[[#This Row],[ER (Retire) Electric Annual Consumption Savings (kWh/yr)]]*COAL_LBS_PER_SITE_KWH</f>
        <v>0</v>
      </c>
      <c r="JM28" s="427">
        <f>Tbl_MeasureList[[#This Row],[ER (Retire) Electric Annual Consumption Savings (kWh/yr)]]*OIL_BTU_PER_SITE_KWH/Btu_per_MMBtu</f>
        <v>0</v>
      </c>
      <c r="JN28" s="428">
        <f>Tbl_MeasureList[[#This Row],[ER (Retire) Electric Annual Consumption Savings (kWh/yr)]]*OIL_GAL_PER_SITE_KWH</f>
        <v>0</v>
      </c>
      <c r="JO28" s="427">
        <f>Tbl_MeasureList[[#This Row],[ER (Retire) Oil Annual Consumption Savings (MMBtu/yr)]]*Btu_per_MMBtu/OIL_BTU_PER_GAL</f>
        <v>90.639785855322728</v>
      </c>
      <c r="JP28" s="428">
        <f ca="1">Tbl_MeasureList[[#This Row],[Current ER (Retire) Oil Source Fuel Savings (gallons oil/year)]]+Tbl_MeasureList[[#This Row],[Current ER Total Low Measure Oil Site Fuel Savings (gallons oil/year)]]</f>
        <v>915.09068040194268</v>
      </c>
      <c r="JQ28" s="427">
        <f>Tbl_MeasureList[[#This Row],[ER (Retire) Electric Annual Consumption Savings (kWh/yr)]]*GAS_BTU_PER_SITE_KWH/Btu_per_MMBtu</f>
        <v>0</v>
      </c>
      <c r="JR28" s="429">
        <f>Tbl_MeasureList[[#This Row],[ER (Retire) Electric Annual Consumption Savings (kWh/yr)]]*GAS_CUFT_PER_SITE_KWH/1000</f>
        <v>0</v>
      </c>
      <c r="JS28" s="430">
        <f>Tbl_MeasureList[[#This Row],[ER (Retire) Natural Gas Annual Consumption Savings (therms/yr)]]*Btu_per_MMBtu/(GAS_BTU_PER_CUFT*Therm_per_MMBtu*1000)</f>
        <v>0</v>
      </c>
      <c r="JT28" s="431">
        <f ca="1">Tbl_MeasureList[[#This Row],[Current ER (Retire) Gas Source Fuel Savings (1,000 cu.ft. gas/year)]]+Tbl_MeasureList[[#This Row],[Current ER Total Low Measure Gas Site Fuel Savings (1,000 cu.ft gas/year)]]</f>
        <v>-97.829608033689681</v>
      </c>
      <c r="JU28" s="432">
        <f ca="1">Tbl_MeasureList[[#This Row],[ER (EE) Low Measure Electric Annual Consumption Savings (kWh/yr)]]*COAL_BTU_PER_SITE_KWH/Btu_per_MMBtu</f>
        <v>-1.089721255619646E-2</v>
      </c>
      <c r="JV28" s="428">
        <f ca="1">Tbl_MeasureList[[#This Row],[ER (EE) Low Measure Electric Annual Consumption Savings (kWh/yr)]]*COAL_LBS_PER_SITE_KWH</f>
        <v>-0.9558958382628473</v>
      </c>
      <c r="JW28" s="427">
        <f ca="1">Tbl_MeasureList[[#This Row],[ER (EE) Low Measure Electric Annual Consumption Savings (kWh/yr)]]*OIL_BTU_PER_SITE_KWH/Btu_per_MMBtu</f>
        <v>-1.2544809664774313E-2</v>
      </c>
      <c r="JX28" s="428">
        <f ca="1">Tbl_MeasureList[[#This Row],[ER (EE) Low Measure Electric Annual Consumption Savings (kWh/yr)]]*OIL_GAL_PER_SITE_KWH</f>
        <v>-9.0940662327553101E-2</v>
      </c>
      <c r="JY28" s="427">
        <f ca="1">Tbl_MeasureList[[#This Row],[ER (EE) Low Measure Oil Annual Consumption Savings (MMBtu/yr)]]*Btu_per_MMBtu/OIL_BTU_PER_GAL</f>
        <v>824.45089454661991</v>
      </c>
      <c r="JZ28" s="428">
        <f ca="1">Tbl_MeasureList[[#This Row],[Current ER (EE) Low Measure Oil Source Fuel Savings (gallons oil/year)]]+Tbl_MeasureList[[#This Row],[Current ER (EE) Low Measure Oil Site Fuel Savings (gallons oil/year)]]</f>
        <v>824.35995388429239</v>
      </c>
      <c r="KA28" s="427">
        <f ca="1">Tbl_MeasureList[[#This Row],[ER (EE) Low Measure Electric Annual Consumption Savings (kWh/yr)]]*GAS_BTU_PER_SITE_KWH/Btu_per_MMBtu</f>
        <v>-0.4051209558503176</v>
      </c>
      <c r="KB28" s="429">
        <f ca="1">Tbl_MeasureList[[#This Row],[ER (EE) Low Measure Electric Annual Consumption Savings (kWh/yr)]]*GAS_CUFT_PER_SITE_KWH/1000</f>
        <v>-0.39370355281857877</v>
      </c>
      <c r="KC28" s="430">
        <f ca="1">Tbl_MeasureList[[#This Row],[ER (EE) Low Measure Natural Gas Annual Consumption Savings (therms/yr)]]*Btu_per_MMBtu/(GAS_BTU_PER_CUFT*Therm_per_MMBtu*1000)</f>
        <v>-97.829608033689681</v>
      </c>
      <c r="KD28" s="431">
        <f ca="1">Tbl_MeasureList[[#This Row],[Current ER (EE) Low Measure Gas Source Fuel Savings (1,000 cu.ft. gas/year)]]+Tbl_MeasureList[[#This Row],[Current ER (EE) Low Measure Gas Site Fuel Savings (1,000 cu.ft gas/year)]]</f>
        <v>-98.22331158650826</v>
      </c>
      <c r="KE28" s="432">
        <f ca="1">IFERROR(Tbl_MeasureList[[#This Row],[ER (EE) High Measure Electric Annual Consumption Savings (kWh/yr)]]*COAL_BTU_PER_SITE_KWH/Btu_per_MMBtu,"-")</f>
        <v>-9.0259740364455523E-3</v>
      </c>
      <c r="KF28" s="428">
        <f ca="1">IFERROR(Tbl_MeasureList[[#This Row],[ER (EE) High Measure Electric Annual Consumption Savings (kWh/yr)]]*COAL_LBS_PER_SITE_KWH,"-")</f>
        <v>-0.79175210846013611</v>
      </c>
      <c r="KG28" s="427">
        <f ca="1">IFERROR(Tbl_MeasureList[[#This Row],[ER (EE) High Measure Electric Annual Consumption Savings (kWh/yr)]]*OIL_BTU_PER_SITE_KWH/Btu_per_MMBtu,"-")</f>
        <v>-1.0390650429409027E-2</v>
      </c>
      <c r="KH28" s="428">
        <f ca="1">IFERROR(Tbl_MeasureList[[#This Row],[ER (EE) High Measure Electric Annual Consumption Savings (kWh/yr)]]*OIL_GAL_PER_SITE_KWH,"-")</f>
        <v>-7.5324588998579328E-2</v>
      </c>
      <c r="KI28" s="427">
        <f ca="1">IFERROR(Tbl_MeasureList[[#This Row],[ER (EE) High Measure Oil Annual Consumption Savings (MMBtu/yr)]]*Btu_per_MMBtu/OIL_BTU_PER_GAL,"-")</f>
        <v>824.45089454661991</v>
      </c>
      <c r="KJ28" s="428">
        <f ca="1">IFERROR(Tbl_MeasureList[[#This Row],[Current ER (EE) High Measure Oil Source Fuel Savings (gallons oil/year)]]+Tbl_MeasureList[[#This Row],[Current ER (EE) High Measure Oil Site Fuel Savings (gallons oil/year)]],"-")</f>
        <v>824.37556995762134</v>
      </c>
      <c r="KK28" s="427">
        <f ca="1">IFERROR(Tbl_MeasureList[[#This Row],[ER (EE) High Measure Electric Annual Consumption Savings (kWh/yr)]]*GAS_BTU_PER_SITE_KWH/Btu_per_MMBtu,"-")</f>
        <v>-0.33555473110834388</v>
      </c>
      <c r="KL28" s="429">
        <f ca="1">IFERROR(Tbl_MeasureList[[#This Row],[ER (EE) High Measure Electric Annual Consumption Savings (kWh/yr)]]*GAS_CUFT_PER_SITE_KWH/1000,"-")</f>
        <v>-0.32609789223357027</v>
      </c>
      <c r="KM28" s="430">
        <f ca="1">IFERROR(Tbl_MeasureList[[#This Row],[ER (EE) High Measure Natural Gas Annual Consumption Savings (therms/yr)]]*Btu_per_MMBtu/(GAS_BTU_PER_CUFT*Therm_per_MMBtu*1000),"-")</f>
        <v>-92.680681295074436</v>
      </c>
      <c r="KN28" s="431">
        <f ca="1">IFERROR(Tbl_MeasureList[[#This Row],[Current ER (EE) High Measure Gas Source Fuel Savings (1,000 cu.ft. gas/year)]]+Tbl_MeasureList[[#This Row],[Current ER (EE) High Measure Gas Site Fuel Savings (1,000 cu.ft gas/year)]],"-")</f>
        <v>-93.006779187308013</v>
      </c>
    </row>
    <row r="29" spans="2:300" x14ac:dyDescent="0.2">
      <c r="B29" s="16"/>
      <c r="C29" s="2" t="s">
        <v>103</v>
      </c>
      <c r="D29" s="12" t="str">
        <f>INDEX(Tbl_BaselineSummary[Equipment ID],MATCH(Tbl_MeasureList[[#This Row],[Baseline ID]],Tbl_BaselineSummary[Baseline ID],0))</f>
        <v>EQUI025</v>
      </c>
      <c r="E29" s="11" t="str">
        <f>INDEX(Tbl_EquipmentDefinitions[Equipment Name],MATCH('Measure List'!$D29,Tbl_EquipmentDefinitions[Equipment ID],0))</f>
        <v>Propane Boiler+Storage WH</v>
      </c>
      <c r="F29" s="3" t="s">
        <v>240</v>
      </c>
      <c r="G29" s="11" t="str">
        <f>INDEX(Tbl_EquipmentDefinitions[Function],MATCH('Measure List'!$D29,Tbl_EquipmentDefinitions[Equipment ID],0))</f>
        <v>Heat+HW</v>
      </c>
      <c r="H29" s="3" t="s">
        <v>111</v>
      </c>
      <c r="I29" s="3" t="s">
        <v>45</v>
      </c>
      <c r="J29" s="11" t="str">
        <f>INDEX(Tbl_EquipmentDefinitions[Equipment Name],MATCH('Measure List'!$I29,Tbl_EquipmentDefinitions[Equipment ID],0))</f>
        <v>Gas Combination Boiler</v>
      </c>
      <c r="K29" s="11">
        <f>INDEX(Tbl_EquipmentDefinitions[],MATCH(Tbl_MeasureList[[#This Row],[Replacement ID]],Tbl_EquipmentDefinitions[[Equipment ID]:[Equipment ID]],0),MATCH(Tbl_MeasureList[[#Headers],[New Unit Equipment Life (years)]],Tbl_EquipmentDefinitions[#Headers],0))</f>
        <v>19</v>
      </c>
      <c r="L29" s="11">
        <f>INDEX(Tbl_EquipmentDefinitions[],MATCH(Tbl_MeasureList[[#This Row],[Baseline Equipment ID]],Tbl_EquipmentDefinitions[[Equipment ID]:[Equipment ID]],0),MATCH(Tbl_MeasureList[[#Headers],[Remaining Life for Early Replacement (years)]],Tbl_EquipmentDefinitions[#Headers],0))</f>
        <v>10</v>
      </c>
      <c r="M29" s="12" t="str">
        <f>INDEX(Tbl_EquipmentDefinitions[Function],MATCH('Measure List'!$I29,Tbl_EquipmentDefinitions[Equipment ID],0))</f>
        <v>Heat+HW</v>
      </c>
      <c r="N29" s="368" t="s">
        <v>118</v>
      </c>
      <c r="O29" s="14" t="str">
        <f t="shared" si="0"/>
        <v>OK</v>
      </c>
      <c r="P29" s="12" t="str">
        <f ca="1">IFERROR(INDIRECT(Tbl_MeasureList[[#This Row],[Measure ID]]&amp;"!D5"),"No tab")</f>
        <v>3. Ready</v>
      </c>
      <c r="Q29" s="11"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Propane</v>
      </c>
      <c r="R29" s="12"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v>
      </c>
      <c r="S29" s="11"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Natural Gas</v>
      </c>
      <c r="T29" s="247"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v>
      </c>
      <c r="U29" s="248">
        <f>INDEX(Tbl_BaselineSummary[Baseline Annual Energy Cost (USD)],MATCH(Tbl_MeasureList[[#This Row],[Baseline ID]],Tbl_BaselineSummary[Baseline ID],0))</f>
        <v>4415.2967678297091</v>
      </c>
      <c r="V29" s="249">
        <f>INDEX(Tbl_BaselineSummary[Baseline Electric Annual Consumption  (kWh)],MATCH(Tbl_MeasureList[[#This Row],[Baseline ID]],Tbl_BaselineSummary[Baseline ID],0))</f>
        <v>197</v>
      </c>
      <c r="W29" s="249" t="str">
        <f>INDEX(Tbl_BaselineSummary[Baseline Electric Winter Consumption (kWh)],MATCH(Tbl_MeasureList[[#This Row],[Baseline ID]],Tbl_BaselineSummary[Baseline ID],0))</f>
        <v>n/a</v>
      </c>
      <c r="X29" s="249" t="str">
        <f>INDEX(Tbl_BaselineSummary[Baseline Electric Summer Consumption (kWh)],MATCH(Tbl_MeasureList[[#This Row],[Baseline ID]],Tbl_BaselineSummary[Baseline ID],0))</f>
        <v>n/a</v>
      </c>
      <c r="Y29" s="250">
        <f>INDEX(Tbl_BaselineSummary[Baseline Electric Baseline Winter Peak Demand (kW)],MATCH(Tbl_MeasureList[[#This Row],[Baseline ID]],Tbl_BaselineSummary[Baseline ID],0))</f>
        <v>3.0220517737296261E-2</v>
      </c>
      <c r="Z29" s="452">
        <f>INDEX(Tbl_BaselineSummary[Baseline Electric Baseline Summer Peak Demand (kW)],MATCH(Tbl_MeasureList[[#This Row],[Baseline ID]],Tbl_BaselineSummary[Baseline ID],0))</f>
        <v>0</v>
      </c>
      <c r="AA29" s="458">
        <f>INDEX(Tbl_BaselineSummary[Baseline Natural Gas Annual Consumption  (therms)],MATCH(Tbl_MeasureList[[#This Row],[Baseline ID]],Tbl_BaselineSummary[Baseline ID],0))</f>
        <v>0</v>
      </c>
      <c r="AB29" s="455">
        <f>INDEX(Tbl_BaselineSummary[Baseline Propane Annual Consumption  (MMBtu)],MATCH(Tbl_MeasureList[[#This Row],[Baseline ID]],Tbl_BaselineSummary[Baseline ID],0))</f>
        <v>121.74942528735633</v>
      </c>
      <c r="AC29" s="252">
        <f>INDEX(Tbl_BaselineSummary[Baseline Oil Annual Consumption  (MMBtu)],MATCH(Tbl_MeasureList[[#This Row],[Baseline ID]],Tbl_BaselineSummary[Baseline ID],0))</f>
        <v>0</v>
      </c>
      <c r="AD29" s="371">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122.42158928735633</v>
      </c>
      <c r="AE29" s="460">
        <f>(lbCO2_per_Therm_Gas*Tbl_MeasureList[[#This Row],[Baseline Natural Gas Annual Consumption (therms/yr)]]+lbCO2_per_MMBtu_Prop*Tbl_MeasureList[[#This Row],[Baseline Propane Annual Consumption (MMBtu/yr)]]+lbCO2_per_MMBtu_Oil*Tbl_MeasureList[[#This Row],[Baseline Oil Annual Consumption (MMBtu/yr)]])*Lbs_per_ShortTon</f>
        <v>8.4615850574712663</v>
      </c>
      <c r="AF29" s="463">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8.5311575774712658</v>
      </c>
      <c r="AG29" s="465">
        <f>INDEX(Tbl_BaselineSummary[Code Annual Energy Cost (USD)],MATCH(Tbl_MeasureList[[#This Row],[Baseline ID]],Tbl_BaselineSummary[Baseline ID],0))</f>
        <v>4170.7851995687824</v>
      </c>
      <c r="AH29" s="468">
        <f>INDEX(Tbl_BaselineSummary[Deferred Replacement Credit (USD)],MATCH(Tbl_MeasureList[[#This Row],[Baseline ID]],Tbl_BaselineSummary[Baseline ID],0))</f>
        <v>3550.2978893010736</v>
      </c>
      <c r="AI29" s="201">
        <f>INDEX(Tbl_BaselineSummary[A/C-only Deferred Replacement Credit (USD)],MATCH(Tbl_MeasureList[[#This Row],[Baseline ID]],Tbl_BaselineSummary[Baseline ID],0))</f>
        <v>0</v>
      </c>
      <c r="AJ29" s="468">
        <f>INDEX(Tbl_BaselineSummary[Code Installed Costs (USD)],MATCH(Tbl_MeasureList[[#This Row],[Baseline ID]],Tbl_BaselineSummary[Baseline ID],0))</f>
        <v>8248</v>
      </c>
      <c r="AK29" s="201">
        <f>INDEX(Tbl_BaselineSummary[Code A/C-only Installed Cost (USD)],MATCH(Tbl_MeasureList[[#This Row],[Baseline ID]],Tbl_BaselineSummary[Baseline ID],0))</f>
        <v>0</v>
      </c>
      <c r="AL29" s="86">
        <f>INDEX(Tbl_BaselineSummary[Code Electric Annual Consumption (kWh)],MATCH(Tbl_MeasureList[[#This Row],[Baseline ID]],Tbl_BaselineSummary[Baseline ID],0))</f>
        <v>197</v>
      </c>
      <c r="AM29" s="86" t="str">
        <f>INDEX(Tbl_BaselineSummary[Code Electric Winter Consumption (kWh)],MATCH(Tbl_MeasureList[[#This Row],[Baseline ID]],Tbl_BaselineSummary[Baseline ID],0))</f>
        <v>n/a</v>
      </c>
      <c r="AN29" s="86" t="str">
        <f>INDEX(Tbl_BaselineSummary[Code Electric Summer Consumption (kWh)],MATCH(Tbl_MeasureList[[#This Row],[Baseline ID]],Tbl_BaselineSummary[Baseline ID],0))</f>
        <v>n/a</v>
      </c>
      <c r="AO29" s="152">
        <f>INDEX(Tbl_BaselineSummary[Code Electric Winter Peak Demand (kW)],MATCH(Tbl_MeasureList[[#This Row],[Baseline ID]],Tbl_BaselineSummary[Baseline ID],0))</f>
        <v>3.0220517737296261E-2</v>
      </c>
      <c r="AP29" s="470">
        <f>INDEX(Tbl_BaselineSummary[Code Electric Summer Peak Demand (kW)],MATCH(Tbl_MeasureList[[#This Row],[Baseline ID]],Tbl_BaselineSummary[Baseline ID],0))</f>
        <v>0</v>
      </c>
      <c r="AQ29" s="467">
        <f>INDEX(Tbl_BaselineSummary[Code Natural Gas Annual Consumption (therms)],MATCH(Tbl_MeasureList[[#This Row],[Baseline ID]],Tbl_BaselineSummary[Baseline ID],0))</f>
        <v>0</v>
      </c>
      <c r="AR29" s="472">
        <f>INDEX(Tbl_BaselineSummary[Code Propane Annual Consumption (MMBtu)],MATCH(Tbl_MeasureList[[#This Row],[Baseline ID]],Tbl_BaselineSummary[Baseline ID],0))</f>
        <v>114.94711792702273</v>
      </c>
      <c r="AS29" s="467">
        <f>INDEX(Tbl_BaselineSummary[Code Oil Annual Consumption (MMBtu)],MATCH(Tbl_MeasureList[[#This Row],[Baseline ID]],Tbl_BaselineSummary[Baseline ID],0))</f>
        <v>0</v>
      </c>
      <c r="AT29" s="204">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115.61928192702273</v>
      </c>
      <c r="AU29" s="467">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7.9888246959280798</v>
      </c>
      <c r="AV29" s="474">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8.0583972159280801</v>
      </c>
      <c r="AW29" s="248">
        <f ca="1">INDIRECT(Tbl_MeasureList[[#This Row],[Measure ID]]&amp;"!L26")</f>
        <v>1642.2317555555555</v>
      </c>
      <c r="AX29" s="477">
        <f ca="1">INDIRECT(Tbl_MeasureList[[#This Row],[Measure ID]]&amp;"!M26")</f>
        <v>16130</v>
      </c>
      <c r="AY29" s="481">
        <f ca="1">INDIRECT(Tbl_MeasureList[[#This Row],[Measure ID]]&amp;"!D26")</f>
        <v>329</v>
      </c>
      <c r="AZ29" s="481" t="str">
        <f ca="1">INDIRECT(Tbl_MeasureList[[#This Row],[Measure ID]]&amp;"!J26")</f>
        <v>n/a</v>
      </c>
      <c r="BA29" s="481" t="str">
        <f ca="1">INDIRECT(Tbl_MeasureList[[#This Row],[Measure ID]]&amp;"!I26")</f>
        <v>n/a</v>
      </c>
      <c r="BB29" s="479">
        <f ca="1">INDIRECT(Tbl_MeasureList[[#This Row],[Measure ID]]&amp;"!E26")</f>
        <v>5.0469798657718119E-2</v>
      </c>
      <c r="BC29" s="268">
        <f ca="1">INDIRECT(Tbl_MeasureList[[#This Row],[Measure ID]]&amp;"!H26")</f>
        <v>0</v>
      </c>
      <c r="BD29" s="253">
        <f ca="1">INDIRECT(Tbl_MeasureList[[#This Row],[Measure ID]]&amp;"!D32")</f>
        <v>977.77777777777771</v>
      </c>
      <c r="BE29" s="270">
        <f ca="1">INDIRECT(Tbl_MeasureList[[#This Row],[Measure ID]]&amp;"!D38")</f>
        <v>0</v>
      </c>
      <c r="BF29" s="253">
        <f ca="1">INDIRECT(Tbl_MeasureList[[#This Row],[Measure ID]]&amp;"!D44")</f>
        <v>0</v>
      </c>
      <c r="BG29" s="460">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98.900325777777766</v>
      </c>
      <c r="BH29" s="371">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5.7199999999999989</v>
      </c>
      <c r="BI29" s="272">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5.8361896399999988</v>
      </c>
      <c r="BJ29" s="273">
        <f ca="1">INDIRECT(Tbl_MeasureList[[#This Row],[Measure ID]]&amp;"!L27")</f>
        <v>1642.2317555555555</v>
      </c>
      <c r="BK29" s="201">
        <f ca="1">INDIRECT(Tbl_MeasureList[[#This Row],[Measure ID]]&amp;"!M27")</f>
        <v>16130</v>
      </c>
      <c r="BL29" s="85">
        <f ca="1">INDIRECT(Tbl_MeasureList[[#This Row],[Measure ID]]&amp;"!D27")</f>
        <v>329</v>
      </c>
      <c r="BM29" s="85" t="str">
        <f ca="1">INDIRECT(Tbl_MeasureList[[#This Row],[Measure ID]]&amp;"!J27")</f>
        <v>n/a</v>
      </c>
      <c r="BN29" s="85" t="str">
        <f ca="1">INDIRECT(Tbl_MeasureList[[#This Row],[Measure ID]]&amp;"!I27")</f>
        <v>n/a</v>
      </c>
      <c r="BO29" s="152">
        <f ca="1">INDIRECT(Tbl_MeasureList[[#This Row],[Measure ID]]&amp;"!E27")</f>
        <v>5.0469798657718119E-2</v>
      </c>
      <c r="BP29" s="470">
        <f ca="1">INDIRECT(Tbl_MeasureList[[#This Row],[Measure ID]]&amp;"!H27")</f>
        <v>0</v>
      </c>
      <c r="BQ29" s="467">
        <f ca="1">INDIRECT(Tbl_MeasureList[[#This Row],[Measure ID]]&amp;"!D33")</f>
        <v>977.77777777777771</v>
      </c>
      <c r="BR29" s="472">
        <f ca="1">INDIRECT(Tbl_MeasureList[[#This Row],[Measure ID]]&amp;"!D39")</f>
        <v>0</v>
      </c>
      <c r="BS29" s="467">
        <f ca="1">INDIRECT(Tbl_MeasureList[[#This Row],[Measure ID]]&amp;"!D45")</f>
        <v>0</v>
      </c>
      <c r="BT29" s="204">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98.900325777777766</v>
      </c>
      <c r="BU29" s="467">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5.7199999999999989</v>
      </c>
      <c r="BV29" s="260">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5.8361896399999988</v>
      </c>
      <c r="BW29" s="24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1555.860968421053</v>
      </c>
      <c r="BX29" s="26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16130</v>
      </c>
      <c r="BY29"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312</v>
      </c>
      <c r="BZ29"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n/a</v>
      </c>
      <c r="CA29"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n/a</v>
      </c>
      <c r="CB29"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4.7861936720997124E-2</v>
      </c>
      <c r="CC29"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0</v>
      </c>
      <c r="CD29"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926.31578947368428</v>
      </c>
      <c r="CE29"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0</v>
      </c>
      <c r="CF29"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0</v>
      </c>
      <c r="CG29" s="460">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93.696122947368423</v>
      </c>
      <c r="CH29" s="37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5.418947368421053</v>
      </c>
      <c r="CI29" s="26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5.5291332884210522</v>
      </c>
      <c r="CJ29" s="320">
        <f ca="1">-Tbl_MeasureList[[#This Row],[Low Measure Energy Cost (USD/yr)]]+Tbl_MeasureList[[#This Row],[Baseline Energy Cost (USD/yr)]]</f>
        <v>2773.0650122741536</v>
      </c>
      <c r="CK29"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12579.702110698927</v>
      </c>
      <c r="CL29" s="249">
        <f ca="1">-Tbl_MeasureList[[#This Row],[Low Measure Electric Annual Consumption (kWh/yr)]]+Tbl_MeasureList[[#This Row],[Baseline Electric Annual Consumption (kWh/yr)]]</f>
        <v>-132</v>
      </c>
      <c r="CM29" s="249" t="str">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v>
      </c>
      <c r="CN29" s="249" t="str">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v>
      </c>
      <c r="CO29" s="268">
        <f ca="1">-Tbl_MeasureList[[#This Row],[Low Measure Electric Winter Peak Demand (kW)]]+Tbl_MeasureList[[#This Row],[Baseline Electric Winter Peak Demand (kW)]]</f>
        <v>-2.0249280920421858E-2</v>
      </c>
      <c r="CP29" s="479">
        <f ca="1">-Tbl_MeasureList[[#This Row],[Low Measure Electric Summer Peak Demand (kW)]]+Tbl_MeasureList[[#This Row],[Baseline Electric Summer Peak Demand (kW)]]</f>
        <v>0</v>
      </c>
      <c r="CQ29" s="481">
        <f ca="1">-Tbl_MeasureList[[#This Row],[Low Measure Natural Gas Annual Consumption (therms/yr)]]+Tbl_MeasureList[[#This Row],[Baseline Natural Gas Annual Consumption (therms/yr)]]</f>
        <v>-977.77777777777771</v>
      </c>
      <c r="CR29" s="490">
        <f ca="1">-Tbl_MeasureList[[#This Row],[Low Measure Propane Annual Consumption (MMBtu/yr)]]+Tbl_MeasureList[[#This Row],[Baseline Propane Annual Consumption (MMBtu/yr)]]</f>
        <v>121.74942528735633</v>
      </c>
      <c r="CS29" s="252">
        <f ca="1">-Tbl_MeasureList[[#This Row],[Low Measure Oil Annual Consumption (MMBtu/yr)]]+Tbl_MeasureList[[#This Row],[Baseline Oil Annual Consumption (MMBtu/yr)]]</f>
        <v>0</v>
      </c>
      <c r="CT29"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23.52126350957856</v>
      </c>
      <c r="CU29" s="487">
        <f ca="1">-Tbl_MeasureList[[#This Row],[Low Measure Carbon Emissions, Site (tons CO2/yr)]]+Tbl_MeasureList[[#This Row],[Baseline Carbon Emissions, Site (tons CO2/yr)]]</f>
        <v>2.7415850574712675</v>
      </c>
      <c r="CV29" s="491">
        <f ca="1">-Tbl_MeasureList[[#This Row],[Low Measure Carbon Emissions, Source (tons CO2/yr)]]+Tbl_MeasureList[[#This Row],[Baseline Carbon Emissions, Source (tons CO2/yr)]]</f>
        <v>2.6949679374712669</v>
      </c>
      <c r="CW29"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2859.4357994086558</v>
      </c>
      <c r="CX29"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12579.702110698927</v>
      </c>
      <c r="CY29"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-115</v>
      </c>
      <c r="CZ29"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v>
      </c>
      <c r="DA29"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v>
      </c>
      <c r="DB29"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-1.7641418983700863E-2</v>
      </c>
      <c r="DC29"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0</v>
      </c>
      <c r="DD29"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-926.31578947368428</v>
      </c>
      <c r="DE29"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121.74942528735633</v>
      </c>
      <c r="DF29"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0</v>
      </c>
      <c r="DG29" s="270">
        <f ca="1">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28.725466339987904</v>
      </c>
      <c r="DH29"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3.0426376890502134</v>
      </c>
      <c r="DI29"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3.0020242890502136</v>
      </c>
      <c r="DJ29" s="320">
        <f ca="1">-Tbl_MeasureList[[#This Row],[Low Measure Energy Cost (USD/yr)]]+Tbl_MeasureList[[#This Row],[Code (old fuel) Energy Cost (USD/yr)]]</f>
        <v>2528.5534440132269</v>
      </c>
      <c r="DK29" s="267">
        <f ca="1">Tbl_MeasureList[[#This Row],[Low Measure Installed Costs (USD)]]-Tbl_MeasureList[[#This Row],[Code (old fuel) Installed Costs (USD)]]</f>
        <v>7882</v>
      </c>
      <c r="DL29" s="249">
        <f ca="1">-Tbl_MeasureList[[#This Row],[Low Measure Electric Annual Consumption (kWh/yr)]]+Tbl_MeasureList[[#This Row],[Code (old fuel) Electric Annual Consumption (kWh/yr)]]</f>
        <v>-132</v>
      </c>
      <c r="DM29" s="249" t="str">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v>
      </c>
      <c r="DN29" s="249" t="str">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v>
      </c>
      <c r="DO29" s="268">
        <f ca="1">-Tbl_MeasureList[[#This Row],[Low Measure Electric Winter Peak Demand (kW)]]+Tbl_MeasureList[[#This Row],[Code (old fuel) Electric Winter Peak Demand (kW)]]</f>
        <v>-2.0249280920421858E-2</v>
      </c>
      <c r="DP29" s="479">
        <f ca="1">-Tbl_MeasureList[[#This Row],[Low Measure Electric Summer Peak Demand (kW)]]+Tbl_MeasureList[[#This Row],[Code (old fuel) Electric Summer Peak Demand (kW)]]</f>
        <v>0</v>
      </c>
      <c r="DQ29" s="481">
        <f ca="1">-Tbl_MeasureList[[#This Row],[Low Measure Natural Gas Annual Consumption (therms/yr)]]+Tbl_MeasureList[[#This Row],[Code (old fuel) Natural Gas Annual Consumption (therms/yr)]]</f>
        <v>-977.77777777777771</v>
      </c>
      <c r="DR29" s="490">
        <f ca="1">-Tbl_MeasureList[[#This Row],[Low Measure Propane Annual Consumption (MMBtu/yr)]]+Tbl_MeasureList[[#This Row],[Code (old fuel) Propane Annual Consumption (MMBtu/yr)]]</f>
        <v>114.94711792702273</v>
      </c>
      <c r="DS29" s="252">
        <f ca="1">-Tbl_MeasureList[[#This Row],[Low Measure Oil Annual Consumption (MMBtu/yr)]]+Tbl_MeasureList[[#This Row],[Code (old fuel) Oil Annual Consumption (MMBtu/yr)]]</f>
        <v>0</v>
      </c>
      <c r="DT29"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16.71895614924496</v>
      </c>
      <c r="DU29" s="487">
        <f ca="1">-Tbl_MeasureList[[#This Row],[Low Measure Carbon Emissions, Site (tons CO2/yr)]]+Tbl_MeasureList[[#This Row],[Code (old fuel) Carbon Emissions, Site (tons CO2/yr)]]</f>
        <v>2.2688246959280809</v>
      </c>
      <c r="DV29" s="491">
        <f ca="1">-Tbl_MeasureList[[#This Row],[Low Measure Carbon Emissions, Source (tons CO2/yr)]]+Tbl_MeasureList[[#This Row],[Code (old fuel) Carbon Emissions, Source (tons CO2/yr)]]</f>
        <v>2.2222075759280813</v>
      </c>
      <c r="DW29"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(old fuel) Energy Cost (USD/yr)]],
        "-")</f>
        <v>2614.9242311477292</v>
      </c>
      <c r="DX29"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7882</v>
      </c>
      <c r="DY29"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-115</v>
      </c>
      <c r="DZ29"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v>
      </c>
      <c r="EA29"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v>
      </c>
      <c r="EB29"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-1.7641418983700863E-2</v>
      </c>
      <c r="EC29"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0</v>
      </c>
      <c r="ED29"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-926.31578947368428</v>
      </c>
      <c r="EE29"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114.94711792702273</v>
      </c>
      <c r="EF29"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0</v>
      </c>
      <c r="EG29" s="270">
        <f ca="1">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21.923158979654303</v>
      </c>
      <c r="EH29"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2.5698773275070268</v>
      </c>
      <c r="EI29"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2.5292639275070279</v>
      </c>
      <c r="EJ29" s="477">
        <f ca="1">Tbl_MeasureList[[#This Row],[Code (old fuel) Energy Cost (USD/yr)]]-Tbl_MeasureList[[#This Row],[Code (new fuel) Energy Cost (USD/yr)]]</f>
        <v>2528.5534440132269</v>
      </c>
      <c r="EK29" s="496">
        <f ca="1">Tbl_MeasureList[[#This Row],[Code (old fuel) Electric Annual Consumption (kWh/yr)]]-Tbl_MeasureList[[#This Row],[Code (new fuel) Electric Annual Consumption (kWh/yr)]]</f>
        <v>-132</v>
      </c>
      <c r="EL29" s="496" t="str">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v>
      </c>
      <c r="EM29" s="496" t="str">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v>
      </c>
      <c r="EN29" s="500">
        <f ca="1">Tbl_MeasureList[[#This Row],[Code (old fuel) Electric Winter Peak Demand (kW)]]-Tbl_MeasureList[[#This Row],[Code (new fuel) Electric Winter Peak Demand (kW)]]</f>
        <v>-2.0249280920421858E-2</v>
      </c>
      <c r="EO29" s="493">
        <f ca="1">Tbl_MeasureList[[#This Row],[Code (old fuel) Electric Summer Peak Demand (kW)]]-Tbl_MeasureList[[#This Row],[Code (new fuel) Electric Summer Peak Demand (kW)]]</f>
        <v>0</v>
      </c>
      <c r="EP29" s="502">
        <f ca="1">Tbl_MeasureList[[#This Row],[Code (old fuel) Natural Gas Annual Consumption (therms/yr)]]-Tbl_MeasureList[[#This Row],[Code (new fuel) Natural Gas Annual Consumption (therms/yr)]]</f>
        <v>-977.77777777777771</v>
      </c>
      <c r="EQ29" s="215">
        <f ca="1">Tbl_MeasureList[[#This Row],[Code (old fuel) Propane Annual Consumption (MMBtu/yr)]]-Tbl_MeasureList[[#This Row],[Code (new fuel) Propane Annual Consumption (MMBtu/yr)]]</f>
        <v>114.94711792702273</v>
      </c>
      <c r="ER29" s="502">
        <f ca="1">Tbl_MeasureList[[#This Row],[Code (old fuel) Oil Annual Consumption (MMBtu/yr)]]-Tbl_MeasureList[[#This Row],[Code (new fuel) Oil Annual Consumption (MMBtu/yr)]]</f>
        <v>0</v>
      </c>
      <c r="ES29" s="215">
        <f ca="1">Tbl_MeasureList[[#This Row],[Code (old fuel) Energy Consumption on MMBtu Basis (MMBtu/yr)]]-Tbl_MeasureList[[#This Row],[Code (new fuel) Energy Consumption on MMBtu Basis (MMBtu/yr)]]</f>
        <v>16.71895614924496</v>
      </c>
      <c r="ET29" s="502">
        <f ca="1">Tbl_MeasureList[[#This Row],[Code (old fuel) Carbon Emissions, Site (tons CO2/yr)]]-Tbl_MeasureList[[#This Row],[Code (new fuel) Carbon Emissions, Site (tons CO2/yr)]]</f>
        <v>2.2688246959280809</v>
      </c>
      <c r="EU29" s="498">
        <f ca="1">Tbl_MeasureList[[#This Row],[Code (old fuel) Carbon Emissions, Source (tons CO2/yr)]]-Tbl_MeasureList[[#This Row],[Code (new fuel) Carbon Emissions, Source (tons CO2/yr)]]</f>
        <v>2.2222075759280813</v>
      </c>
      <c r="EV29" s="450">
        <f ca="1">Tbl_MeasureList[[#This Row],[ER Total Low Measure Electric Annual Consumption Savings (kWh/yr)]]*COAL_BTU_PER_SITE_KWH/Btu_per_MMBtu</f>
        <v>-1.4529616741595279E-2</v>
      </c>
      <c r="EW29" s="411">
        <f ca="1">Tbl_MeasureList[[#This Row],[ER Total Low Measure Electric Annual Consumption Savings (kWh/yr)]]*COAL_LBS_PER_SITE_KWH</f>
        <v>-1.274527784350463</v>
      </c>
      <c r="EX29" s="326">
        <f ca="1">Tbl_MeasureList[[#This Row],[ER Total Low Measure Electric Annual Consumption Savings (kWh/yr)]]*OIL_BTU_PER_SITE_KWH/Btu_per_MMBtu</f>
        <v>-1.6726412886365751E-2</v>
      </c>
      <c r="EY29" s="325">
        <f ca="1">Tbl_MeasureList[[#This Row],[ER Total Low Measure Electric Annual Consumption Savings (kWh/yr)]]*OIL_GAL_PER_SITE_KWH</f>
        <v>-0.12125421643673746</v>
      </c>
      <c r="EZ29" s="326">
        <f ca="1">Tbl_MeasureList[[#This Row],[ER Total Low Measure Oil Annual Consumption Savings (MMBtu/yr)]]*Btu_per_MMBtu/OIL_BTU_PER_GAL</f>
        <v>0</v>
      </c>
      <c r="FA29" s="325">
        <f ca="1">Tbl_MeasureList[[#This Row],[Current ER Total Low Measure Oil Source Fuel Savings (gallons oil/year)]]+Tbl_MeasureList[[#This Row],[Current ER Total Low Measure Oil Site Fuel Savings (gallons oil/year)]]</f>
        <v>-0.12125421643673746</v>
      </c>
      <c r="FB29" s="326">
        <f ca="1">Tbl_MeasureList[[#This Row],[ER Total Low Measure Electric Annual Consumption Savings (kWh/yr)]]*GAS_BTU_PER_SITE_KWH/Btu_per_MMBtu</f>
        <v>-0.54016127446709017</v>
      </c>
      <c r="FC29" s="327">
        <f ca="1">Tbl_MeasureList[[#This Row],[ER Total Low Measure Electric Annual Consumption Savings (kWh/yr)]]*GAS_CUFT_PER_SITE_KWH/1000</f>
        <v>-0.5249380704247717</v>
      </c>
      <c r="FD29" s="328">
        <f ca="1">Tbl_MeasureList[[#This Row],[ER Total Low Measure Natural Gas Annual Consumption Savings (therms/yr)]]*Btu_per_MMBtu/(GAS_BTU_PER_CUFT*Therm_per_MMBtu*1000)</f>
        <v>-95.022135838462361</v>
      </c>
      <c r="FE29" s="329">
        <f ca="1">Tbl_MeasureList[[#This Row],[Current ER Total Low Measure Gas Source Fuel Savings (1,000 cu.ft. gas/year)]]+Tbl_MeasureList[[#This Row],[Current ER Total Low Measure Gas Site Fuel Savings (1,000 cu.ft gas/year)]]</f>
        <v>-95.547073908887128</v>
      </c>
      <c r="FF29" s="324">
        <f ca="1">IFERROR(Tbl_MeasureList[[#This Row],[ER Total High Measure Electric Annual Consumption Savings (kWh/yr)]]*COAL_BTU_PER_SITE_KWH/Btu_per_MMBtu,"-")</f>
        <v>-1.2658378221844372E-2</v>
      </c>
      <c r="FG29" s="325">
        <f ca="1">IFERROR(Tbl_MeasureList[[#This Row],[ER Total High Measure Electric Annual Consumption Savings (kWh/yr)]]*COAL_LBS_PER_SITE_KWH,"-")</f>
        <v>-1.1103840545477519</v>
      </c>
      <c r="FH29" s="326">
        <f ca="1">IFERROR(Tbl_MeasureList[[#This Row],[ER Total High Measure Electric Annual Consumption Savings (kWh/yr)]]*OIL_BTU_PER_SITE_KWH/Btu_per_MMBtu,"-")</f>
        <v>-1.4572253651000464E-2</v>
      </c>
      <c r="FI29" s="325">
        <f ca="1">IFERROR(Tbl_MeasureList[[#This Row],[ER Total High Measure Electric Annual Consumption Savings (kWh/yr)]]*OIL_GAL_PER_SITE_KWH,"-")</f>
        <v>-0.1056381431077637</v>
      </c>
      <c r="FJ29" s="326">
        <f ca="1">IFERROR(Tbl_MeasureList[[#This Row],[ER Total High Measure Oil Annual Consumption Savings (MMBtu/yr)]]*Btu_per_MMBtu/OIL_BTU_PER_GAL,"-")</f>
        <v>0</v>
      </c>
      <c r="FK29" s="325">
        <f ca="1">IFERROR(Tbl_MeasureList[[#This Row],[Current ER Total High Measure Oil Source Fuel Savings (gallons oil/year)]]+Tbl_MeasureList[[#This Row],[Current ER Total High Measure Oil Site Fuel Savings (gallons oil/year)]],"-")</f>
        <v>-0.1056381431077637</v>
      </c>
      <c r="FL29" s="326">
        <f ca="1">IFERROR(Tbl_MeasureList[[#This Row],[ER Total High Measure Electric Annual Consumption Savings (kWh/yr)]]*GAS_BTU_PER_SITE_KWH/Btu_per_MMBtu,"-")</f>
        <v>-0.4705950497251164</v>
      </c>
      <c r="FM29" s="327">
        <f ca="1">IFERROR(Tbl_MeasureList[[#This Row],[ER Total High Measure Electric Annual Consumption Savings (kWh/yr)]]*GAS_CUFT_PER_SITE_KWH/1000,"-")</f>
        <v>-0.45733240983976325</v>
      </c>
      <c r="FN29" s="328">
        <f ca="1">IFERROR(Tbl_MeasureList[[#This Row],[ER Total High Measure Natural Gas Annual Consumption Savings (therms/yr)]]*Btu_per_MMBtu/(GAS_BTU_PER_CUFT*Therm_per_MMBtu*1000),"-")</f>
        <v>-90.020970794332783</v>
      </c>
      <c r="FO29" s="329">
        <f ca="1">IFERROR(Tbl_MeasureList[[#This Row],[Current ER Total High Measure Gas Source Fuel Savings (1,000 cu.ft. gas/year)]]+Tbl_MeasureList[[#This Row],[Current ER Total High Measure Gas Site Fuel Savings (1,000 cu.ft gas/year)]],"-")</f>
        <v>-90.478303204172548</v>
      </c>
      <c r="FP29" s="412">
        <f ca="1">Tbl_MeasureList[[#This Row],[ROF Low Measure Electric Annual Consumption Savings (kWh/yr)]]*COAL_BTU_PER_SITE_KWH/Btu_per_MMBtu</f>
        <v>-1.4529616741595279E-2</v>
      </c>
      <c r="FQ29" s="327">
        <f ca="1">Tbl_MeasureList[[#This Row],[ROF Low Measure Electric Annual Consumption Savings (kWh/yr)]]*COAL_LBS_PER_SITE_KWH</f>
        <v>-1.274527784350463</v>
      </c>
      <c r="FR29" s="412">
        <f ca="1">Tbl_MeasureList[[#This Row],[ROF Low Measure Electric Annual Consumption Savings (kWh/yr)]]*OIL_BTU_PER_SITE_KWH/Btu_per_MMBtu</f>
        <v>-1.6726412886365751E-2</v>
      </c>
      <c r="FS29" s="327">
        <f ca="1">Tbl_MeasureList[[#This Row],[ROF Low Measure Electric Annual Consumption Savings (kWh/yr)]]*OIL_GAL_PER_SITE_KWH</f>
        <v>-0.12125421643673746</v>
      </c>
      <c r="FT29" s="412">
        <f ca="1">Tbl_MeasureList[[#This Row],[ROF Low Measure Oil Annual Consumption Savings (MMBtu/yr)]]*Btu_per_MMBtu/OIL_BTU_PER_GAL</f>
        <v>0</v>
      </c>
      <c r="FU29" s="327">
        <f ca="1">Tbl_MeasureList[[#This Row],[Current ROF Low Measure Oil Source Fuel Savings (gallons oil/year)]]+Tbl_MeasureList[[#This Row],[Current ROF Low Measure Oil Site Fuel Savings (gallons oil/year)]]</f>
        <v>-0.12125421643673746</v>
      </c>
      <c r="FV29" s="412">
        <f ca="1">Tbl_MeasureList[[#This Row],[ROF Low Measure Electric Annual Consumption Savings (kWh/yr)]]*GAS_BTU_PER_SITE_KWH/Btu_per_MMBtu</f>
        <v>-0.54016127446709017</v>
      </c>
      <c r="FW29" s="327">
        <f ca="1">Tbl_MeasureList[[#This Row],[ROF Low Measure Electric Annual Consumption Savings (kWh/yr)]]*GAS_CUFT_PER_SITE_KWH/1000</f>
        <v>-0.5249380704247717</v>
      </c>
      <c r="FX29" s="412">
        <f ca="1">Tbl_MeasureList[[#This Row],[ROF Low Measure Natural Gas Annual Consumption Savings (therms/yr)]]*Btu_per_MMBtu/(GAS_BTU_PER_CUFT*Therm_per_MMBtu*1000)</f>
        <v>-95.022135838462361</v>
      </c>
      <c r="FY29" s="327">
        <f ca="1">Tbl_MeasureList[[#This Row],[Current ROF Low Measure Gas Source Fuel Savings (1,000 cu.ft. gas/year)]]+Tbl_MeasureList[[#This Row],[Current ROF Low Measure Gas Site Fuel Savings (1,000 cu.ft gas/year)]]</f>
        <v>-95.547073908887128</v>
      </c>
      <c r="FZ29" s="414">
        <f ca="1">IFERROR(Tbl_MeasureList[[#This Row],[ROF High Measure Electric Annual Consumption Savings (kWh/yr)]]*COAL_BTU_PER_SITE_KWH/Btu_per_MMBtu,"-")</f>
        <v>-1.2658378221844372E-2</v>
      </c>
      <c r="GA29" s="327">
        <f ca="1">IFERROR(Tbl_MeasureList[[#This Row],[ROF High Measure Electric Annual Consumption Savings (kWh/yr)]]*COAL_LBS_PER_SITE_KWH,"-")</f>
        <v>-1.1103840545477519</v>
      </c>
      <c r="GB29" s="412">
        <f ca="1">IFERROR(Tbl_MeasureList[[#This Row],[ROF High Measure Electric Annual Consumption Savings (kWh/yr)]]*OIL_BTU_PER_SITE_KWH/Btu_per_MMBtu,"-")</f>
        <v>-1.4572253651000464E-2</v>
      </c>
      <c r="GC29" s="327">
        <f ca="1">IFERROR(Tbl_MeasureList[[#This Row],[ROF High Measure Electric Annual Consumption Savings (kWh/yr)]]*OIL_GAL_PER_SITE_KWH,"-")</f>
        <v>-0.1056381431077637</v>
      </c>
      <c r="GD29" s="412">
        <f ca="1">IFERROR(Tbl_MeasureList[[#This Row],[ROF High Measure Oil Annual Consumption Savings (MMBtu/yr)]]*Btu_per_MMBtu/OIL_BTU_PER_GAL,"-")</f>
        <v>0</v>
      </c>
      <c r="GE29" s="327">
        <f ca="1">IFERROR(Tbl_MeasureList[[#This Row],[Current ROF High Measure Oil Source Fuel Savings (gallons oil/year)]]+Tbl_MeasureList[[#This Row],[Current ROF High Measure Oil Site Fuel Savings (gallons oil/year)]],"-")</f>
        <v>-0.1056381431077637</v>
      </c>
      <c r="GF29" s="412">
        <f ca="1">IFERROR(Tbl_MeasureList[[#This Row],[ROF High Measure Electric Annual Consumption Savings (kWh/yr)]]*GAS_BTU_PER_SITE_KWH/Btu_per_MMBtu,"-")</f>
        <v>-0.4705950497251164</v>
      </c>
      <c r="GG29" s="327">
        <f ca="1">IFERROR(Tbl_MeasureList[[#This Row],[ROF High Measure Electric Annual Consumption Savings (kWh/yr)]]*GAS_CUFT_PER_SITE_KWH/1000,"-")</f>
        <v>-0.45733240983976325</v>
      </c>
      <c r="GH29" s="412">
        <f ca="1">IFERROR(Tbl_MeasureList[[#This Row],[ROF High Measure Natural Gas Annual Consumption Savings (therms/yr)]]*Btu_per_MMBtu/(GAS_BTU_PER_CUFT*Therm_per_MMBtu*1000),"-")</f>
        <v>-90.020970794332783</v>
      </c>
      <c r="GI29" s="327">
        <f ca="1">IFERROR(Tbl_MeasureList[[#This Row],[Current ROF High Measure Gas Source Fuel Savings (1,000 cu.ft. gas/year)]]+Tbl_MeasureList[[#This Row],[Current ROF High Measure Gas Site Fuel Savings (1,000 cu.ft gas/year)]],"-")</f>
        <v>-90.478303204172548</v>
      </c>
      <c r="GJ29" s="324">
        <f ca="1">Tbl_MeasureList[[#This Row],[ER Total Low Measure Electric Annual Consumption Savings (kWh/yr)]]*COAL_BTU_PER_SITE_KWH_CES/Btu_per_MMBtu</f>
        <v>-2.4700348460711972E-2</v>
      </c>
      <c r="GK29" s="325">
        <f ca="1">Tbl_MeasureList[[#This Row],[ER Total Low Measure Electric Annual Consumption Savings (kWh/yr)]]*COAL_LBS_PER_SITE_KWH_CES</f>
        <v>-2.2430392717682506</v>
      </c>
      <c r="GL29" s="326">
        <f ca="1">Tbl_MeasureList[[#This Row],[ER Total Low Measure Electric Annual Consumption Savings (kWh/yr)]]*OIL_BTU_PER_SITE_KWH_CES/Btu_per_MMBtu</f>
        <v>-7.602914948348069E-3</v>
      </c>
      <c r="GM29" s="325">
        <f ca="1">Tbl_MeasureList[[#This Row],[ER Total Low Measure Electric Annual Consumption Savings (kWh/yr)]]*OIL_GAL_PER_SITE_KWH_CES</f>
        <v>-5.1293413673548609E-2</v>
      </c>
      <c r="GN29" s="326">
        <f ca="1">Tbl_MeasureList[[#This Row],[ER Total Low Measure Oil Annual Consumption Savings (MMBtu/yr)]]*Btu_per_MMBtu/OIL_BTU_PER_GAL_CES</f>
        <v>0</v>
      </c>
      <c r="GO29" s="325">
        <f ca="1">Tbl_MeasureList[[#This Row],[CES ER Low Measure Oil Source Fuel Savings (gallons oil/year)]]+Tbl_MeasureList[[#This Row],[CES ER Low Measure Oil Site Fuel Savings (gallons oil/year)]]</f>
        <v>-5.1293413673548609E-2</v>
      </c>
      <c r="GP29" s="326">
        <f ca="1">Tbl_MeasureList[[#This Row],[ER Total Low Measure Electric Annual Consumption Savings (kWh/yr)]]*GAS_BTU_PER_SITE_KWH_CES/Btu_per_MMBtu</f>
        <v>-0.22488346936997225</v>
      </c>
      <c r="GQ29" s="327">
        <f ca="1">Tbl_MeasureList[[#This Row],[ER Total Low Measure Electric Annual Consumption Savings (kWh/yr)]]*GAS_CUFT_PER_SITE_KWH_CES/1000</f>
        <v>-0.21833346540774004</v>
      </c>
      <c r="GR29" s="328">
        <f ca="1">Tbl_MeasureList[[#This Row],[ER Total Low Measure Natural Gas Annual Consumption Savings (therms/yr)]]*Btu_per_MMBtu/(GAS_BTU_PER_CUFT_CES*Therm_per_MMBtu*1000)</f>
        <v>-94.929881337648311</v>
      </c>
      <c r="GS29" s="329">
        <f ca="1">Tbl_MeasureList[[#This Row],[CES ER Low Measure Gas Source Fuel Savings (1,000 cu.ft. gas/year)]]+Tbl_MeasureList[[#This Row],[CES ER Low Measure Gas Site Fuel Savings (1,000 cu.ft gas/year)]]</f>
        <v>-95.14821480305605</v>
      </c>
      <c r="GT29" s="324">
        <f ca="1">IFERROR(Tbl_MeasureList[[#This Row],[ER Total High Measure Electric Annual Consumption Savings (kWh/yr)]]*COAL_BTU_PER_SITE_KWH_CES/Btu_per_MMBtu,"-")</f>
        <v>-2.1519242977135429E-2</v>
      </c>
      <c r="GU29" s="325">
        <f ca="1">IFERROR(Tbl_MeasureList[[#This Row],[ER Total High Measure Electric Annual Consumption Savings (kWh/yr)]]*COAL_LBS_PER_SITE_KWH_CES,"-")</f>
        <v>-1.954163001919309</v>
      </c>
      <c r="GV29" s="326">
        <f ca="1">IFERROR(Tbl_MeasureList[[#This Row],[ER Total High Measure Electric Annual Consumption Savings (kWh/yr)]]*OIL_BTU_PER_SITE_KWH_CES/Btu_per_MMBtu,"-")</f>
        <v>-6.6237516595456652E-3</v>
      </c>
      <c r="GW29" s="325">
        <f ca="1">IFERROR(Tbl_MeasureList[[#This Row],[ER Total High Measure Electric Annual Consumption Savings (kWh/yr)]]*OIL_GAL_PER_SITE_KWH_CES,"-")</f>
        <v>-4.4687443730743105E-2</v>
      </c>
      <c r="GX29" s="326">
        <f ca="1">IFERROR(Tbl_MeasureList[[#This Row],[ER Total High Measure Oil Annual Consumption Savings (MMBtu/yr)]]*Btu_per_MMBtu/OIL_BTU_PER_GAL_CES,"-")</f>
        <v>0</v>
      </c>
      <c r="GY29" s="325">
        <f ca="1">IFERROR(Tbl_MeasureList[[#This Row],[CES ER High Measure Oil Source Fuel Savings (gallons oil/year)]]+Tbl_MeasureList[[#This Row],[CES ER High Measure Oil Site Fuel Savings (gallons oil/year)]],"-")</f>
        <v>-4.4687443730743105E-2</v>
      </c>
      <c r="GZ29" s="326">
        <f ca="1">IFERROR(Tbl_MeasureList[[#This Row],[ER Total High Measure Electric Annual Consumption Savings (kWh/yr)]]*GAS_BTU_PER_SITE_KWH_CES/Btu_per_MMBtu,"-")</f>
        <v>-0.1959212043753546</v>
      </c>
      <c r="HA29" s="327">
        <f ca="1">IFERROR(Tbl_MeasureList[[#This Row],[ER Total High Measure Electric Annual Consumption Savings (kWh/yr)]]*GAS_CUFT_PER_SITE_KWH_CES/1000,"-")</f>
        <v>-0.19021476152947048</v>
      </c>
      <c r="HB29" s="328">
        <f ca="1">IFERROR(Tbl_MeasureList[[#This Row],[ER Total High Measure Natural Gas Annual Consumption Savings (therms/yr)]]*Btu_per_MMBtu/(GAS_BTU_PER_CUFT_CES*Therm_per_MMBtu*1000),"-")</f>
        <v>-89.933571793561583</v>
      </c>
      <c r="HC29" s="329">
        <f ca="1">IFERROR(Tbl_MeasureList[[#This Row],[CES ER High Measure Gas Source Fuel Savings (1,000 cu.ft. gas/year)]]+Tbl_MeasureList[[#This Row],[CES ER High Measure Gas Site Fuel Savings (1,000 cu.ft gas/year)]],"-")</f>
        <v>-90.123786555091058</v>
      </c>
      <c r="HD29" s="315">
        <f ca="1">Tbl_MeasureList[[#This Row],[ROF Low Measure Electric Annual Consumption Savings (kWh/yr)]]*COAL_BTU_PER_SITE_KWH_CES/Btu_per_MMBtu</f>
        <v>-2.4700348460711972E-2</v>
      </c>
      <c r="HE29" s="316">
        <f ca="1">Tbl_MeasureList[[#This Row],[ROF Low Measure Electric Annual Consumption Savings (kWh/yr)]]*COAL_LBS_PER_SITE_KWH_CES</f>
        <v>-2.2430392717682506</v>
      </c>
      <c r="HF29" s="317">
        <f ca="1">Tbl_MeasureList[[#This Row],[ROF Low Measure Electric Annual Consumption Savings (kWh/yr)]]*OIL_BTU_PER_SITE_KWH_CES/Btu_per_MMBtu</f>
        <v>-7.602914948348069E-3</v>
      </c>
      <c r="HG29" s="316">
        <f ca="1">Tbl_MeasureList[[#This Row],[ROF Low Measure Electric Annual Consumption Savings (kWh/yr)]]*OIL_GAL_PER_SITE_KWH_CES</f>
        <v>-5.1293413673548609E-2</v>
      </c>
      <c r="HH29" s="317">
        <f ca="1">Tbl_MeasureList[[#This Row],[ROF Low Measure Oil Annual Consumption Savings (MMBtu/yr)]]*Btu_per_MMBtu/OIL_BTU_PER_GAL_CES</f>
        <v>0</v>
      </c>
      <c r="HI29" s="316">
        <f ca="1">Tbl_MeasureList[[#This Row],[CES ROF Low Measure Oil Source Fuel Savings (gallons oil/year)]]+Tbl_MeasureList[[#This Row],[CES ROF Low Measure Oil Site Fuel Savings (gallons oil/year)]]</f>
        <v>-5.1293413673548609E-2</v>
      </c>
      <c r="HJ29" s="317">
        <f ca="1">Tbl_MeasureList[[#This Row],[ROF Low Measure Electric Annual Consumption Savings (kWh/yr)]]*GAS_BTU_PER_SITE_KWH_CES/Btu_per_MMBtu</f>
        <v>-0.22488346936997225</v>
      </c>
      <c r="HK29" s="316">
        <f ca="1">Tbl_MeasureList[[#This Row],[ROF Low Measure Electric Annual Consumption Savings (kWh/yr)]]*GAS_CUFT_PER_SITE_KWH_CES/1000</f>
        <v>-0.21833346540774004</v>
      </c>
      <c r="HL29" s="317">
        <f ca="1">Tbl_MeasureList[[#This Row],[ROF Low Measure Natural Gas Annual Consumption Savings (therms/yr)]]*Btu_per_MMBtu/(GAS_BTU_PER_CUFT_CES*Therm_per_MMBtu*1000)</f>
        <v>-94.929881337648311</v>
      </c>
      <c r="HM29" s="318">
        <f ca="1">Tbl_MeasureList[[#This Row],[CES ROF Low Measure Gas Source Fuel Savings (1,000 cu.ft. gas/year)]]+Tbl_MeasureList[[#This Row],[CES ROF Low Measure Gas Site Fuel Savings (1,000 cu.ft gas/year)]]</f>
        <v>-95.14821480305605</v>
      </c>
      <c r="HN29" s="315">
        <f ca="1">IFERROR(Tbl_MeasureList[[#This Row],[ROF High Measure Electric Annual Consumption Savings (kWh/yr)]]*COAL_BTU_PER_SITE_KWH_CES/Btu_per_MMBtu,"-")</f>
        <v>-2.1519242977135429E-2</v>
      </c>
      <c r="HO29" s="316">
        <f ca="1">IFERROR(Tbl_MeasureList[[#This Row],[ROF High Measure Electric Annual Consumption Savings (kWh/yr)]]*COAL_LBS_PER_SITE_KWH_CES,"-")</f>
        <v>-1.954163001919309</v>
      </c>
      <c r="HP29" s="317">
        <f ca="1">IFERROR(Tbl_MeasureList[[#This Row],[ROF High Measure Electric Annual Consumption Savings (kWh/yr)]]*OIL_BTU_PER_SITE_KWH_CES/Btu_per_MMBtu,"-")</f>
        <v>-6.6237516595456652E-3</v>
      </c>
      <c r="HQ29" s="316">
        <f ca="1">IFERROR(Tbl_MeasureList[[#This Row],[ROF High Measure Electric Annual Consumption Savings (kWh/yr)]]*OIL_GAL_PER_SITE_KWH_CES,"-")</f>
        <v>-4.4687443730743105E-2</v>
      </c>
      <c r="HR29" s="317">
        <f ca="1">IFERROR(Tbl_MeasureList[[#This Row],[ROF High Measure Oil Annual Consumption Savings (MMBtu/yr)]]*Btu_per_MMBtu/OIL_BTU_PER_GAL_CES,"-")</f>
        <v>0</v>
      </c>
      <c r="HS29" s="316">
        <f ca="1">IFERROR(Tbl_MeasureList[[#This Row],[CES ROF High Measure Oil Source Fuel Savings (gallons oil/year)]]+Tbl_MeasureList[[#This Row],[CES ROF High Measure Oil Site Fuel Savings (gallons oil/year)]],"-")</f>
        <v>-4.4687443730743105E-2</v>
      </c>
      <c r="HT29" s="317">
        <f ca="1">IFERROR(Tbl_MeasureList[[#This Row],[ROF High Measure Electric Annual Consumption Savings (kWh/yr)]]*GAS_BTU_PER_SITE_KWH_CES/Btu_per_MMBtu,"-")</f>
        <v>-0.1959212043753546</v>
      </c>
      <c r="HU29" s="316">
        <f ca="1">IFERROR(Tbl_MeasureList[[#This Row],[ROF High Measure Electric Annual Consumption Savings (kWh/yr)]]*GAS_CUFT_PER_SITE_KWH_CES/1000,"-")</f>
        <v>-0.19021476152947048</v>
      </c>
      <c r="HV29" s="317">
        <f ca="1">IFERROR(Tbl_MeasureList[[#This Row],[ROF High Measure Natural Gas Annual Consumption Savings (therms/yr)]]*Btu_per_MMBtu/(GAS_BTU_PER_CUFT_CES*Therm_per_MMBtu*1000),"-")</f>
        <v>-89.933571793561583</v>
      </c>
      <c r="HW29" s="318">
        <f ca="1">IFERROR(Tbl_MeasureList[[#This Row],[CES ROF High Measure Gas Source Fuel Savings (1,000 cu.ft. gas/year)]]+Tbl_MeasureList[[#This Row],[CES ROF High Measure Gas Site Fuel Savings (1,000 cu.ft gas/year)]],"-")</f>
        <v>-90.123786555091058</v>
      </c>
      <c r="HX29" s="248">
        <f>Tbl_MeasureList[[#This Row],[Baseline Energy Cost (USD/yr)]]-Tbl_MeasureList[[#This Row],[Code (old fuel) Energy Cost (USD/yr)]]</f>
        <v>244.51156826092665</v>
      </c>
      <c r="HY29" s="201">
        <f>0</f>
        <v>0</v>
      </c>
      <c r="HZ29" s="86">
        <f>Tbl_MeasureList[[#This Row],[Baseline Electric Annual Consumption (kWh/yr)]]-Tbl_MeasureList[[#This Row],[Code (old fuel) Electric Annual Consumption (kWh/yr)]]</f>
        <v>0</v>
      </c>
      <c r="IA29" s="86" t="str">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v>
      </c>
      <c r="IB29" s="86" t="str">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v>
      </c>
      <c r="IC29" s="152">
        <f>Tbl_MeasureList[[#This Row],[Baseline Electric Winter Peak Demand (kW)]]-Tbl_MeasureList[[#This Row],[Code (old fuel) Electric Winter Peak Demand (kW)]]</f>
        <v>0</v>
      </c>
      <c r="ID29" s="152">
        <f>Tbl_MeasureList[[#This Row],[Baseline Electric Summer Peak Demand (kW)]]-Tbl_MeasureList[[#This Row],[Code (old fuel) Electric Summer Peak Demand (kW)]]</f>
        <v>0</v>
      </c>
      <c r="IE29" s="251">
        <f>Tbl_MeasureList[[#This Row],[Baseline Natural Gas Annual Consumption (therms/yr)]]-Tbl_MeasureList[[#This Row],[Code (old fuel) Natural Gas Annual Consumption (therms/yr)]]</f>
        <v>0</v>
      </c>
      <c r="IF29" s="252">
        <f>Tbl_MeasureList[[#This Row],[Baseline Propane Annual Consumption (MMBtu/yr)]]-Tbl_MeasureList[[#This Row],[Code (old fuel) Propane Annual Consumption (MMBtu/yr)]]</f>
        <v>6.8023073603336002</v>
      </c>
      <c r="IG29" s="253">
        <f>Tbl_MeasureList[[#This Row],[Baseline Oil Annual Consumption (MMBtu/yr)]]-Tbl_MeasureList[[#This Row],[Code (old fuel) Oil Annual Consumption (MMBtu/yr)]]</f>
        <v>0</v>
      </c>
      <c r="IH29" s="371">
        <f>Tbl_MeasureList[[#This Row],[Baseline Energy Consumption on MMBtu Basis (MMBtu/yr)]]-Tbl_MeasureList[[#This Row],[Code (old fuel) Energy Consumption on MMBtu Basis (MMBtu/yr)]]</f>
        <v>6.8023073603336002</v>
      </c>
      <c r="II29" s="371">
        <f>Tbl_MeasureList[[#This Row],[Baseline Carbon Emissions, Site (tons CO2/yr)]]-Tbl_MeasureList[[#This Row],[Code (old fuel) Carbon Emissions, Site (tons CO2/yr)]]</f>
        <v>0.47276036154318657</v>
      </c>
      <c r="IJ29" s="279">
        <f>Tbl_MeasureList[[#This Row],[Baseline Carbon Emissions, Source (tons CO2/yr)]]-Tbl_MeasureList[[#This Row],[Code (old fuel) Carbon Emissions, Source (tons CO2/yr)]]</f>
        <v>0.47276036154318568</v>
      </c>
      <c r="IK29" s="273">
        <f ca="1">Tbl_MeasureList[[#This Row],[Code (new fuel) Energy Cost (USD/yr)]]-Tbl_MeasureList[[#This Row],[Low Measure Energy Cost (USD/yr)]]</f>
        <v>0</v>
      </c>
      <c r="IL29"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12579.702110698927</v>
      </c>
      <c r="IM29" s="85">
        <f ca="1">Tbl_MeasureList[[#This Row],[Code (old fuel) Electric Annual Consumption (kWh/yr)]]-Tbl_MeasureList[[#This Row],[Low Measure Electric Annual Consumption (kWh/yr)]]</f>
        <v>-132</v>
      </c>
      <c r="IN29" s="85" t="str">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v>
      </c>
      <c r="IO29" s="85" t="str">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v>
      </c>
      <c r="IP29" s="152">
        <f ca="1">Tbl_MeasureList[[#This Row],[Code (old fuel) Electric Winter Peak Demand (kW)]]-Tbl_MeasureList[[#This Row],[Low Measure Electric Winter Peak Demand (kW)]]</f>
        <v>-2.0249280920421858E-2</v>
      </c>
      <c r="IQ29" s="152">
        <f ca="1">Tbl_MeasureList[[#This Row],[Code (old fuel) Electric Summer Peak Demand (kW)]]-Tbl_MeasureList[[#This Row],[Low Measure Electric Summer Peak Demand (kW)]]</f>
        <v>0</v>
      </c>
      <c r="IR29" s="204">
        <f ca="1">Tbl_MeasureList[[#This Row],[Code (old fuel) Natural Gas Annual Consumption (therms/yr)]]-Tbl_MeasureList[[#This Row],[Low Measure Natural Gas Annual Consumption (therms/yr)]]</f>
        <v>-977.77777777777771</v>
      </c>
      <c r="IS29" s="153">
        <f ca="1">Tbl_MeasureList[[#This Row],[Code (old fuel) Propane Annual Consumption (MMBtu/yr)]]-Tbl_MeasureList[[#This Row],[Low Measure Propane Annual Consumption (MMBtu/yr)]]</f>
        <v>114.94711792702273</v>
      </c>
      <c r="IT29" s="204">
        <f ca="1">Tbl_MeasureList[[#This Row],[Code (old fuel) Oil Annual Consumption (MMBtu/yr)]]-Tbl_MeasureList[[#This Row],[Low Measure Oil Annual Consumption (MMBtu/yr)]]</f>
        <v>0</v>
      </c>
      <c r="IU29" s="204">
        <f ca="1">Tbl_MeasureList[[#This Row],[Code (old fuel) Energy Consumption on MMBtu Basis (MMBtu/yr)]]-Tbl_MeasureList[[#This Row],[Low Measure Energy Consumption on MMBtu Basis (MMBtu/yr)]]</f>
        <v>16.71895614924496</v>
      </c>
      <c r="IV29" s="204">
        <f ca="1">Tbl_MeasureList[[#This Row],[Code (old fuel) Carbon Emissions, Site (tons CO2/yr)]]-Tbl_MeasureList[[#This Row],[Low Measure Carbon Emissions, Site (tons CO2/yr)]]</f>
        <v>2.2688246959280809</v>
      </c>
      <c r="IW29" s="260">
        <f ca="1">Tbl_MeasureList[[#This Row],[Code (old fuel) Carbon Emissions, Source (tons CO2/yr)]]-Tbl_MeasureList[[#This Row],[Low Measure Carbon Emissions, Source (tons CO2/yr)]]</f>
        <v>2.2222075759280813</v>
      </c>
      <c r="IX29" s="27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2614.9242311477292</v>
      </c>
      <c r="IY29" s="20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12579.702110698927</v>
      </c>
      <c r="IZ29"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-115</v>
      </c>
      <c r="JA29" s="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v>
      </c>
      <c r="JB29" s="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v>
      </c>
      <c r="JC29"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-1.7641418983700863E-2</v>
      </c>
      <c r="JD29"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0</v>
      </c>
      <c r="JE29"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-926.31578947368428</v>
      </c>
      <c r="JF29" s="1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114.94711792702273</v>
      </c>
      <c r="JG29"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0</v>
      </c>
      <c r="JH29"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21.923158979654303</v>
      </c>
      <c r="JI29"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2.5698773275070268</v>
      </c>
      <c r="JJ29"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2.5292639275070279</v>
      </c>
      <c r="JK29" s="432">
        <f>Tbl_MeasureList[[#This Row],[ER (Retire) Electric Annual Consumption Savings (kWh/yr)]]*COAL_BTU_PER_SITE_KWH/Btu_per_MMBtu</f>
        <v>0</v>
      </c>
      <c r="JL29" s="428">
        <f>Tbl_MeasureList[[#This Row],[ER (Retire) Electric Annual Consumption Savings (kWh/yr)]]*COAL_LBS_PER_SITE_KWH</f>
        <v>0</v>
      </c>
      <c r="JM29" s="427">
        <f>Tbl_MeasureList[[#This Row],[ER (Retire) Electric Annual Consumption Savings (kWh/yr)]]*OIL_BTU_PER_SITE_KWH/Btu_per_MMBtu</f>
        <v>0</v>
      </c>
      <c r="JN29" s="428">
        <f>Tbl_MeasureList[[#This Row],[ER (Retire) Electric Annual Consumption Savings (kWh/yr)]]*OIL_GAL_PER_SITE_KWH</f>
        <v>0</v>
      </c>
      <c r="JO29" s="427">
        <f>Tbl_MeasureList[[#This Row],[ER (Retire) Oil Annual Consumption Savings (MMBtu/yr)]]*Btu_per_MMBtu/OIL_BTU_PER_GAL</f>
        <v>0</v>
      </c>
      <c r="JP29" s="428">
        <f ca="1">Tbl_MeasureList[[#This Row],[Current ER (Retire) Oil Source Fuel Savings (gallons oil/year)]]+Tbl_MeasureList[[#This Row],[Current ER Total Low Measure Oil Site Fuel Savings (gallons oil/year)]]</f>
        <v>0</v>
      </c>
      <c r="JQ29" s="427">
        <f>Tbl_MeasureList[[#This Row],[ER (Retire) Electric Annual Consumption Savings (kWh/yr)]]*GAS_BTU_PER_SITE_KWH/Btu_per_MMBtu</f>
        <v>0</v>
      </c>
      <c r="JR29" s="429">
        <f>Tbl_MeasureList[[#This Row],[ER (Retire) Electric Annual Consumption Savings (kWh/yr)]]*GAS_CUFT_PER_SITE_KWH/1000</f>
        <v>0</v>
      </c>
      <c r="JS29" s="430">
        <f>Tbl_MeasureList[[#This Row],[ER (Retire) Natural Gas Annual Consumption Savings (therms/yr)]]*Btu_per_MMBtu/(GAS_BTU_PER_CUFT*Therm_per_MMBtu*1000)</f>
        <v>0</v>
      </c>
      <c r="JT29" s="431">
        <f ca="1">Tbl_MeasureList[[#This Row],[Current ER (Retire) Gas Source Fuel Savings (1,000 cu.ft. gas/year)]]+Tbl_MeasureList[[#This Row],[Current ER Total Low Measure Gas Site Fuel Savings (1,000 cu.ft gas/year)]]</f>
        <v>-95.022135838462361</v>
      </c>
      <c r="JU29" s="432">
        <f ca="1">Tbl_MeasureList[[#This Row],[ER (EE) Low Measure Electric Annual Consumption Savings (kWh/yr)]]*COAL_BTU_PER_SITE_KWH/Btu_per_MMBtu</f>
        <v>-1.4529616741595279E-2</v>
      </c>
      <c r="JV29" s="428">
        <f ca="1">Tbl_MeasureList[[#This Row],[ER (EE) Low Measure Electric Annual Consumption Savings (kWh/yr)]]*COAL_LBS_PER_SITE_KWH</f>
        <v>-1.274527784350463</v>
      </c>
      <c r="JW29" s="427">
        <f ca="1">Tbl_MeasureList[[#This Row],[ER (EE) Low Measure Electric Annual Consumption Savings (kWh/yr)]]*OIL_BTU_PER_SITE_KWH/Btu_per_MMBtu</f>
        <v>-1.6726412886365751E-2</v>
      </c>
      <c r="JX29" s="428">
        <f ca="1">Tbl_MeasureList[[#This Row],[ER (EE) Low Measure Electric Annual Consumption Savings (kWh/yr)]]*OIL_GAL_PER_SITE_KWH</f>
        <v>-0.12125421643673746</v>
      </c>
      <c r="JY29" s="427">
        <f ca="1">Tbl_MeasureList[[#This Row],[ER (EE) Low Measure Oil Annual Consumption Savings (MMBtu/yr)]]*Btu_per_MMBtu/OIL_BTU_PER_GAL</f>
        <v>0</v>
      </c>
      <c r="JZ29" s="428">
        <f ca="1">Tbl_MeasureList[[#This Row],[Current ER (EE) Low Measure Oil Source Fuel Savings (gallons oil/year)]]+Tbl_MeasureList[[#This Row],[Current ER (EE) Low Measure Oil Site Fuel Savings (gallons oil/year)]]</f>
        <v>-0.12125421643673746</v>
      </c>
      <c r="KA29" s="427">
        <f ca="1">Tbl_MeasureList[[#This Row],[ER (EE) Low Measure Electric Annual Consumption Savings (kWh/yr)]]*GAS_BTU_PER_SITE_KWH/Btu_per_MMBtu</f>
        <v>-0.54016127446709017</v>
      </c>
      <c r="KB29" s="429">
        <f ca="1">Tbl_MeasureList[[#This Row],[ER (EE) Low Measure Electric Annual Consumption Savings (kWh/yr)]]*GAS_CUFT_PER_SITE_KWH/1000</f>
        <v>-0.5249380704247717</v>
      </c>
      <c r="KC29" s="430">
        <f ca="1">Tbl_MeasureList[[#This Row],[ER (EE) Low Measure Natural Gas Annual Consumption Savings (therms/yr)]]*Btu_per_MMBtu/(GAS_BTU_PER_CUFT*Therm_per_MMBtu*1000)</f>
        <v>-95.022135838462361</v>
      </c>
      <c r="KD29" s="431">
        <f ca="1">Tbl_MeasureList[[#This Row],[Current ER (EE) Low Measure Gas Source Fuel Savings (1,000 cu.ft. gas/year)]]+Tbl_MeasureList[[#This Row],[Current ER (EE) Low Measure Gas Site Fuel Savings (1,000 cu.ft gas/year)]]</f>
        <v>-95.547073908887128</v>
      </c>
      <c r="KE29" s="432">
        <f ca="1">IFERROR(Tbl_MeasureList[[#This Row],[ER (EE) High Measure Electric Annual Consumption Savings (kWh/yr)]]*COAL_BTU_PER_SITE_KWH/Btu_per_MMBtu,"-")</f>
        <v>-1.2658378221844372E-2</v>
      </c>
      <c r="KF29" s="428">
        <f ca="1">IFERROR(Tbl_MeasureList[[#This Row],[ER (EE) High Measure Electric Annual Consumption Savings (kWh/yr)]]*COAL_LBS_PER_SITE_KWH,"-")</f>
        <v>-1.1103840545477519</v>
      </c>
      <c r="KG29" s="427">
        <f ca="1">IFERROR(Tbl_MeasureList[[#This Row],[ER (EE) High Measure Electric Annual Consumption Savings (kWh/yr)]]*OIL_BTU_PER_SITE_KWH/Btu_per_MMBtu,"-")</f>
        <v>-1.4572253651000464E-2</v>
      </c>
      <c r="KH29" s="428">
        <f ca="1">IFERROR(Tbl_MeasureList[[#This Row],[ER (EE) High Measure Electric Annual Consumption Savings (kWh/yr)]]*OIL_GAL_PER_SITE_KWH,"-")</f>
        <v>-0.1056381431077637</v>
      </c>
      <c r="KI29" s="427">
        <f ca="1">IFERROR(Tbl_MeasureList[[#This Row],[ER (EE) High Measure Oil Annual Consumption Savings (MMBtu/yr)]]*Btu_per_MMBtu/OIL_BTU_PER_GAL,"-")</f>
        <v>0</v>
      </c>
      <c r="KJ29" s="428">
        <f ca="1">IFERROR(Tbl_MeasureList[[#This Row],[Current ER (EE) High Measure Oil Source Fuel Savings (gallons oil/year)]]+Tbl_MeasureList[[#This Row],[Current ER (EE) High Measure Oil Site Fuel Savings (gallons oil/year)]],"-")</f>
        <v>-0.1056381431077637</v>
      </c>
      <c r="KK29" s="427">
        <f ca="1">IFERROR(Tbl_MeasureList[[#This Row],[ER (EE) High Measure Electric Annual Consumption Savings (kWh/yr)]]*GAS_BTU_PER_SITE_KWH/Btu_per_MMBtu,"-")</f>
        <v>-0.4705950497251164</v>
      </c>
      <c r="KL29" s="429">
        <f ca="1">IFERROR(Tbl_MeasureList[[#This Row],[ER (EE) High Measure Electric Annual Consumption Savings (kWh/yr)]]*GAS_CUFT_PER_SITE_KWH/1000,"-")</f>
        <v>-0.45733240983976325</v>
      </c>
      <c r="KM29" s="430">
        <f ca="1">IFERROR(Tbl_MeasureList[[#This Row],[ER (EE) High Measure Natural Gas Annual Consumption Savings (therms/yr)]]*Btu_per_MMBtu/(GAS_BTU_PER_CUFT*Therm_per_MMBtu*1000),"-")</f>
        <v>-90.020970794332783</v>
      </c>
      <c r="KN29" s="431">
        <f ca="1">IFERROR(Tbl_MeasureList[[#This Row],[Current ER (EE) High Measure Gas Source Fuel Savings (1,000 cu.ft. gas/year)]]+Tbl_MeasureList[[#This Row],[Current ER (EE) High Measure Gas Site Fuel Savings (1,000 cu.ft gas/year)]],"-")</f>
        <v>-90.478303204172548</v>
      </c>
    </row>
    <row r="30" spans="2:300" x14ac:dyDescent="0.2">
      <c r="B30" s="16"/>
      <c r="C30" s="2" t="s">
        <v>104</v>
      </c>
      <c r="D30" s="12" t="str">
        <f>INDEX(Tbl_BaselineSummary[Equipment ID],MATCH(Tbl_MeasureList[[#This Row],[Baseline ID]],Tbl_BaselineSummary[Baseline ID],0))</f>
        <v>EQUI026</v>
      </c>
      <c r="E30" s="11" t="str">
        <f>INDEX(Tbl_EquipmentDefinitions[Equipment Name],MATCH('Measure List'!$D30,Tbl_EquipmentDefinitions[Equipment ID],0))</f>
        <v>Oil Storage WH</v>
      </c>
      <c r="F30" s="3" t="s">
        <v>241</v>
      </c>
      <c r="G30" s="11" t="str">
        <f>INDEX(Tbl_EquipmentDefinitions[Function],MATCH('Measure List'!$D30,Tbl_EquipmentDefinitions[Equipment ID],0))</f>
        <v>HW</v>
      </c>
      <c r="H30" s="3" t="s">
        <v>111</v>
      </c>
      <c r="I30" s="3" t="s">
        <v>69</v>
      </c>
      <c r="J30" s="11" t="str">
        <f>INDEX(Tbl_EquipmentDefinitions[Equipment Name],MATCH('Measure List'!$I30,Tbl_EquipmentDefinitions[Equipment ID],0))</f>
        <v>Gas Storage WH</v>
      </c>
      <c r="K30" s="11">
        <f>INDEX(Tbl_EquipmentDefinitions[],MATCH(Tbl_MeasureList[[#This Row],[Replacement ID]],Tbl_EquipmentDefinitions[[Equipment ID]:[Equipment ID]],0),MATCH(Tbl_MeasureList[[#Headers],[New Unit Equipment Life (years)]],Tbl_EquipmentDefinitions[#Headers],0))</f>
        <v>15</v>
      </c>
      <c r="L30" s="11">
        <f>INDEX(Tbl_EquipmentDefinitions[],MATCH(Tbl_MeasureList[[#This Row],[Baseline Equipment ID]],Tbl_EquipmentDefinitions[[Equipment ID]:[Equipment ID]],0),MATCH(Tbl_MeasureList[[#Headers],[Remaining Life for Early Replacement (years)]],Tbl_EquipmentDefinitions[#Headers],0))</f>
        <v>4</v>
      </c>
      <c r="M30" s="12" t="str">
        <f>INDEX(Tbl_EquipmentDefinitions[Function],MATCH('Measure List'!$I30,Tbl_EquipmentDefinitions[Equipment ID],0))</f>
        <v>HW</v>
      </c>
      <c r="N30" s="368" t="s">
        <v>118</v>
      </c>
      <c r="O30" s="14" t="str">
        <f t="shared" si="0"/>
        <v>OK</v>
      </c>
      <c r="P30" s="12" t="str">
        <f ca="1">IFERROR(INDIRECT(Tbl_MeasureList[[#This Row],[Measure ID]]&amp;"!D5"),"No tab")</f>
        <v>3. Ready</v>
      </c>
      <c r="Q30" s="11"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Oil</v>
      </c>
      <c r="R30" s="12"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v>
      </c>
      <c r="S30" s="11"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Natural Gas</v>
      </c>
      <c r="T30" s="247"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v>
      </c>
      <c r="U30" s="248">
        <f>INDEX(Tbl_BaselineSummary[Baseline Annual Energy Cost (USD)],MATCH(Tbl_MeasureList[[#This Row],[Baseline ID]],Tbl_BaselineSummary[Baseline ID],0))</f>
        <v>538.26942250267905</v>
      </c>
      <c r="V30" s="249">
        <f>INDEX(Tbl_BaselineSummary[Baseline Electric Annual Consumption  (kWh)],MATCH(Tbl_MeasureList[[#This Row],[Baseline ID]],Tbl_BaselineSummary[Baseline ID],0))</f>
        <v>0</v>
      </c>
      <c r="W30" s="249" t="str">
        <f>INDEX(Tbl_BaselineSummary[Baseline Electric Winter Consumption (kWh)],MATCH(Tbl_MeasureList[[#This Row],[Baseline ID]],Tbl_BaselineSummary[Baseline ID],0))</f>
        <v>n/a</v>
      </c>
      <c r="X30" s="249" t="str">
        <f>INDEX(Tbl_BaselineSummary[Baseline Electric Summer Consumption (kWh)],MATCH(Tbl_MeasureList[[#This Row],[Baseline ID]],Tbl_BaselineSummary[Baseline ID],0))</f>
        <v>n/a</v>
      </c>
      <c r="Y30" s="250">
        <f>INDEX(Tbl_BaselineSummary[Baseline Electric Baseline Winter Peak Demand (kW)],MATCH(Tbl_MeasureList[[#This Row],[Baseline ID]],Tbl_BaselineSummary[Baseline ID],0))</f>
        <v>0</v>
      </c>
      <c r="Z30" s="452">
        <f>INDEX(Tbl_BaselineSummary[Baseline Electric Baseline Summer Peak Demand (kW)],MATCH(Tbl_MeasureList[[#This Row],[Baseline ID]],Tbl_BaselineSummary[Baseline ID],0))</f>
        <v>0</v>
      </c>
      <c r="AA30" s="458">
        <f>INDEX(Tbl_BaselineSummary[Baseline Natural Gas Annual Consumption  (therms)],MATCH(Tbl_MeasureList[[#This Row],[Baseline ID]],Tbl_BaselineSummary[Baseline ID],0))</f>
        <v>0</v>
      </c>
      <c r="AB30" s="455">
        <f>INDEX(Tbl_BaselineSummary[Baseline Propane Annual Consumption  (MMBtu)],MATCH(Tbl_MeasureList[[#This Row],[Baseline ID]],Tbl_BaselineSummary[Baseline ID],0))</f>
        <v>0</v>
      </c>
      <c r="AC30" s="252">
        <f>INDEX(Tbl_BaselineSummary[Baseline Oil Annual Consumption  (MMBtu)],MATCH(Tbl_MeasureList[[#This Row],[Baseline ID]],Tbl_BaselineSummary[Baseline ID],0))</f>
        <v>23.965517241379313</v>
      </c>
      <c r="AD30" s="371">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23.965517241379313</v>
      </c>
      <c r="AE30" s="460">
        <f>(lbCO2_per_Therm_Gas*Tbl_MeasureList[[#This Row],[Baseline Natural Gas Annual Consumption (therms/yr)]]+lbCO2_per_MMBtu_Prop*Tbl_MeasureList[[#This Row],[Baseline Propane Annual Consumption (MMBtu/yr)]]+lbCO2_per_MMBtu_Oil*Tbl_MeasureList[[#This Row],[Baseline Oil Annual Consumption (MMBtu/yr)]])*Lbs_per_ShortTon</f>
        <v>1.9328189655172419</v>
      </c>
      <c r="AF30" s="463">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1.9328189655172419</v>
      </c>
      <c r="AG30" s="465">
        <f>INDEX(Tbl_BaselineSummary[Code Annual Energy Cost (USD)],MATCH(Tbl_MeasureList[[#This Row],[Baseline ID]],Tbl_BaselineSummary[Baseline ID],0))</f>
        <v>503.54236298637721</v>
      </c>
      <c r="AH30" s="468">
        <f>INDEX(Tbl_BaselineSummary[Deferred Replacement Credit (USD)],MATCH(Tbl_MeasureList[[#This Row],[Baseline ID]],Tbl_BaselineSummary[Baseline ID],0))</f>
        <v>1142.2634464766872</v>
      </c>
      <c r="AI30" s="201">
        <f>INDEX(Tbl_BaselineSummary[A/C-only Deferred Replacement Credit (USD)],MATCH(Tbl_MeasureList[[#This Row],[Baseline ID]],Tbl_BaselineSummary[Baseline ID],0))</f>
        <v>0</v>
      </c>
      <c r="AJ30" s="468">
        <f>INDEX(Tbl_BaselineSummary[Code Installed Costs (USD)],MATCH(Tbl_MeasureList[[#This Row],[Baseline ID]],Tbl_BaselineSummary[Baseline ID],0))</f>
        <v>1750</v>
      </c>
      <c r="AK30" s="201">
        <f>INDEX(Tbl_BaselineSummary[Code A/C-only Installed Cost (USD)],MATCH(Tbl_MeasureList[[#This Row],[Baseline ID]],Tbl_BaselineSummary[Baseline ID],0))</f>
        <v>0</v>
      </c>
      <c r="AL30" s="86">
        <f>INDEX(Tbl_BaselineSummary[Code Electric Annual Consumption (kWh)],MATCH(Tbl_MeasureList[[#This Row],[Baseline ID]],Tbl_BaselineSummary[Baseline ID],0))</f>
        <v>0</v>
      </c>
      <c r="AM30" s="86" t="str">
        <f>INDEX(Tbl_BaselineSummary[Code Electric Winter Consumption (kWh)],MATCH(Tbl_MeasureList[[#This Row],[Baseline ID]],Tbl_BaselineSummary[Baseline ID],0))</f>
        <v>n/a</v>
      </c>
      <c r="AN30" s="86" t="str">
        <f>INDEX(Tbl_BaselineSummary[Code Electric Summer Consumption (kWh)],MATCH(Tbl_MeasureList[[#This Row],[Baseline ID]],Tbl_BaselineSummary[Baseline ID],0))</f>
        <v>n/a</v>
      </c>
      <c r="AO30" s="152">
        <f>INDEX(Tbl_BaselineSummary[Code Electric Winter Peak Demand (kW)],MATCH(Tbl_MeasureList[[#This Row],[Baseline ID]],Tbl_BaselineSummary[Baseline ID],0))</f>
        <v>0</v>
      </c>
      <c r="AP30" s="470">
        <f>INDEX(Tbl_BaselineSummary[Code Electric Summer Peak Demand (kW)],MATCH(Tbl_MeasureList[[#This Row],[Baseline ID]],Tbl_BaselineSummary[Baseline ID],0))</f>
        <v>0</v>
      </c>
      <c r="AQ30" s="467">
        <f>INDEX(Tbl_BaselineSummary[Code Natural Gas Annual Consumption (therms)],MATCH(Tbl_MeasureList[[#This Row],[Baseline ID]],Tbl_BaselineSummary[Baseline ID],0))</f>
        <v>0</v>
      </c>
      <c r="AR30" s="472">
        <f>INDEX(Tbl_BaselineSummary[Code Propane Annual Consumption (MMBtu)],MATCH(Tbl_MeasureList[[#This Row],[Baseline ID]],Tbl_BaselineSummary[Baseline ID],0))</f>
        <v>0</v>
      </c>
      <c r="AS30" s="467">
        <f>INDEX(Tbl_BaselineSummary[Code Oil Annual Consumption (MMBtu)],MATCH(Tbl_MeasureList[[#This Row],[Baseline ID]],Tbl_BaselineSummary[Baseline ID],0))</f>
        <v>22.41935483870968</v>
      </c>
      <c r="AT30" s="204">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22.41935483870968</v>
      </c>
      <c r="AU30" s="467">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1.8081209677419359</v>
      </c>
      <c r="AV30" s="474">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1.8081209677419359</v>
      </c>
      <c r="AW30" s="248">
        <f ca="1">INDIRECT(Tbl_MeasureList[[#This Row],[Measure ID]]&amp;"!L26")</f>
        <v>407.64909090909089</v>
      </c>
      <c r="AX30" s="477">
        <f ca="1">INDIRECT(Tbl_MeasureList[[#This Row],[Measure ID]]&amp;"!M26")</f>
        <v>7191</v>
      </c>
      <c r="AY30" s="481">
        <f ca="1">INDIRECT(Tbl_MeasureList[[#This Row],[Measure ID]]&amp;"!D26")</f>
        <v>0</v>
      </c>
      <c r="AZ30" s="481" t="str">
        <f ca="1">INDIRECT(Tbl_MeasureList[[#This Row],[Measure ID]]&amp;"!J26")</f>
        <v>n/a</v>
      </c>
      <c r="BA30" s="481" t="str">
        <f ca="1">INDIRECT(Tbl_MeasureList[[#This Row],[Measure ID]]&amp;"!I26")</f>
        <v>n/a</v>
      </c>
      <c r="BB30" s="479">
        <f ca="1">INDIRECT(Tbl_MeasureList[[#This Row],[Measure ID]]&amp;"!E26")</f>
        <v>0</v>
      </c>
      <c r="BC30" s="268">
        <f ca="1">INDIRECT(Tbl_MeasureList[[#This Row],[Measure ID]]&amp;"!H26")</f>
        <v>0</v>
      </c>
      <c r="BD30" s="253">
        <f ca="1">INDIRECT(Tbl_MeasureList[[#This Row],[Measure ID]]&amp;"!D32")</f>
        <v>252.72727272727269</v>
      </c>
      <c r="BE30" s="270">
        <f ca="1">INDIRECT(Tbl_MeasureList[[#This Row],[Measure ID]]&amp;"!D38")</f>
        <v>0</v>
      </c>
      <c r="BF30" s="253">
        <f ca="1">INDIRECT(Tbl_MeasureList[[#This Row],[Measure ID]]&amp;"!D44")</f>
        <v>0</v>
      </c>
      <c r="BG30" s="460">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25.27272727272727</v>
      </c>
      <c r="BH30" s="371">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1.478454545454545</v>
      </c>
      <c r="BI30" s="272">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1.478454545454545</v>
      </c>
      <c r="BJ30" s="273">
        <f ca="1">INDIRECT(Tbl_MeasureList[[#This Row],[Measure ID]]&amp;"!L27")</f>
        <v>387.22763333333342</v>
      </c>
      <c r="BK30" s="201">
        <f ca="1">INDIRECT(Tbl_MeasureList[[#This Row],[Measure ID]]&amp;"!M27")</f>
        <v>7613</v>
      </c>
      <c r="BL30" s="85">
        <f ca="1">INDIRECT(Tbl_MeasureList[[#This Row],[Measure ID]]&amp;"!D27")</f>
        <v>68.5</v>
      </c>
      <c r="BM30" s="85" t="str">
        <f ca="1">INDIRECT(Tbl_MeasureList[[#This Row],[Measure ID]]&amp;"!J27")</f>
        <v>n/a</v>
      </c>
      <c r="BN30" s="85" t="str">
        <f ca="1">INDIRECT(Tbl_MeasureList[[#This Row],[Measure ID]]&amp;"!I27")</f>
        <v>n/a</v>
      </c>
      <c r="BO30" s="152">
        <f ca="1">INDIRECT(Tbl_MeasureList[[#This Row],[Measure ID]]&amp;"!E27")</f>
        <v>2.7043031977891829E-2</v>
      </c>
      <c r="BP30" s="470">
        <f ca="1">INDIRECT(Tbl_MeasureList[[#This Row],[Measure ID]]&amp;"!H27")</f>
        <v>1.2710225029609159E-2</v>
      </c>
      <c r="BQ30" s="467">
        <f ca="1">INDIRECT(Tbl_MeasureList[[#This Row],[Measure ID]]&amp;"!D33")</f>
        <v>231.66666666666669</v>
      </c>
      <c r="BR30" s="472">
        <f ca="1">INDIRECT(Tbl_MeasureList[[#This Row],[Measure ID]]&amp;"!D39")</f>
        <v>0</v>
      </c>
      <c r="BS30" s="467">
        <f ca="1">INDIRECT(Tbl_MeasureList[[#This Row],[Measure ID]]&amp;"!D45")</f>
        <v>0</v>
      </c>
      <c r="BT30" s="204">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23.400388666666668</v>
      </c>
      <c r="BU30" s="467">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1.3552500000000001</v>
      </c>
      <c r="BV30" s="260">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1.37944146</v>
      </c>
      <c r="BW30" s="24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351.69425575757577</v>
      </c>
      <c r="BX30" s="26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9981</v>
      </c>
      <c r="BY30"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60.6</v>
      </c>
      <c r="BZ30"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n/a</v>
      </c>
      <c r="CA30"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n/a</v>
      </c>
      <c r="CB30"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2.3924200552704302E-2</v>
      </c>
      <c r="CC30"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1.1244374259771022E-2</v>
      </c>
      <c r="CD30"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210.60606060606059</v>
      </c>
      <c r="CE30"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0</v>
      </c>
      <c r="CF30"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0</v>
      </c>
      <c r="CG30" s="460">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21.26737326060606</v>
      </c>
      <c r="CH30" s="37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1.2320454545454544</v>
      </c>
      <c r="CI30" s="26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1.2534469505454544</v>
      </c>
      <c r="CJ30" s="320">
        <f ca="1">-Tbl_MeasureList[[#This Row],[Low Measure Energy Cost (USD/yr)]]+Tbl_MeasureList[[#This Row],[Baseline Energy Cost (USD/yr)]]</f>
        <v>151.04178916934563</v>
      </c>
      <c r="CK30"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6470.736553523313</v>
      </c>
      <c r="CL30" s="249">
        <f ca="1">-Tbl_MeasureList[[#This Row],[Low Measure Electric Annual Consumption (kWh/yr)]]+Tbl_MeasureList[[#This Row],[Baseline Electric Annual Consumption (kWh/yr)]]</f>
        <v>-68.5</v>
      </c>
      <c r="CM30" s="249" t="str">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v>
      </c>
      <c r="CN30" s="249" t="str">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v>
      </c>
      <c r="CO30" s="268">
        <f ca="1">-Tbl_MeasureList[[#This Row],[Low Measure Electric Winter Peak Demand (kW)]]+Tbl_MeasureList[[#This Row],[Baseline Electric Winter Peak Demand (kW)]]</f>
        <v>-2.7043031977891829E-2</v>
      </c>
      <c r="CP30" s="479">
        <f ca="1">-Tbl_MeasureList[[#This Row],[Low Measure Electric Summer Peak Demand (kW)]]+Tbl_MeasureList[[#This Row],[Baseline Electric Summer Peak Demand (kW)]]</f>
        <v>-1.2710225029609159E-2</v>
      </c>
      <c r="CQ30" s="481">
        <f ca="1">-Tbl_MeasureList[[#This Row],[Low Measure Natural Gas Annual Consumption (therms/yr)]]+Tbl_MeasureList[[#This Row],[Baseline Natural Gas Annual Consumption (therms/yr)]]</f>
        <v>-231.66666666666669</v>
      </c>
      <c r="CR30" s="490">
        <f ca="1">-Tbl_MeasureList[[#This Row],[Low Measure Propane Annual Consumption (MMBtu/yr)]]+Tbl_MeasureList[[#This Row],[Baseline Propane Annual Consumption (MMBtu/yr)]]</f>
        <v>0</v>
      </c>
      <c r="CS30" s="252">
        <f ca="1">-Tbl_MeasureList[[#This Row],[Low Measure Oil Annual Consumption (MMBtu/yr)]]+Tbl_MeasureList[[#This Row],[Baseline Oil Annual Consumption (MMBtu/yr)]]</f>
        <v>23.965517241379313</v>
      </c>
      <c r="CT30"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0.5651285747126451</v>
      </c>
      <c r="CU30" s="487">
        <f ca="1">-Tbl_MeasureList[[#This Row],[Low Measure Carbon Emissions, Site (tons CO2/yr)]]+Tbl_MeasureList[[#This Row],[Baseline Carbon Emissions, Site (tons CO2/yr)]]</f>
        <v>0.57756896551724179</v>
      </c>
      <c r="CV30" s="491">
        <f ca="1">-Tbl_MeasureList[[#This Row],[Low Measure Carbon Emissions, Source (tons CO2/yr)]]+Tbl_MeasureList[[#This Row],[Baseline Carbon Emissions, Source (tons CO2/yr)]]</f>
        <v>0.55337750551724185</v>
      </c>
      <c r="CW30"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186.57516674510327</v>
      </c>
      <c r="CX30"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8838.736553523313</v>
      </c>
      <c r="CY30"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-60.6</v>
      </c>
      <c r="CZ30"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v>
      </c>
      <c r="DA30"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v>
      </c>
      <c r="DB30"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-2.3924200552704302E-2</v>
      </c>
      <c r="DC30"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-1.1244374259771022E-2</v>
      </c>
      <c r="DD30"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-210.60606060606059</v>
      </c>
      <c r="DE30"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0</v>
      </c>
      <c r="DF30"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23.965517241379313</v>
      </c>
      <c r="DG30" s="270">
        <f ca="1">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2.6981439807732528</v>
      </c>
      <c r="DH30"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0.70077351097178742</v>
      </c>
      <c r="DI30"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0.67937201497178745</v>
      </c>
      <c r="DJ30" s="320">
        <f ca="1">-Tbl_MeasureList[[#This Row],[Low Measure Energy Cost (USD/yr)]]+Tbl_MeasureList[[#This Row],[Code (old fuel) Energy Cost (USD/yr)]]</f>
        <v>116.3147296530438</v>
      </c>
      <c r="DK30" s="267">
        <f ca="1">Tbl_MeasureList[[#This Row],[Low Measure Installed Costs (USD)]]-Tbl_MeasureList[[#This Row],[Code (old fuel) Installed Costs (USD)]]</f>
        <v>5863</v>
      </c>
      <c r="DL30" s="249">
        <f ca="1">-Tbl_MeasureList[[#This Row],[Low Measure Electric Annual Consumption (kWh/yr)]]+Tbl_MeasureList[[#This Row],[Code (old fuel) Electric Annual Consumption (kWh/yr)]]</f>
        <v>-68.5</v>
      </c>
      <c r="DM30" s="249" t="str">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v>
      </c>
      <c r="DN30" s="249" t="str">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v>
      </c>
      <c r="DO30" s="268">
        <f ca="1">-Tbl_MeasureList[[#This Row],[Low Measure Electric Winter Peak Demand (kW)]]+Tbl_MeasureList[[#This Row],[Code (old fuel) Electric Winter Peak Demand (kW)]]</f>
        <v>-2.7043031977891829E-2</v>
      </c>
      <c r="DP30" s="479">
        <f ca="1">-Tbl_MeasureList[[#This Row],[Low Measure Electric Summer Peak Demand (kW)]]+Tbl_MeasureList[[#This Row],[Code (old fuel) Electric Summer Peak Demand (kW)]]</f>
        <v>-1.2710225029609159E-2</v>
      </c>
      <c r="DQ30" s="481">
        <f ca="1">-Tbl_MeasureList[[#This Row],[Low Measure Natural Gas Annual Consumption (therms/yr)]]+Tbl_MeasureList[[#This Row],[Code (old fuel) Natural Gas Annual Consumption (therms/yr)]]</f>
        <v>-231.66666666666669</v>
      </c>
      <c r="DR30" s="490">
        <f ca="1">-Tbl_MeasureList[[#This Row],[Low Measure Propane Annual Consumption (MMBtu/yr)]]+Tbl_MeasureList[[#This Row],[Code (old fuel) Propane Annual Consumption (MMBtu/yr)]]</f>
        <v>0</v>
      </c>
      <c r="DS30" s="252">
        <f ca="1">-Tbl_MeasureList[[#This Row],[Low Measure Oil Annual Consumption (MMBtu/yr)]]+Tbl_MeasureList[[#This Row],[Code (old fuel) Oil Annual Consumption (MMBtu/yr)]]</f>
        <v>22.41935483870968</v>
      </c>
      <c r="DT30"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-0.98103382795698835</v>
      </c>
      <c r="DU30" s="487">
        <f ca="1">-Tbl_MeasureList[[#This Row],[Low Measure Carbon Emissions, Site (tons CO2/yr)]]+Tbl_MeasureList[[#This Row],[Code (old fuel) Carbon Emissions, Site (tons CO2/yr)]]</f>
        <v>0.4528709677419358</v>
      </c>
      <c r="DV30" s="491">
        <f ca="1">-Tbl_MeasureList[[#This Row],[Low Measure Carbon Emissions, Source (tons CO2/yr)]]+Tbl_MeasureList[[#This Row],[Code (old fuel) Carbon Emissions, Source (tons CO2/yr)]]</f>
        <v>0.42867950774193586</v>
      </c>
      <c r="DW30"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(old fuel) Energy Cost (USD/yr)]],
        "-")</f>
        <v>151.84810722880144</v>
      </c>
      <c r="DX30"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8231</v>
      </c>
      <c r="DY30"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-60.6</v>
      </c>
      <c r="DZ30"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v>
      </c>
      <c r="EA30"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v>
      </c>
      <c r="EB30"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-2.3924200552704302E-2</v>
      </c>
      <c r="EC30"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-1.1244374259771022E-2</v>
      </c>
      <c r="ED30"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-210.60606060606059</v>
      </c>
      <c r="EE30"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0</v>
      </c>
      <c r="EF30"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22.41935483870968</v>
      </c>
      <c r="EG30" s="270">
        <f ca="1">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1.1519815781036193</v>
      </c>
      <c r="EH30"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0.57607551319648143</v>
      </c>
      <c r="EI30"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0.55467401719648146</v>
      </c>
      <c r="EJ30" s="477">
        <f ca="1">Tbl_MeasureList[[#This Row],[Code (old fuel) Energy Cost (USD/yr)]]-Tbl_MeasureList[[#This Row],[Code (new fuel) Energy Cost (USD/yr)]]</f>
        <v>95.893272077286326</v>
      </c>
      <c r="EK30" s="496">
        <f ca="1">Tbl_MeasureList[[#This Row],[Code (old fuel) Electric Annual Consumption (kWh/yr)]]-Tbl_MeasureList[[#This Row],[Code (new fuel) Electric Annual Consumption (kWh/yr)]]</f>
        <v>0</v>
      </c>
      <c r="EL30" s="496" t="str">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v>
      </c>
      <c r="EM30" s="496" t="str">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v>
      </c>
      <c r="EN30" s="500">
        <f ca="1">Tbl_MeasureList[[#This Row],[Code (old fuel) Electric Winter Peak Demand (kW)]]-Tbl_MeasureList[[#This Row],[Code (new fuel) Electric Winter Peak Demand (kW)]]</f>
        <v>0</v>
      </c>
      <c r="EO30" s="493">
        <f ca="1">Tbl_MeasureList[[#This Row],[Code (old fuel) Electric Summer Peak Demand (kW)]]-Tbl_MeasureList[[#This Row],[Code (new fuel) Electric Summer Peak Demand (kW)]]</f>
        <v>0</v>
      </c>
      <c r="EP30" s="502">
        <f ca="1">Tbl_MeasureList[[#This Row],[Code (old fuel) Natural Gas Annual Consumption (therms/yr)]]-Tbl_MeasureList[[#This Row],[Code (new fuel) Natural Gas Annual Consumption (therms/yr)]]</f>
        <v>-252.72727272727269</v>
      </c>
      <c r="EQ30" s="215">
        <f ca="1">Tbl_MeasureList[[#This Row],[Code (old fuel) Propane Annual Consumption (MMBtu/yr)]]-Tbl_MeasureList[[#This Row],[Code (new fuel) Propane Annual Consumption (MMBtu/yr)]]</f>
        <v>0</v>
      </c>
      <c r="ER30" s="502">
        <f ca="1">Tbl_MeasureList[[#This Row],[Code (old fuel) Oil Annual Consumption (MMBtu/yr)]]-Tbl_MeasureList[[#This Row],[Code (new fuel) Oil Annual Consumption (MMBtu/yr)]]</f>
        <v>22.41935483870968</v>
      </c>
      <c r="ES30" s="215">
        <f ca="1">Tbl_MeasureList[[#This Row],[Code (old fuel) Energy Consumption on MMBtu Basis (MMBtu/yr)]]-Tbl_MeasureList[[#This Row],[Code (new fuel) Energy Consumption on MMBtu Basis (MMBtu/yr)]]</f>
        <v>-2.8533724340175901</v>
      </c>
      <c r="ET30" s="502">
        <f ca="1">Tbl_MeasureList[[#This Row],[Code (old fuel) Carbon Emissions, Site (tons CO2/yr)]]-Tbl_MeasureList[[#This Row],[Code (new fuel) Carbon Emissions, Site (tons CO2/yr)]]</f>
        <v>0.32966642228739085</v>
      </c>
      <c r="EU30" s="498">
        <f ca="1">Tbl_MeasureList[[#This Row],[Code (old fuel) Carbon Emissions, Source (tons CO2/yr)]]-Tbl_MeasureList[[#This Row],[Code (new fuel) Carbon Emissions, Source (tons CO2/yr)]]</f>
        <v>0.32966642228739085</v>
      </c>
      <c r="EV30" s="450">
        <f ca="1">Tbl_MeasureList[[#This Row],[ER Total Low Measure Electric Annual Consumption Savings (kWh/yr)]]*COAL_BTU_PER_SITE_KWH/Btu_per_MMBtu</f>
        <v>-7.5399905060551265E-3</v>
      </c>
      <c r="EW30" s="411">
        <f ca="1">Tbl_MeasureList[[#This Row],[ER Total Low Measure Electric Annual Consumption Savings (kWh/yr)]]*COAL_LBS_PER_SITE_KWH</f>
        <v>-0.66140267596974789</v>
      </c>
      <c r="EX30" s="326">
        <f ca="1">Tbl_MeasureList[[#This Row],[ER Total Low Measure Electric Annual Consumption Savings (kWh/yr)]]*OIL_BTU_PER_SITE_KWH/Btu_per_MMBtu</f>
        <v>-8.6799945660307118E-3</v>
      </c>
      <c r="EY30" s="325">
        <f ca="1">Tbl_MeasureList[[#This Row],[ER Total Low Measure Electric Annual Consumption Savings (kWh/yr)]]*OIL_GAL_PER_SITE_KWH</f>
        <v>-6.2923589590276635E-2</v>
      </c>
      <c r="EZ30" s="326">
        <f ca="1">Tbl_MeasureList[[#This Row],[ER Total Low Measure Oil Annual Consumption Savings (MMBtu/yr)]]*Btu_per_MMBtu/OIL_BTU_PER_GAL</f>
        <v>173.73240959352867</v>
      </c>
      <c r="FA30" s="325">
        <f ca="1">Tbl_MeasureList[[#This Row],[Current ER Total Low Measure Oil Source Fuel Savings (gallons oil/year)]]+Tbl_MeasureList[[#This Row],[Current ER Total Low Measure Oil Site Fuel Savings (gallons oil/year)]]</f>
        <v>173.6694860039384</v>
      </c>
      <c r="FB30" s="326">
        <f ca="1">Tbl_MeasureList[[#This Row],[ER Total Low Measure Electric Annual Consumption Savings (kWh/yr)]]*GAS_BTU_PER_SITE_KWH/Btu_per_MMBtu</f>
        <v>-0.2803109644014824</v>
      </c>
      <c r="FC30" s="327">
        <f ca="1">Tbl_MeasureList[[#This Row],[ER Total Low Measure Electric Annual Consumption Savings (kWh/yr)]]*GAS_CUFT_PER_SITE_KWH/1000</f>
        <v>-0.27241104412194589</v>
      </c>
      <c r="FD30" s="328">
        <f ca="1">Tbl_MeasureList[[#This Row],[ER Total Low Measure Natural Gas Annual Consumption Savings (therms/yr)]]*Btu_per_MMBtu/(GAS_BTU_PER_CUFT*Therm_per_MMBtu*1000)</f>
        <v>-22.513767411726597</v>
      </c>
      <c r="FE30" s="329">
        <f ca="1">Tbl_MeasureList[[#This Row],[Current ER Total Low Measure Gas Source Fuel Savings (1,000 cu.ft. gas/year)]]+Tbl_MeasureList[[#This Row],[Current ER Total Low Measure Gas Site Fuel Savings (1,000 cu.ft gas/year)]]</f>
        <v>-22.786178455848543</v>
      </c>
      <c r="FF30" s="324">
        <f ca="1">IFERROR(Tbl_MeasureList[[#This Row],[ER Total High Measure Electric Annual Consumption Savings (kWh/yr)]]*COAL_BTU_PER_SITE_KWH/Btu_per_MMBtu,"-")</f>
        <v>-6.6704149586414695E-3</v>
      </c>
      <c r="FG30" s="325">
        <f ca="1">IFERROR(Tbl_MeasureList[[#This Row],[ER Total High Measure Electric Annual Consumption Savings (kWh/yr)]]*COAL_LBS_PER_SITE_KWH,"-")</f>
        <v>-0.58512411917907625</v>
      </c>
      <c r="FH30" s="326">
        <f ca="1">IFERROR(Tbl_MeasureList[[#This Row],[ER Total High Measure Electric Annual Consumption Savings (kWh/yr)]]*OIL_BTU_PER_SITE_KWH/Btu_per_MMBtu,"-")</f>
        <v>-7.6789440978315485E-3</v>
      </c>
      <c r="FI30" s="325">
        <f ca="1">IFERROR(Tbl_MeasureList[[#This Row],[ER Total High Measure Electric Annual Consumption Savings (kWh/yr)]]*OIL_GAL_PER_SITE_KWH,"-")</f>
        <v>-5.5666708455047655E-2</v>
      </c>
      <c r="FJ30" s="326">
        <f ca="1">IFERROR(Tbl_MeasureList[[#This Row],[ER Total High Measure Oil Annual Consumption Savings (MMBtu/yr)]]*Btu_per_MMBtu/OIL_BTU_PER_GAL,"-")</f>
        <v>173.73240959352867</v>
      </c>
      <c r="FK30" s="325">
        <f ca="1">IFERROR(Tbl_MeasureList[[#This Row],[Current ER Total High Measure Oil Source Fuel Savings (gallons oil/year)]]+Tbl_MeasureList[[#This Row],[Current ER Total High Measure Oil Site Fuel Savings (gallons oil/year)]],"-")</f>
        <v>173.67674288507362</v>
      </c>
      <c r="FL30" s="326">
        <f ca="1">IFERROR(Tbl_MeasureList[[#This Row],[ER Total High Measure Electric Annual Consumption Savings (kWh/yr)]]*GAS_BTU_PER_SITE_KWH/Btu_per_MMBtu,"-")</f>
        <v>-0.24798313055080048</v>
      </c>
      <c r="FM30" s="327">
        <f ca="1">IFERROR(Tbl_MeasureList[[#This Row],[ER Total High Measure Electric Annual Consumption Savings (kWh/yr)]]*GAS_CUFT_PER_SITE_KWH/1000,"-")</f>
        <v>-0.24099429596773611</v>
      </c>
      <c r="FN30" s="328">
        <f ca="1">IFERROR(Tbl_MeasureList[[#This Row],[ER Total High Measure Natural Gas Annual Consumption Savings (therms/yr)]]*Btu_per_MMBtu/(GAS_BTU_PER_CUFT*Therm_per_MMBtu*1000),"-")</f>
        <v>-20.467061283387814</v>
      </c>
      <c r="FO30" s="329">
        <f ca="1">IFERROR(Tbl_MeasureList[[#This Row],[Current ER Total High Measure Gas Source Fuel Savings (1,000 cu.ft. gas/year)]]+Tbl_MeasureList[[#This Row],[Current ER Total High Measure Gas Site Fuel Savings (1,000 cu.ft gas/year)]],"-")</f>
        <v>-20.708055579355548</v>
      </c>
      <c r="FP30" s="412">
        <f ca="1">Tbl_MeasureList[[#This Row],[ROF Low Measure Electric Annual Consumption Savings (kWh/yr)]]*COAL_BTU_PER_SITE_KWH/Btu_per_MMBtu</f>
        <v>-7.5399905060551265E-3</v>
      </c>
      <c r="FQ30" s="327">
        <f ca="1">Tbl_MeasureList[[#This Row],[ROF Low Measure Electric Annual Consumption Savings (kWh/yr)]]*COAL_LBS_PER_SITE_KWH</f>
        <v>-0.66140267596974789</v>
      </c>
      <c r="FR30" s="412">
        <f ca="1">Tbl_MeasureList[[#This Row],[ROF Low Measure Electric Annual Consumption Savings (kWh/yr)]]*OIL_BTU_PER_SITE_KWH/Btu_per_MMBtu</f>
        <v>-8.6799945660307118E-3</v>
      </c>
      <c r="FS30" s="327">
        <f ca="1">Tbl_MeasureList[[#This Row],[ROF Low Measure Electric Annual Consumption Savings (kWh/yr)]]*OIL_GAL_PER_SITE_KWH</f>
        <v>-6.2923589590276635E-2</v>
      </c>
      <c r="FT30" s="412">
        <f ca="1">Tbl_MeasureList[[#This Row],[ROF Low Measure Oil Annual Consumption Savings (MMBtu/yr)]]*Btu_per_MMBtu/OIL_BTU_PER_GAL</f>
        <v>162.52386703910747</v>
      </c>
      <c r="FU30" s="327">
        <f ca="1">Tbl_MeasureList[[#This Row],[Current ROF Low Measure Oil Source Fuel Savings (gallons oil/year)]]+Tbl_MeasureList[[#This Row],[Current ROF Low Measure Oil Site Fuel Savings (gallons oil/year)]]</f>
        <v>162.4609434495172</v>
      </c>
      <c r="FV30" s="412">
        <f ca="1">Tbl_MeasureList[[#This Row],[ROF Low Measure Electric Annual Consumption Savings (kWh/yr)]]*GAS_BTU_PER_SITE_KWH/Btu_per_MMBtu</f>
        <v>-0.2803109644014824</v>
      </c>
      <c r="FW30" s="327">
        <f ca="1">Tbl_MeasureList[[#This Row],[ROF Low Measure Electric Annual Consumption Savings (kWh/yr)]]*GAS_CUFT_PER_SITE_KWH/1000</f>
        <v>-0.27241104412194589</v>
      </c>
      <c r="FX30" s="412">
        <f ca="1">Tbl_MeasureList[[#This Row],[ROF Low Measure Natural Gas Annual Consumption Savings (therms/yr)]]*Btu_per_MMBtu/(GAS_BTU_PER_CUFT*Therm_per_MMBtu*1000)</f>
        <v>-22.513767411726597</v>
      </c>
      <c r="FY30" s="327">
        <f ca="1">Tbl_MeasureList[[#This Row],[Current ROF Low Measure Gas Source Fuel Savings (1,000 cu.ft. gas/year)]]+Tbl_MeasureList[[#This Row],[Current ROF Low Measure Gas Site Fuel Savings (1,000 cu.ft gas/year)]]</f>
        <v>-22.786178455848543</v>
      </c>
      <c r="FZ30" s="414">
        <f ca="1">IFERROR(Tbl_MeasureList[[#This Row],[ROF High Measure Electric Annual Consumption Savings (kWh/yr)]]*COAL_BTU_PER_SITE_KWH/Btu_per_MMBtu,"-")</f>
        <v>-6.6704149586414695E-3</v>
      </c>
      <c r="GA30" s="327">
        <f ca="1">IFERROR(Tbl_MeasureList[[#This Row],[ROF High Measure Electric Annual Consumption Savings (kWh/yr)]]*COAL_LBS_PER_SITE_KWH,"-")</f>
        <v>-0.58512411917907625</v>
      </c>
      <c r="GB30" s="412">
        <f ca="1">IFERROR(Tbl_MeasureList[[#This Row],[ROF High Measure Electric Annual Consumption Savings (kWh/yr)]]*OIL_BTU_PER_SITE_KWH/Btu_per_MMBtu,"-")</f>
        <v>-7.6789440978315485E-3</v>
      </c>
      <c r="GC30" s="327">
        <f ca="1">IFERROR(Tbl_MeasureList[[#This Row],[ROF High Measure Electric Annual Consumption Savings (kWh/yr)]]*OIL_GAL_PER_SITE_KWH,"-")</f>
        <v>-5.5666708455047655E-2</v>
      </c>
      <c r="GD30" s="412">
        <f ca="1">IFERROR(Tbl_MeasureList[[#This Row],[ROF High Measure Oil Annual Consumption Savings (MMBtu/yr)]]*Btu_per_MMBtu/OIL_BTU_PER_GAL,"-")</f>
        <v>162.52386703910747</v>
      </c>
      <c r="GE30" s="327">
        <f ca="1">IFERROR(Tbl_MeasureList[[#This Row],[Current ROF High Measure Oil Source Fuel Savings (gallons oil/year)]]+Tbl_MeasureList[[#This Row],[Current ROF High Measure Oil Site Fuel Savings (gallons oil/year)]],"-")</f>
        <v>162.46820033065242</v>
      </c>
      <c r="GF30" s="412">
        <f ca="1">IFERROR(Tbl_MeasureList[[#This Row],[ROF High Measure Electric Annual Consumption Savings (kWh/yr)]]*GAS_BTU_PER_SITE_KWH/Btu_per_MMBtu,"-")</f>
        <v>-0.24798313055080048</v>
      </c>
      <c r="GG30" s="327">
        <f ca="1">IFERROR(Tbl_MeasureList[[#This Row],[ROF High Measure Electric Annual Consumption Savings (kWh/yr)]]*GAS_CUFT_PER_SITE_KWH/1000,"-")</f>
        <v>-0.24099429596773611</v>
      </c>
      <c r="GH30" s="412">
        <f ca="1">IFERROR(Tbl_MeasureList[[#This Row],[ROF High Measure Natural Gas Annual Consumption Savings (therms/yr)]]*Btu_per_MMBtu/(GAS_BTU_PER_CUFT*Therm_per_MMBtu*1000),"-")</f>
        <v>-20.467061283387814</v>
      </c>
      <c r="GI30" s="327">
        <f ca="1">IFERROR(Tbl_MeasureList[[#This Row],[Current ROF High Measure Gas Source Fuel Savings (1,000 cu.ft. gas/year)]]+Tbl_MeasureList[[#This Row],[Current ROF High Measure Gas Site Fuel Savings (1,000 cu.ft gas/year)]],"-")</f>
        <v>-20.708055579355548</v>
      </c>
      <c r="GJ30" s="324">
        <f ca="1">Tbl_MeasureList[[#This Row],[ER Total Low Measure Electric Annual Consumption Savings (kWh/yr)]]*COAL_BTU_PER_SITE_KWH_CES/Btu_per_MMBtu</f>
        <v>-1.2817983860293713E-2</v>
      </c>
      <c r="GK30" s="325">
        <f ca="1">Tbl_MeasureList[[#This Row],[ER Total Low Measure Electric Annual Consumption Savings (kWh/yr)]]*COAL_LBS_PER_SITE_KWH_CES</f>
        <v>-1.1640014402736754</v>
      </c>
      <c r="GL30" s="326">
        <f ca="1">Tbl_MeasureList[[#This Row],[ER Total Low Measure Electric Annual Consumption Savings (kWh/yr)]]*OIL_BTU_PER_SITE_KWH_CES/Btu_per_MMBtu</f>
        <v>-3.945452075468505E-3</v>
      </c>
      <c r="GM30" s="325">
        <f ca="1">Tbl_MeasureList[[#This Row],[ER Total Low Measure Electric Annual Consumption Savings (kWh/yr)]]*OIL_GAL_PER_SITE_KWH_CES</f>
        <v>-2.6618173004833937E-2</v>
      </c>
      <c r="GN30" s="326">
        <f ca="1">Tbl_MeasureList[[#This Row],[ER Total Low Measure Oil Annual Consumption Savings (MMBtu/yr)]]*Btu_per_MMBtu/OIL_BTU_PER_GAL_CES</f>
        <v>161.68445893633495</v>
      </c>
      <c r="GO30" s="325">
        <f ca="1">Tbl_MeasureList[[#This Row],[CES ER Low Measure Oil Source Fuel Savings (gallons oil/year)]]+Tbl_MeasureList[[#This Row],[CES ER Low Measure Oil Site Fuel Savings (gallons oil/year)]]</f>
        <v>161.65784076333011</v>
      </c>
      <c r="GP30" s="326">
        <f ca="1">Tbl_MeasureList[[#This Row],[ER Total Low Measure Electric Annual Consumption Savings (kWh/yr)]]*GAS_BTU_PER_SITE_KWH_CES/Btu_per_MMBtu</f>
        <v>-0.11670089130184165</v>
      </c>
      <c r="GQ30" s="327">
        <f ca="1">Tbl_MeasureList[[#This Row],[ER Total Low Measure Electric Annual Consumption Savings (kWh/yr)]]*GAS_CUFT_PER_SITE_KWH_CES/1000</f>
        <v>-0.11330183621538024</v>
      </c>
      <c r="GR30" s="328">
        <f ca="1">Tbl_MeasureList[[#This Row],[ER Total Low Measure Natural Gas Annual Consumption Savings (therms/yr)]]*Btu_per_MMBtu/(GAS_BTU_PER_CUFT_CES*Therm_per_MMBtu*1000)</f>
        <v>-22.491909385113271</v>
      </c>
      <c r="GS30" s="329">
        <f ca="1">Tbl_MeasureList[[#This Row],[CES ER Low Measure Gas Source Fuel Savings (1,000 cu.ft. gas/year)]]+Tbl_MeasureList[[#This Row],[CES ER Low Measure Gas Site Fuel Savings (1,000 cu.ft gas/year)]]</f>
        <v>-22.605211221328652</v>
      </c>
      <c r="GT30" s="324">
        <f ca="1">IFERROR(Tbl_MeasureList[[#This Row],[ER Total High Measure Electric Annual Consumption Savings (kWh/yr)]]*COAL_BTU_PER_SITE_KWH_CES/Btu_per_MMBtu,"-")</f>
        <v>-1.1339705429690497E-2</v>
      </c>
      <c r="GU30" s="325">
        <f ca="1">IFERROR(Tbl_MeasureList[[#This Row],[ER Total High Measure Electric Annual Consumption Savings (kWh/yr)]]*COAL_LBS_PER_SITE_KWH_CES,"-")</f>
        <v>-1.0297589384026968</v>
      </c>
      <c r="GV30" s="326">
        <f ca="1">IFERROR(Tbl_MeasureList[[#This Row],[ER Total High Measure Electric Annual Consumption Savings (kWh/yr)]]*OIL_BTU_PER_SITE_KWH_CES/Btu_per_MMBtu,"-")</f>
        <v>-3.4904291353779772E-3</v>
      </c>
      <c r="GW30" s="325">
        <f ca="1">IFERROR(Tbl_MeasureList[[#This Row],[ER Total High Measure Electric Annual Consumption Savings (kWh/yr)]]*OIL_GAL_PER_SITE_KWH_CES,"-")</f>
        <v>-2.3548339913765499E-2</v>
      </c>
      <c r="GX30" s="326">
        <f ca="1">IFERROR(Tbl_MeasureList[[#This Row],[ER Total High Measure Oil Annual Consumption Savings (MMBtu/yr)]]*Btu_per_MMBtu/OIL_BTU_PER_GAL_CES,"-")</f>
        <v>161.68445893633495</v>
      </c>
      <c r="GY30" s="325">
        <f ca="1">IFERROR(Tbl_MeasureList[[#This Row],[CES ER High Measure Oil Source Fuel Savings (gallons oil/year)]]+Tbl_MeasureList[[#This Row],[CES ER High Measure Oil Site Fuel Savings (gallons oil/year)]],"-")</f>
        <v>161.66091059642119</v>
      </c>
      <c r="GZ30" s="326">
        <f ca="1">IFERROR(Tbl_MeasureList[[#This Row],[ER Total High Measure Electric Annual Consumption Savings (kWh/yr)]]*GAS_BTU_PER_SITE_KWH_CES/Btu_per_MMBtu,"-")</f>
        <v>-0.10324195639257816</v>
      </c>
      <c r="HA30" s="327">
        <f ca="1">IFERROR(Tbl_MeasureList[[#This Row],[ER Total High Measure Electric Annual Consumption Savings (kWh/yr)]]*GAS_CUFT_PER_SITE_KWH_CES/1000,"-")</f>
        <v>-0.10023490911900793</v>
      </c>
      <c r="HB30" s="328">
        <f ca="1">IFERROR(Tbl_MeasureList[[#This Row],[ER Total High Measure Natural Gas Annual Consumption Savings (therms/yr)]]*Btu_per_MMBtu/(GAS_BTU_PER_CUFT_CES*Therm_per_MMBtu*1000),"-")</f>
        <v>-20.447190350102971</v>
      </c>
      <c r="HC30" s="329">
        <f ca="1">IFERROR(Tbl_MeasureList[[#This Row],[CES ER High Measure Gas Source Fuel Savings (1,000 cu.ft. gas/year)]]+Tbl_MeasureList[[#This Row],[CES ER High Measure Gas Site Fuel Savings (1,000 cu.ft gas/year)]],"-")</f>
        <v>-20.547425259221978</v>
      </c>
      <c r="HD30" s="315">
        <f ca="1">Tbl_MeasureList[[#This Row],[ROF Low Measure Electric Annual Consumption Savings (kWh/yr)]]*COAL_BTU_PER_SITE_KWH_CES/Btu_per_MMBtu</f>
        <v>-1.2817983860293713E-2</v>
      </c>
      <c r="HE30" s="316">
        <f ca="1">Tbl_MeasureList[[#This Row],[ROF Low Measure Electric Annual Consumption Savings (kWh/yr)]]*COAL_LBS_PER_SITE_KWH_CES</f>
        <v>-1.1640014402736754</v>
      </c>
      <c r="HF30" s="317">
        <f ca="1">Tbl_MeasureList[[#This Row],[ROF Low Measure Electric Annual Consumption Savings (kWh/yr)]]*OIL_BTU_PER_SITE_KWH_CES/Btu_per_MMBtu</f>
        <v>-3.945452075468505E-3</v>
      </c>
      <c r="HG30" s="316">
        <f ca="1">Tbl_MeasureList[[#This Row],[ROF Low Measure Electric Annual Consumption Savings (kWh/yr)]]*OIL_GAL_PER_SITE_KWH_CES</f>
        <v>-2.6618173004833937E-2</v>
      </c>
      <c r="HH30" s="317">
        <f ca="1">Tbl_MeasureList[[#This Row],[ROF Low Measure Oil Annual Consumption Savings (MMBtu/yr)]]*Btu_per_MMBtu/OIL_BTU_PER_GAL_CES</f>
        <v>151.25320352108753</v>
      </c>
      <c r="HI30" s="316">
        <f ca="1">Tbl_MeasureList[[#This Row],[CES ROF Low Measure Oil Source Fuel Savings (gallons oil/year)]]+Tbl_MeasureList[[#This Row],[CES ROF Low Measure Oil Site Fuel Savings (gallons oil/year)]]</f>
        <v>151.22658534808269</v>
      </c>
      <c r="HJ30" s="317">
        <f ca="1">Tbl_MeasureList[[#This Row],[ROF Low Measure Electric Annual Consumption Savings (kWh/yr)]]*GAS_BTU_PER_SITE_KWH_CES/Btu_per_MMBtu</f>
        <v>-0.11670089130184165</v>
      </c>
      <c r="HK30" s="316">
        <f ca="1">Tbl_MeasureList[[#This Row],[ROF Low Measure Electric Annual Consumption Savings (kWh/yr)]]*GAS_CUFT_PER_SITE_KWH_CES/1000</f>
        <v>-0.11330183621538024</v>
      </c>
      <c r="HL30" s="317">
        <f ca="1">Tbl_MeasureList[[#This Row],[ROF Low Measure Natural Gas Annual Consumption Savings (therms/yr)]]*Btu_per_MMBtu/(GAS_BTU_PER_CUFT_CES*Therm_per_MMBtu*1000)</f>
        <v>-22.491909385113271</v>
      </c>
      <c r="HM30" s="318">
        <f ca="1">Tbl_MeasureList[[#This Row],[CES ROF Low Measure Gas Source Fuel Savings (1,000 cu.ft. gas/year)]]+Tbl_MeasureList[[#This Row],[CES ROF Low Measure Gas Site Fuel Savings (1,000 cu.ft gas/year)]]</f>
        <v>-22.605211221328652</v>
      </c>
      <c r="HN30" s="315">
        <f ca="1">IFERROR(Tbl_MeasureList[[#This Row],[ROF High Measure Electric Annual Consumption Savings (kWh/yr)]]*COAL_BTU_PER_SITE_KWH_CES/Btu_per_MMBtu,"-")</f>
        <v>-1.1339705429690497E-2</v>
      </c>
      <c r="HO30" s="316">
        <f ca="1">IFERROR(Tbl_MeasureList[[#This Row],[ROF High Measure Electric Annual Consumption Savings (kWh/yr)]]*COAL_LBS_PER_SITE_KWH_CES,"-")</f>
        <v>-1.0297589384026968</v>
      </c>
      <c r="HP30" s="317">
        <f ca="1">IFERROR(Tbl_MeasureList[[#This Row],[ROF High Measure Electric Annual Consumption Savings (kWh/yr)]]*OIL_BTU_PER_SITE_KWH_CES/Btu_per_MMBtu,"-")</f>
        <v>-3.4904291353779772E-3</v>
      </c>
      <c r="HQ30" s="316">
        <f ca="1">IFERROR(Tbl_MeasureList[[#This Row],[ROF High Measure Electric Annual Consumption Savings (kWh/yr)]]*OIL_GAL_PER_SITE_KWH_CES,"-")</f>
        <v>-2.3548339913765499E-2</v>
      </c>
      <c r="HR30" s="317">
        <f ca="1">IFERROR(Tbl_MeasureList[[#This Row],[ROF High Measure Oil Annual Consumption Savings (MMBtu/yr)]]*Btu_per_MMBtu/OIL_BTU_PER_GAL_CES,"-")</f>
        <v>151.25320352108753</v>
      </c>
      <c r="HS30" s="316">
        <f ca="1">IFERROR(Tbl_MeasureList[[#This Row],[CES ROF High Measure Oil Source Fuel Savings (gallons oil/year)]]+Tbl_MeasureList[[#This Row],[CES ROF High Measure Oil Site Fuel Savings (gallons oil/year)]],"-")</f>
        <v>151.22965518117377</v>
      </c>
      <c r="HT30" s="317">
        <f ca="1">IFERROR(Tbl_MeasureList[[#This Row],[ROF High Measure Electric Annual Consumption Savings (kWh/yr)]]*GAS_BTU_PER_SITE_KWH_CES/Btu_per_MMBtu,"-")</f>
        <v>-0.10324195639257816</v>
      </c>
      <c r="HU30" s="316">
        <f ca="1">IFERROR(Tbl_MeasureList[[#This Row],[ROF High Measure Electric Annual Consumption Savings (kWh/yr)]]*GAS_CUFT_PER_SITE_KWH_CES/1000,"-")</f>
        <v>-0.10023490911900793</v>
      </c>
      <c r="HV30" s="317">
        <f ca="1">IFERROR(Tbl_MeasureList[[#This Row],[ROF High Measure Natural Gas Annual Consumption Savings (therms/yr)]]*Btu_per_MMBtu/(GAS_BTU_PER_CUFT_CES*Therm_per_MMBtu*1000),"-")</f>
        <v>-20.447190350102971</v>
      </c>
      <c r="HW30" s="318">
        <f ca="1">IFERROR(Tbl_MeasureList[[#This Row],[CES ROF High Measure Gas Source Fuel Savings (1,000 cu.ft. gas/year)]]+Tbl_MeasureList[[#This Row],[CES ROF High Measure Gas Site Fuel Savings (1,000 cu.ft gas/year)]],"-")</f>
        <v>-20.547425259221978</v>
      </c>
      <c r="HX30" s="248">
        <f>Tbl_MeasureList[[#This Row],[Baseline Energy Cost (USD/yr)]]-Tbl_MeasureList[[#This Row],[Code (old fuel) Energy Cost (USD/yr)]]</f>
        <v>34.727059516301836</v>
      </c>
      <c r="HY30" s="201">
        <f>0</f>
        <v>0</v>
      </c>
      <c r="HZ30" s="86">
        <f>Tbl_MeasureList[[#This Row],[Baseline Electric Annual Consumption (kWh/yr)]]-Tbl_MeasureList[[#This Row],[Code (old fuel) Electric Annual Consumption (kWh/yr)]]</f>
        <v>0</v>
      </c>
      <c r="IA30" s="86" t="str">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v>
      </c>
      <c r="IB30" s="86" t="str">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v>
      </c>
      <c r="IC30" s="152">
        <f>Tbl_MeasureList[[#This Row],[Baseline Electric Winter Peak Demand (kW)]]-Tbl_MeasureList[[#This Row],[Code (old fuel) Electric Winter Peak Demand (kW)]]</f>
        <v>0</v>
      </c>
      <c r="ID30" s="152">
        <f>Tbl_MeasureList[[#This Row],[Baseline Electric Summer Peak Demand (kW)]]-Tbl_MeasureList[[#This Row],[Code (old fuel) Electric Summer Peak Demand (kW)]]</f>
        <v>0</v>
      </c>
      <c r="IE30" s="251">
        <f>Tbl_MeasureList[[#This Row],[Baseline Natural Gas Annual Consumption (therms/yr)]]-Tbl_MeasureList[[#This Row],[Code (old fuel) Natural Gas Annual Consumption (therms/yr)]]</f>
        <v>0</v>
      </c>
      <c r="IF30" s="252">
        <f>Tbl_MeasureList[[#This Row],[Baseline Propane Annual Consumption (MMBtu/yr)]]-Tbl_MeasureList[[#This Row],[Code (old fuel) Propane Annual Consumption (MMBtu/yr)]]</f>
        <v>0</v>
      </c>
      <c r="IG30" s="253">
        <f>Tbl_MeasureList[[#This Row],[Baseline Oil Annual Consumption (MMBtu/yr)]]-Tbl_MeasureList[[#This Row],[Code (old fuel) Oil Annual Consumption (MMBtu/yr)]]</f>
        <v>1.5461624026696335</v>
      </c>
      <c r="IH30" s="371">
        <f>Tbl_MeasureList[[#This Row],[Baseline Energy Consumption on MMBtu Basis (MMBtu/yr)]]-Tbl_MeasureList[[#This Row],[Code (old fuel) Energy Consumption on MMBtu Basis (MMBtu/yr)]]</f>
        <v>1.5461624026696335</v>
      </c>
      <c r="II30" s="371">
        <f>Tbl_MeasureList[[#This Row],[Baseline Carbon Emissions, Site (tons CO2/yr)]]-Tbl_MeasureList[[#This Row],[Code (old fuel) Carbon Emissions, Site (tons CO2/yr)]]</f>
        <v>0.12469799777530599</v>
      </c>
      <c r="IJ30" s="279">
        <f>Tbl_MeasureList[[#This Row],[Baseline Carbon Emissions, Source (tons CO2/yr)]]-Tbl_MeasureList[[#This Row],[Code (old fuel) Carbon Emissions, Source (tons CO2/yr)]]</f>
        <v>0.12469799777530599</v>
      </c>
      <c r="IK30" s="273">
        <f ca="1">Tbl_MeasureList[[#This Row],[Code (new fuel) Energy Cost (USD/yr)]]-Tbl_MeasureList[[#This Row],[Low Measure Energy Cost (USD/yr)]]</f>
        <v>20.421457575757472</v>
      </c>
      <c r="IL30"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6470.736553523313</v>
      </c>
      <c r="IM30" s="85">
        <f ca="1">Tbl_MeasureList[[#This Row],[Code (old fuel) Electric Annual Consumption (kWh/yr)]]-Tbl_MeasureList[[#This Row],[Low Measure Electric Annual Consumption (kWh/yr)]]</f>
        <v>-68.5</v>
      </c>
      <c r="IN30" s="85" t="str">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v>
      </c>
      <c r="IO30" s="85" t="str">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v>
      </c>
      <c r="IP30" s="152">
        <f ca="1">Tbl_MeasureList[[#This Row],[Code (old fuel) Electric Winter Peak Demand (kW)]]-Tbl_MeasureList[[#This Row],[Low Measure Electric Winter Peak Demand (kW)]]</f>
        <v>-2.7043031977891829E-2</v>
      </c>
      <c r="IQ30" s="152">
        <f ca="1">Tbl_MeasureList[[#This Row],[Code (old fuel) Electric Summer Peak Demand (kW)]]-Tbl_MeasureList[[#This Row],[Low Measure Electric Summer Peak Demand (kW)]]</f>
        <v>-1.2710225029609159E-2</v>
      </c>
      <c r="IR30" s="204">
        <f ca="1">Tbl_MeasureList[[#This Row],[Code (old fuel) Natural Gas Annual Consumption (therms/yr)]]-Tbl_MeasureList[[#This Row],[Low Measure Natural Gas Annual Consumption (therms/yr)]]</f>
        <v>-231.66666666666669</v>
      </c>
      <c r="IS30" s="153">
        <f ca="1">Tbl_MeasureList[[#This Row],[Code (old fuel) Propane Annual Consumption (MMBtu/yr)]]-Tbl_MeasureList[[#This Row],[Low Measure Propane Annual Consumption (MMBtu/yr)]]</f>
        <v>0</v>
      </c>
      <c r="IT30" s="204">
        <f ca="1">Tbl_MeasureList[[#This Row],[Code (old fuel) Oil Annual Consumption (MMBtu/yr)]]-Tbl_MeasureList[[#This Row],[Low Measure Oil Annual Consumption (MMBtu/yr)]]</f>
        <v>22.41935483870968</v>
      </c>
      <c r="IU30" s="204">
        <f ca="1">Tbl_MeasureList[[#This Row],[Code (old fuel) Energy Consumption on MMBtu Basis (MMBtu/yr)]]-Tbl_MeasureList[[#This Row],[Low Measure Energy Consumption on MMBtu Basis (MMBtu/yr)]]</f>
        <v>-0.98103382795698835</v>
      </c>
      <c r="IV30" s="204">
        <f ca="1">Tbl_MeasureList[[#This Row],[Code (old fuel) Carbon Emissions, Site (tons CO2/yr)]]-Tbl_MeasureList[[#This Row],[Low Measure Carbon Emissions, Site (tons CO2/yr)]]</f>
        <v>0.4528709677419358</v>
      </c>
      <c r="IW30" s="260">
        <f ca="1">Tbl_MeasureList[[#This Row],[Code (old fuel) Carbon Emissions, Source (tons CO2/yr)]]-Tbl_MeasureList[[#This Row],[Low Measure Carbon Emissions, Source (tons CO2/yr)]]</f>
        <v>0.42867950774193586</v>
      </c>
      <c r="IX30" s="27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151.84810722880144</v>
      </c>
      <c r="IY30" s="20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8838.736553523313</v>
      </c>
      <c r="IZ30"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-60.6</v>
      </c>
      <c r="JA30" s="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v>
      </c>
      <c r="JB30" s="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v>
      </c>
      <c r="JC30"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-2.3924200552704302E-2</v>
      </c>
      <c r="JD30"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-1.1244374259771022E-2</v>
      </c>
      <c r="JE30"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-210.60606060606059</v>
      </c>
      <c r="JF30" s="1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0</v>
      </c>
      <c r="JG30"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22.41935483870968</v>
      </c>
      <c r="JH30"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1.1519815781036193</v>
      </c>
      <c r="JI30"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0.57607551319648143</v>
      </c>
      <c r="JJ30"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0.55467401719648146</v>
      </c>
      <c r="JK30" s="432">
        <f>Tbl_MeasureList[[#This Row],[ER (Retire) Electric Annual Consumption Savings (kWh/yr)]]*COAL_BTU_PER_SITE_KWH/Btu_per_MMBtu</f>
        <v>0</v>
      </c>
      <c r="JL30" s="428">
        <f>Tbl_MeasureList[[#This Row],[ER (Retire) Electric Annual Consumption Savings (kWh/yr)]]*COAL_LBS_PER_SITE_KWH</f>
        <v>0</v>
      </c>
      <c r="JM30" s="427">
        <f>Tbl_MeasureList[[#This Row],[ER (Retire) Electric Annual Consumption Savings (kWh/yr)]]*OIL_BTU_PER_SITE_KWH/Btu_per_MMBtu</f>
        <v>0</v>
      </c>
      <c r="JN30" s="428">
        <f>Tbl_MeasureList[[#This Row],[ER (Retire) Electric Annual Consumption Savings (kWh/yr)]]*OIL_GAL_PER_SITE_KWH</f>
        <v>0</v>
      </c>
      <c r="JO30" s="427">
        <f>Tbl_MeasureList[[#This Row],[ER (Retire) Oil Annual Consumption Savings (MMBtu/yr)]]*Btu_per_MMBtu/OIL_BTU_PER_GAL</f>
        <v>11.208542554421207</v>
      </c>
      <c r="JP30" s="428">
        <f ca="1">Tbl_MeasureList[[#This Row],[Current ER (Retire) Oil Source Fuel Savings (gallons oil/year)]]+Tbl_MeasureList[[#This Row],[Current ER Total Low Measure Oil Site Fuel Savings (gallons oil/year)]]</f>
        <v>173.73240959352867</v>
      </c>
      <c r="JQ30" s="427">
        <f>Tbl_MeasureList[[#This Row],[ER (Retire) Electric Annual Consumption Savings (kWh/yr)]]*GAS_BTU_PER_SITE_KWH/Btu_per_MMBtu</f>
        <v>0</v>
      </c>
      <c r="JR30" s="429">
        <f>Tbl_MeasureList[[#This Row],[ER (Retire) Electric Annual Consumption Savings (kWh/yr)]]*GAS_CUFT_PER_SITE_KWH/1000</f>
        <v>0</v>
      </c>
      <c r="JS30" s="430">
        <f>Tbl_MeasureList[[#This Row],[ER (Retire) Natural Gas Annual Consumption Savings (therms/yr)]]*Btu_per_MMBtu/(GAS_BTU_PER_CUFT*Therm_per_MMBtu*1000)</f>
        <v>0</v>
      </c>
      <c r="JT30" s="431">
        <f ca="1">Tbl_MeasureList[[#This Row],[Current ER (Retire) Gas Source Fuel Savings (1,000 cu.ft. gas/year)]]+Tbl_MeasureList[[#This Row],[Current ER Total Low Measure Gas Site Fuel Savings (1,000 cu.ft gas/year)]]</f>
        <v>-22.513767411726597</v>
      </c>
      <c r="JU30" s="432">
        <f ca="1">Tbl_MeasureList[[#This Row],[ER (EE) Low Measure Electric Annual Consumption Savings (kWh/yr)]]*COAL_BTU_PER_SITE_KWH/Btu_per_MMBtu</f>
        <v>-7.5399905060551265E-3</v>
      </c>
      <c r="JV30" s="428">
        <f ca="1">Tbl_MeasureList[[#This Row],[ER (EE) Low Measure Electric Annual Consumption Savings (kWh/yr)]]*COAL_LBS_PER_SITE_KWH</f>
        <v>-0.66140267596974789</v>
      </c>
      <c r="JW30" s="427">
        <f ca="1">Tbl_MeasureList[[#This Row],[ER (EE) Low Measure Electric Annual Consumption Savings (kWh/yr)]]*OIL_BTU_PER_SITE_KWH/Btu_per_MMBtu</f>
        <v>-8.6799945660307118E-3</v>
      </c>
      <c r="JX30" s="428">
        <f ca="1">Tbl_MeasureList[[#This Row],[ER (EE) Low Measure Electric Annual Consumption Savings (kWh/yr)]]*OIL_GAL_PER_SITE_KWH</f>
        <v>-6.2923589590276635E-2</v>
      </c>
      <c r="JY30" s="427">
        <f ca="1">Tbl_MeasureList[[#This Row],[ER (EE) Low Measure Oil Annual Consumption Savings (MMBtu/yr)]]*Btu_per_MMBtu/OIL_BTU_PER_GAL</f>
        <v>162.52386703910747</v>
      </c>
      <c r="JZ30" s="428">
        <f ca="1">Tbl_MeasureList[[#This Row],[Current ER (EE) Low Measure Oil Source Fuel Savings (gallons oil/year)]]+Tbl_MeasureList[[#This Row],[Current ER (EE) Low Measure Oil Site Fuel Savings (gallons oil/year)]]</f>
        <v>162.4609434495172</v>
      </c>
      <c r="KA30" s="427">
        <f ca="1">Tbl_MeasureList[[#This Row],[ER (EE) Low Measure Electric Annual Consumption Savings (kWh/yr)]]*GAS_BTU_PER_SITE_KWH/Btu_per_MMBtu</f>
        <v>-0.2803109644014824</v>
      </c>
      <c r="KB30" s="429">
        <f ca="1">Tbl_MeasureList[[#This Row],[ER (EE) Low Measure Electric Annual Consumption Savings (kWh/yr)]]*GAS_CUFT_PER_SITE_KWH/1000</f>
        <v>-0.27241104412194589</v>
      </c>
      <c r="KC30" s="430">
        <f ca="1">Tbl_MeasureList[[#This Row],[ER (EE) Low Measure Natural Gas Annual Consumption Savings (therms/yr)]]*Btu_per_MMBtu/(GAS_BTU_PER_CUFT*Therm_per_MMBtu*1000)</f>
        <v>-22.513767411726597</v>
      </c>
      <c r="KD30" s="431">
        <f ca="1">Tbl_MeasureList[[#This Row],[Current ER (EE) Low Measure Gas Source Fuel Savings (1,000 cu.ft. gas/year)]]+Tbl_MeasureList[[#This Row],[Current ER (EE) Low Measure Gas Site Fuel Savings (1,000 cu.ft gas/year)]]</f>
        <v>-22.786178455848543</v>
      </c>
      <c r="KE30" s="432">
        <f ca="1">IFERROR(Tbl_MeasureList[[#This Row],[ER (EE) High Measure Electric Annual Consumption Savings (kWh/yr)]]*COAL_BTU_PER_SITE_KWH/Btu_per_MMBtu,"-")</f>
        <v>-6.6704149586414695E-3</v>
      </c>
      <c r="KF30" s="428">
        <f ca="1">IFERROR(Tbl_MeasureList[[#This Row],[ER (EE) High Measure Electric Annual Consumption Savings (kWh/yr)]]*COAL_LBS_PER_SITE_KWH,"-")</f>
        <v>-0.58512411917907625</v>
      </c>
      <c r="KG30" s="427">
        <f ca="1">IFERROR(Tbl_MeasureList[[#This Row],[ER (EE) High Measure Electric Annual Consumption Savings (kWh/yr)]]*OIL_BTU_PER_SITE_KWH/Btu_per_MMBtu,"-")</f>
        <v>-7.6789440978315485E-3</v>
      </c>
      <c r="KH30" s="428">
        <f ca="1">IFERROR(Tbl_MeasureList[[#This Row],[ER (EE) High Measure Electric Annual Consumption Savings (kWh/yr)]]*OIL_GAL_PER_SITE_KWH,"-")</f>
        <v>-5.5666708455047655E-2</v>
      </c>
      <c r="KI30" s="427">
        <f ca="1">IFERROR(Tbl_MeasureList[[#This Row],[ER (EE) High Measure Oil Annual Consumption Savings (MMBtu/yr)]]*Btu_per_MMBtu/OIL_BTU_PER_GAL,"-")</f>
        <v>162.52386703910747</v>
      </c>
      <c r="KJ30" s="428">
        <f ca="1">IFERROR(Tbl_MeasureList[[#This Row],[Current ER (EE) High Measure Oil Source Fuel Savings (gallons oil/year)]]+Tbl_MeasureList[[#This Row],[Current ER (EE) High Measure Oil Site Fuel Savings (gallons oil/year)]],"-")</f>
        <v>162.46820033065242</v>
      </c>
      <c r="KK30" s="427">
        <f ca="1">IFERROR(Tbl_MeasureList[[#This Row],[ER (EE) High Measure Electric Annual Consumption Savings (kWh/yr)]]*GAS_BTU_PER_SITE_KWH/Btu_per_MMBtu,"-")</f>
        <v>-0.24798313055080048</v>
      </c>
      <c r="KL30" s="429">
        <f ca="1">IFERROR(Tbl_MeasureList[[#This Row],[ER (EE) High Measure Electric Annual Consumption Savings (kWh/yr)]]*GAS_CUFT_PER_SITE_KWH/1000,"-")</f>
        <v>-0.24099429596773611</v>
      </c>
      <c r="KM30" s="430">
        <f ca="1">IFERROR(Tbl_MeasureList[[#This Row],[ER (EE) High Measure Natural Gas Annual Consumption Savings (therms/yr)]]*Btu_per_MMBtu/(GAS_BTU_PER_CUFT*Therm_per_MMBtu*1000),"-")</f>
        <v>-20.467061283387814</v>
      </c>
      <c r="KN30" s="431">
        <f ca="1">IFERROR(Tbl_MeasureList[[#This Row],[Current ER (EE) High Measure Gas Source Fuel Savings (1,000 cu.ft. gas/year)]]+Tbl_MeasureList[[#This Row],[Current ER (EE) High Measure Gas Site Fuel Savings (1,000 cu.ft gas/year)]],"-")</f>
        <v>-20.708055579355548</v>
      </c>
    </row>
    <row r="31" spans="2:300" x14ac:dyDescent="0.2">
      <c r="B31" s="16"/>
      <c r="C31" s="2" t="s">
        <v>105</v>
      </c>
      <c r="D31" s="12" t="str">
        <f>INDEX(Tbl_BaselineSummary[Equipment ID],MATCH(Tbl_MeasureList[[#This Row],[Baseline ID]],Tbl_BaselineSummary[Baseline ID],0))</f>
        <v>EQUI027</v>
      </c>
      <c r="E31" s="11" t="str">
        <f>INDEX(Tbl_EquipmentDefinitions[Equipment Name],MATCH('Measure List'!$D31,Tbl_EquipmentDefinitions[Equipment ID],0))</f>
        <v>Propane Storage WH</v>
      </c>
      <c r="F31" s="3" t="s">
        <v>242</v>
      </c>
      <c r="G31" s="11" t="str">
        <f>INDEX(Tbl_EquipmentDefinitions[Function],MATCH('Measure List'!$D31,Tbl_EquipmentDefinitions[Equipment ID],0))</f>
        <v>HW</v>
      </c>
      <c r="H31" s="3" t="s">
        <v>111</v>
      </c>
      <c r="I31" s="3" t="s">
        <v>69</v>
      </c>
      <c r="J31" s="11" t="str">
        <f>INDEX(Tbl_EquipmentDefinitions[Equipment Name],MATCH('Measure List'!$I31,Tbl_EquipmentDefinitions[Equipment ID],0))</f>
        <v>Gas Storage WH</v>
      </c>
      <c r="K31" s="11">
        <f>INDEX(Tbl_EquipmentDefinitions[],MATCH(Tbl_MeasureList[[#This Row],[Replacement ID]],Tbl_EquipmentDefinitions[[Equipment ID]:[Equipment ID]],0),MATCH(Tbl_MeasureList[[#Headers],[New Unit Equipment Life (years)]],Tbl_EquipmentDefinitions[#Headers],0))</f>
        <v>15</v>
      </c>
      <c r="L31" s="11">
        <f>INDEX(Tbl_EquipmentDefinitions[],MATCH(Tbl_MeasureList[[#This Row],[Baseline Equipment ID]],Tbl_EquipmentDefinitions[[Equipment ID]:[Equipment ID]],0),MATCH(Tbl_MeasureList[[#Headers],[Remaining Life for Early Replacement (years)]],Tbl_EquipmentDefinitions[#Headers],0))</f>
        <v>4</v>
      </c>
      <c r="M31" s="12" t="str">
        <f>INDEX(Tbl_EquipmentDefinitions[Function],MATCH('Measure List'!$I31,Tbl_EquipmentDefinitions[Equipment ID],0))</f>
        <v>HW</v>
      </c>
      <c r="N31" s="368" t="s">
        <v>118</v>
      </c>
      <c r="O31" s="14" t="str">
        <f t="shared" si="0"/>
        <v>OK</v>
      </c>
      <c r="P31" s="12" t="str">
        <f ca="1">IFERROR(INDIRECT(Tbl_MeasureList[[#This Row],[Measure ID]]&amp;"!D5"),"No tab")</f>
        <v>3. Ready</v>
      </c>
      <c r="Q31" s="11"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Propane</v>
      </c>
      <c r="R31" s="12"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v>
      </c>
      <c r="S31" s="11"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Natural Gas</v>
      </c>
      <c r="T31" s="247"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v>
      </c>
      <c r="U31" s="248">
        <f>INDEX(Tbl_BaselineSummary[Baseline Annual Energy Cost (USD)],MATCH(Tbl_MeasureList[[#This Row],[Baseline ID]],Tbl_BaselineSummary[Baseline ID],0))</f>
        <v>700.31529186300838</v>
      </c>
      <c r="V31" s="249">
        <f>INDEX(Tbl_BaselineSummary[Baseline Electric Annual Consumption  (kWh)],MATCH(Tbl_MeasureList[[#This Row],[Baseline ID]],Tbl_BaselineSummary[Baseline ID],0))</f>
        <v>0</v>
      </c>
      <c r="W31" s="249" t="str">
        <f>INDEX(Tbl_BaselineSummary[Baseline Electric Winter Consumption (kWh)],MATCH(Tbl_MeasureList[[#This Row],[Baseline ID]],Tbl_BaselineSummary[Baseline ID],0))</f>
        <v>n/a</v>
      </c>
      <c r="X31" s="249" t="str">
        <f>INDEX(Tbl_BaselineSummary[Baseline Electric Summer Consumption (kWh)],MATCH(Tbl_MeasureList[[#This Row],[Baseline ID]],Tbl_BaselineSummary[Baseline ID],0))</f>
        <v>n/a</v>
      </c>
      <c r="Y31" s="250">
        <f>INDEX(Tbl_BaselineSummary[Baseline Electric Baseline Winter Peak Demand (kW)],MATCH(Tbl_MeasureList[[#This Row],[Baseline ID]],Tbl_BaselineSummary[Baseline ID],0))</f>
        <v>0</v>
      </c>
      <c r="Z31" s="452">
        <f>INDEX(Tbl_BaselineSummary[Baseline Electric Baseline Summer Peak Demand (kW)],MATCH(Tbl_MeasureList[[#This Row],[Baseline ID]],Tbl_BaselineSummary[Baseline ID],0))</f>
        <v>0</v>
      </c>
      <c r="AA31" s="458">
        <f>INDEX(Tbl_BaselineSummary[Baseline Natural Gas Annual Consumption  (therms)],MATCH(Tbl_MeasureList[[#This Row],[Baseline ID]],Tbl_BaselineSummary[Baseline ID],0))</f>
        <v>0</v>
      </c>
      <c r="AB31" s="455">
        <f>INDEX(Tbl_BaselineSummary[Baseline Propane Annual Consumption  (MMBtu)],MATCH(Tbl_MeasureList[[#This Row],[Baseline ID]],Tbl_BaselineSummary[Baseline ID],0))</f>
        <v>19.482758620689658</v>
      </c>
      <c r="AC31" s="252">
        <f>INDEX(Tbl_BaselineSummary[Baseline Oil Annual Consumption  (MMBtu)],MATCH(Tbl_MeasureList[[#This Row],[Baseline ID]],Tbl_BaselineSummary[Baseline ID],0))</f>
        <v>0</v>
      </c>
      <c r="AD31" s="371">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19.482758620689658</v>
      </c>
      <c r="AE31" s="460">
        <f>(lbCO2_per_Therm_Gas*Tbl_MeasureList[[#This Row],[Baseline Natural Gas Annual Consumption (therms/yr)]]+lbCO2_per_MMBtu_Prop*Tbl_MeasureList[[#This Row],[Baseline Propane Annual Consumption (MMBtu/yr)]]+lbCO2_per_MMBtu_Oil*Tbl_MeasureList[[#This Row],[Baseline Oil Annual Consumption (MMBtu/yr)]])*Lbs_per_ShortTon</f>
        <v>1.3540517241379313</v>
      </c>
      <c r="AF31" s="463">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1.3540517241379313</v>
      </c>
      <c r="AG31" s="465">
        <f>INDEX(Tbl_BaselineSummary[Code Annual Energy Cost (USD)],MATCH(Tbl_MeasureList[[#This Row],[Baseline ID]],Tbl_BaselineSummary[Baseline ID],0))</f>
        <v>644.73471314372193</v>
      </c>
      <c r="AH31" s="468">
        <f>INDEX(Tbl_BaselineSummary[Deferred Replacement Credit (USD)],MATCH(Tbl_MeasureList[[#This Row],[Baseline ID]],Tbl_BaselineSummary[Baseline ID],0))</f>
        <v>1078.9494154434083</v>
      </c>
      <c r="AI31" s="201">
        <f>INDEX(Tbl_BaselineSummary[A/C-only Deferred Replacement Credit (USD)],MATCH(Tbl_MeasureList[[#This Row],[Baseline ID]],Tbl_BaselineSummary[Baseline ID],0))</f>
        <v>0</v>
      </c>
      <c r="AJ31" s="468">
        <f>INDEX(Tbl_BaselineSummary[Code Installed Costs (USD)],MATCH(Tbl_MeasureList[[#This Row],[Baseline ID]],Tbl_BaselineSummary[Baseline ID],0))</f>
        <v>1653</v>
      </c>
      <c r="AK31" s="201">
        <f>INDEX(Tbl_BaselineSummary[Code A/C-only Installed Cost (USD)],MATCH(Tbl_MeasureList[[#This Row],[Baseline ID]],Tbl_BaselineSummary[Baseline ID],0))</f>
        <v>0</v>
      </c>
      <c r="AL31" s="86">
        <f>INDEX(Tbl_BaselineSummary[Code Electric Annual Consumption (kWh)],MATCH(Tbl_MeasureList[[#This Row],[Baseline ID]],Tbl_BaselineSummary[Baseline ID],0))</f>
        <v>0</v>
      </c>
      <c r="AM31" s="86" t="str">
        <f>INDEX(Tbl_BaselineSummary[Code Electric Winter Consumption (kWh)],MATCH(Tbl_MeasureList[[#This Row],[Baseline ID]],Tbl_BaselineSummary[Baseline ID],0))</f>
        <v>n/a</v>
      </c>
      <c r="AN31" s="86" t="str">
        <f>INDEX(Tbl_BaselineSummary[Code Electric Summer Consumption (kWh)],MATCH(Tbl_MeasureList[[#This Row],[Baseline ID]],Tbl_BaselineSummary[Baseline ID],0))</f>
        <v>n/a</v>
      </c>
      <c r="AO31" s="152">
        <f>INDEX(Tbl_BaselineSummary[Code Electric Winter Peak Demand (kW)],MATCH(Tbl_MeasureList[[#This Row],[Baseline ID]],Tbl_BaselineSummary[Baseline ID],0))</f>
        <v>0</v>
      </c>
      <c r="AP31" s="470">
        <f>INDEX(Tbl_BaselineSummary[Code Electric Summer Peak Demand (kW)],MATCH(Tbl_MeasureList[[#This Row],[Baseline ID]],Tbl_BaselineSummary[Baseline ID],0))</f>
        <v>0</v>
      </c>
      <c r="AQ31" s="467">
        <f>INDEX(Tbl_BaselineSummary[Code Natural Gas Annual Consumption (therms)],MATCH(Tbl_MeasureList[[#This Row],[Baseline ID]],Tbl_BaselineSummary[Baseline ID],0))</f>
        <v>0</v>
      </c>
      <c r="AR31" s="472">
        <f>INDEX(Tbl_BaselineSummary[Code Propane Annual Consumption (MMBtu)],MATCH(Tbl_MeasureList[[#This Row],[Baseline ID]],Tbl_BaselineSummary[Baseline ID],0))</f>
        <v>17.936507936507937</v>
      </c>
      <c r="AS31" s="467">
        <f>INDEX(Tbl_BaselineSummary[Code Oil Annual Consumption (MMBtu)],MATCH(Tbl_MeasureList[[#This Row],[Baseline ID]],Tbl_BaselineSummary[Baseline ID],0))</f>
        <v>0</v>
      </c>
      <c r="AT31" s="204">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17.936507936507937</v>
      </c>
      <c r="AU31" s="467">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1.2465873015873017</v>
      </c>
      <c r="AV31" s="474">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1.2465873015873017</v>
      </c>
      <c r="AW31" s="248">
        <f ca="1">INDIRECT(Tbl_MeasureList[[#This Row],[Measure ID]]&amp;"!L26")</f>
        <v>331.39818181818191</v>
      </c>
      <c r="AX31" s="477">
        <f ca="1">INDIRECT(Tbl_MeasureList[[#This Row],[Measure ID]]&amp;"!M26")</f>
        <v>7191</v>
      </c>
      <c r="AY31" s="481">
        <f ca="1">INDIRECT(Tbl_MeasureList[[#This Row],[Measure ID]]&amp;"!D26")</f>
        <v>0</v>
      </c>
      <c r="AZ31" s="481" t="str">
        <f ca="1">INDIRECT(Tbl_MeasureList[[#This Row],[Measure ID]]&amp;"!J26")</f>
        <v>n/a</v>
      </c>
      <c r="BA31" s="481" t="str">
        <f ca="1">INDIRECT(Tbl_MeasureList[[#This Row],[Measure ID]]&amp;"!I26")</f>
        <v>n/a</v>
      </c>
      <c r="BB31" s="479">
        <f ca="1">INDIRECT(Tbl_MeasureList[[#This Row],[Measure ID]]&amp;"!E26")</f>
        <v>0</v>
      </c>
      <c r="BC31" s="268">
        <f ca="1">INDIRECT(Tbl_MeasureList[[#This Row],[Measure ID]]&amp;"!H26")</f>
        <v>0</v>
      </c>
      <c r="BD31" s="253">
        <f ca="1">INDIRECT(Tbl_MeasureList[[#This Row],[Measure ID]]&amp;"!D32")</f>
        <v>205.45454545454547</v>
      </c>
      <c r="BE31" s="270">
        <f ca="1">INDIRECT(Tbl_MeasureList[[#This Row],[Measure ID]]&amp;"!D38")</f>
        <v>0</v>
      </c>
      <c r="BF31" s="253">
        <f ca="1">INDIRECT(Tbl_MeasureList[[#This Row],[Measure ID]]&amp;"!D44")</f>
        <v>0</v>
      </c>
      <c r="BG31" s="460">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20.545454545454547</v>
      </c>
      <c r="BH31" s="371">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1.201909090909091</v>
      </c>
      <c r="BI31" s="272">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1.201909090909091</v>
      </c>
      <c r="BJ31" s="273">
        <f ca="1">INDIRECT(Tbl_MeasureList[[#This Row],[Measure ID]]&amp;"!L27")</f>
        <v>317.33096666666677</v>
      </c>
      <c r="BK31" s="201">
        <f ca="1">INDIRECT(Tbl_MeasureList[[#This Row],[Measure ID]]&amp;"!M27")</f>
        <v>7613</v>
      </c>
      <c r="BL31" s="85">
        <f ca="1">INDIRECT(Tbl_MeasureList[[#This Row],[Measure ID]]&amp;"!D27")</f>
        <v>68.5</v>
      </c>
      <c r="BM31" s="85" t="str">
        <f ca="1">INDIRECT(Tbl_MeasureList[[#This Row],[Measure ID]]&amp;"!J27")</f>
        <v>n/a</v>
      </c>
      <c r="BN31" s="85" t="str">
        <f ca="1">INDIRECT(Tbl_MeasureList[[#This Row],[Measure ID]]&amp;"!I27")</f>
        <v>n/a</v>
      </c>
      <c r="BO31" s="152">
        <f ca="1">INDIRECT(Tbl_MeasureList[[#This Row],[Measure ID]]&amp;"!E27")</f>
        <v>2.7043031977891829E-2</v>
      </c>
      <c r="BP31" s="470">
        <f ca="1">INDIRECT(Tbl_MeasureList[[#This Row],[Measure ID]]&amp;"!H27")</f>
        <v>1.2710225029609159E-2</v>
      </c>
      <c r="BQ31" s="467">
        <f ca="1">INDIRECT(Tbl_MeasureList[[#This Row],[Measure ID]]&amp;"!D33")</f>
        <v>188.33333333333337</v>
      </c>
      <c r="BR31" s="472">
        <f ca="1">INDIRECT(Tbl_MeasureList[[#This Row],[Measure ID]]&amp;"!D39")</f>
        <v>0</v>
      </c>
      <c r="BS31" s="467">
        <f ca="1">INDIRECT(Tbl_MeasureList[[#This Row],[Measure ID]]&amp;"!D45")</f>
        <v>0</v>
      </c>
      <c r="BT31" s="204">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19.067055333333336</v>
      </c>
      <c r="BU31" s="467">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1.1017500000000002</v>
      </c>
      <c r="BV31" s="260">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1.1259414600000002</v>
      </c>
      <c r="BW31" s="24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288.15183151515151</v>
      </c>
      <c r="BX31" s="26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9981</v>
      </c>
      <c r="BY31"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60.6</v>
      </c>
      <c r="BZ31"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n/a</v>
      </c>
      <c r="CA31"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n/a</v>
      </c>
      <c r="CB31"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2.3924200552704302E-2</v>
      </c>
      <c r="CC31"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1.1244374259771022E-2</v>
      </c>
      <c r="CD31"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171.21212121212122</v>
      </c>
      <c r="CE31"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0</v>
      </c>
      <c r="CF31"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0</v>
      </c>
      <c r="CG31" s="460">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17.327979321212123</v>
      </c>
      <c r="CH31" s="37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1.0015909090909092</v>
      </c>
      <c r="CI31" s="26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1.0229924050909092</v>
      </c>
      <c r="CJ31" s="320">
        <f ca="1">-Tbl_MeasureList[[#This Row],[Low Measure Energy Cost (USD/yr)]]+Tbl_MeasureList[[#This Row],[Baseline Energy Cost (USD/yr)]]</f>
        <v>382.98432519634162</v>
      </c>
      <c r="CK31"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6534.0505845565913</v>
      </c>
      <c r="CL31" s="249">
        <f ca="1">-Tbl_MeasureList[[#This Row],[Low Measure Electric Annual Consumption (kWh/yr)]]+Tbl_MeasureList[[#This Row],[Baseline Electric Annual Consumption (kWh/yr)]]</f>
        <v>-68.5</v>
      </c>
      <c r="CM31" s="249" t="str">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v>
      </c>
      <c r="CN31" s="249" t="str">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v>
      </c>
      <c r="CO31" s="268">
        <f ca="1">-Tbl_MeasureList[[#This Row],[Low Measure Electric Winter Peak Demand (kW)]]+Tbl_MeasureList[[#This Row],[Baseline Electric Winter Peak Demand (kW)]]</f>
        <v>-2.7043031977891829E-2</v>
      </c>
      <c r="CP31" s="479">
        <f ca="1">-Tbl_MeasureList[[#This Row],[Low Measure Electric Summer Peak Demand (kW)]]+Tbl_MeasureList[[#This Row],[Baseline Electric Summer Peak Demand (kW)]]</f>
        <v>-1.2710225029609159E-2</v>
      </c>
      <c r="CQ31" s="481">
        <f ca="1">-Tbl_MeasureList[[#This Row],[Low Measure Natural Gas Annual Consumption (therms/yr)]]+Tbl_MeasureList[[#This Row],[Baseline Natural Gas Annual Consumption (therms/yr)]]</f>
        <v>-188.33333333333337</v>
      </c>
      <c r="CR31" s="490">
        <f ca="1">-Tbl_MeasureList[[#This Row],[Low Measure Propane Annual Consumption (MMBtu/yr)]]+Tbl_MeasureList[[#This Row],[Baseline Propane Annual Consumption (MMBtu/yr)]]</f>
        <v>19.482758620689658</v>
      </c>
      <c r="CS31" s="252">
        <f ca="1">-Tbl_MeasureList[[#This Row],[Low Measure Oil Annual Consumption (MMBtu/yr)]]+Tbl_MeasureList[[#This Row],[Baseline Oil Annual Consumption (MMBtu/yr)]]</f>
        <v>0</v>
      </c>
      <c r="CT31"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0.41570328735632245</v>
      </c>
      <c r="CU31" s="487">
        <f ca="1">-Tbl_MeasureList[[#This Row],[Low Measure Carbon Emissions, Site (tons CO2/yr)]]+Tbl_MeasureList[[#This Row],[Baseline Carbon Emissions, Site (tons CO2/yr)]]</f>
        <v>0.25230172413793106</v>
      </c>
      <c r="CV31" s="491">
        <f ca="1">-Tbl_MeasureList[[#This Row],[Low Measure Carbon Emissions, Source (tons CO2/yr)]]+Tbl_MeasureList[[#This Row],[Baseline Carbon Emissions, Source (tons CO2/yr)]]</f>
        <v>0.22811026413793112</v>
      </c>
      <c r="CW31"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412.16346034785687</v>
      </c>
      <c r="CX31"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8902.0505845565913</v>
      </c>
      <c r="CY31"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-60.6</v>
      </c>
      <c r="CZ31"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v>
      </c>
      <c r="DA31"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v>
      </c>
      <c r="DB31"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-2.3924200552704302E-2</v>
      </c>
      <c r="DC31"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-1.1244374259771022E-2</v>
      </c>
      <c r="DD31"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-171.21212121212122</v>
      </c>
      <c r="DE31"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19.482758620689658</v>
      </c>
      <c r="DF31"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0</v>
      </c>
      <c r="DG31" s="270">
        <f ca="1">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2.1547792994775357</v>
      </c>
      <c r="DH31"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0.35246081504702209</v>
      </c>
      <c r="DI31"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0.33105931904702213</v>
      </c>
      <c r="DJ31" s="320">
        <f ca="1">-Tbl_MeasureList[[#This Row],[Low Measure Energy Cost (USD/yr)]]+Tbl_MeasureList[[#This Row],[Code (old fuel) Energy Cost (USD/yr)]]</f>
        <v>327.40374647705517</v>
      </c>
      <c r="DK31" s="267">
        <f ca="1">Tbl_MeasureList[[#This Row],[Low Measure Installed Costs (USD)]]-Tbl_MeasureList[[#This Row],[Code (old fuel) Installed Costs (USD)]]</f>
        <v>5960</v>
      </c>
      <c r="DL31" s="249">
        <f ca="1">-Tbl_MeasureList[[#This Row],[Low Measure Electric Annual Consumption (kWh/yr)]]+Tbl_MeasureList[[#This Row],[Code (old fuel) Electric Annual Consumption (kWh/yr)]]</f>
        <v>-68.5</v>
      </c>
      <c r="DM31" s="249" t="str">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v>
      </c>
      <c r="DN31" s="249" t="str">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v>
      </c>
      <c r="DO31" s="268">
        <f ca="1">-Tbl_MeasureList[[#This Row],[Low Measure Electric Winter Peak Demand (kW)]]+Tbl_MeasureList[[#This Row],[Code (old fuel) Electric Winter Peak Demand (kW)]]</f>
        <v>-2.7043031977891829E-2</v>
      </c>
      <c r="DP31" s="479">
        <f ca="1">-Tbl_MeasureList[[#This Row],[Low Measure Electric Summer Peak Demand (kW)]]+Tbl_MeasureList[[#This Row],[Code (old fuel) Electric Summer Peak Demand (kW)]]</f>
        <v>-1.2710225029609159E-2</v>
      </c>
      <c r="DQ31" s="481">
        <f ca="1">-Tbl_MeasureList[[#This Row],[Low Measure Natural Gas Annual Consumption (therms/yr)]]+Tbl_MeasureList[[#This Row],[Code (old fuel) Natural Gas Annual Consumption (therms/yr)]]</f>
        <v>-188.33333333333337</v>
      </c>
      <c r="DR31" s="490">
        <f ca="1">-Tbl_MeasureList[[#This Row],[Low Measure Propane Annual Consumption (MMBtu/yr)]]+Tbl_MeasureList[[#This Row],[Code (old fuel) Propane Annual Consumption (MMBtu/yr)]]</f>
        <v>17.936507936507937</v>
      </c>
      <c r="DS31" s="252">
        <f ca="1">-Tbl_MeasureList[[#This Row],[Low Measure Oil Annual Consumption (MMBtu/yr)]]+Tbl_MeasureList[[#This Row],[Code (old fuel) Oil Annual Consumption (MMBtu/yr)]]</f>
        <v>0</v>
      </c>
      <c r="DT31"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-1.1305473968253992</v>
      </c>
      <c r="DU31" s="487">
        <f ca="1">-Tbl_MeasureList[[#This Row],[Low Measure Carbon Emissions, Site (tons CO2/yr)]]+Tbl_MeasureList[[#This Row],[Code (old fuel) Carbon Emissions, Site (tons CO2/yr)]]</f>
        <v>0.14483730158730146</v>
      </c>
      <c r="DV31" s="491">
        <f ca="1">-Tbl_MeasureList[[#This Row],[Low Measure Carbon Emissions, Source (tons CO2/yr)]]+Tbl_MeasureList[[#This Row],[Code (old fuel) Carbon Emissions, Source (tons CO2/yr)]]</f>
        <v>0.12064584158730152</v>
      </c>
      <c r="DW31"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(old fuel) Energy Cost (USD/yr)]],
        "-")</f>
        <v>356.58288162857042</v>
      </c>
      <c r="DX31"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8328</v>
      </c>
      <c r="DY31"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-60.6</v>
      </c>
      <c r="DZ31"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v>
      </c>
      <c r="EA31"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v>
      </c>
      <c r="EB31"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-2.3924200552704302E-2</v>
      </c>
      <c r="EC31"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-1.1244374259771022E-2</v>
      </c>
      <c r="ED31"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-171.21212121212122</v>
      </c>
      <c r="EE31"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17.936507936507937</v>
      </c>
      <c r="EF31"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0</v>
      </c>
      <c r="EG31" s="270">
        <f ca="1">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0.60852861529581403</v>
      </c>
      <c r="EH31"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0.24499639249639249</v>
      </c>
      <c r="EI31"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0.22359489649639253</v>
      </c>
      <c r="EJ31" s="477">
        <f ca="1">Tbl_MeasureList[[#This Row],[Code (old fuel) Energy Cost (USD/yr)]]-Tbl_MeasureList[[#This Row],[Code (new fuel) Energy Cost (USD/yr)]]</f>
        <v>313.33653132554002</v>
      </c>
      <c r="EK31" s="496">
        <f ca="1">Tbl_MeasureList[[#This Row],[Code (old fuel) Electric Annual Consumption (kWh/yr)]]-Tbl_MeasureList[[#This Row],[Code (new fuel) Electric Annual Consumption (kWh/yr)]]</f>
        <v>0</v>
      </c>
      <c r="EL31" s="496" t="str">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v>
      </c>
      <c r="EM31" s="496" t="str">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v>
      </c>
      <c r="EN31" s="500">
        <f ca="1">Tbl_MeasureList[[#This Row],[Code (old fuel) Electric Winter Peak Demand (kW)]]-Tbl_MeasureList[[#This Row],[Code (new fuel) Electric Winter Peak Demand (kW)]]</f>
        <v>0</v>
      </c>
      <c r="EO31" s="493">
        <f ca="1">Tbl_MeasureList[[#This Row],[Code (old fuel) Electric Summer Peak Demand (kW)]]-Tbl_MeasureList[[#This Row],[Code (new fuel) Electric Summer Peak Demand (kW)]]</f>
        <v>0</v>
      </c>
      <c r="EP31" s="502">
        <f ca="1">Tbl_MeasureList[[#This Row],[Code (old fuel) Natural Gas Annual Consumption (therms/yr)]]-Tbl_MeasureList[[#This Row],[Code (new fuel) Natural Gas Annual Consumption (therms/yr)]]</f>
        <v>-205.45454545454547</v>
      </c>
      <c r="EQ31" s="215">
        <f ca="1">Tbl_MeasureList[[#This Row],[Code (old fuel) Propane Annual Consumption (MMBtu/yr)]]-Tbl_MeasureList[[#This Row],[Code (new fuel) Propane Annual Consumption (MMBtu/yr)]]</f>
        <v>17.936507936507937</v>
      </c>
      <c r="ER31" s="502">
        <f ca="1">Tbl_MeasureList[[#This Row],[Code (old fuel) Oil Annual Consumption (MMBtu/yr)]]-Tbl_MeasureList[[#This Row],[Code (new fuel) Oil Annual Consumption (MMBtu/yr)]]</f>
        <v>0</v>
      </c>
      <c r="ES31" s="215">
        <f ca="1">Tbl_MeasureList[[#This Row],[Code (old fuel) Energy Consumption on MMBtu Basis (MMBtu/yr)]]-Tbl_MeasureList[[#This Row],[Code (new fuel) Energy Consumption on MMBtu Basis (MMBtu/yr)]]</f>
        <v>-2.60894660894661</v>
      </c>
      <c r="ET31" s="502">
        <f ca="1">Tbl_MeasureList[[#This Row],[Code (old fuel) Carbon Emissions, Site (tons CO2/yr)]]-Tbl_MeasureList[[#This Row],[Code (new fuel) Carbon Emissions, Site (tons CO2/yr)]]</f>
        <v>4.467821067821065E-2</v>
      </c>
      <c r="EU31" s="498">
        <f ca="1">Tbl_MeasureList[[#This Row],[Code (old fuel) Carbon Emissions, Source (tons CO2/yr)]]-Tbl_MeasureList[[#This Row],[Code (new fuel) Carbon Emissions, Source (tons CO2/yr)]]</f>
        <v>4.467821067821065E-2</v>
      </c>
      <c r="EV31" s="450">
        <f ca="1">Tbl_MeasureList[[#This Row],[ER Total Low Measure Electric Annual Consumption Savings (kWh/yr)]]*COAL_BTU_PER_SITE_KWH/Btu_per_MMBtu</f>
        <v>-7.5399905060551265E-3</v>
      </c>
      <c r="EW31" s="411">
        <f ca="1">Tbl_MeasureList[[#This Row],[ER Total Low Measure Electric Annual Consumption Savings (kWh/yr)]]*COAL_LBS_PER_SITE_KWH</f>
        <v>-0.66140267596974789</v>
      </c>
      <c r="EX31" s="326">
        <f ca="1">Tbl_MeasureList[[#This Row],[ER Total Low Measure Electric Annual Consumption Savings (kWh/yr)]]*OIL_BTU_PER_SITE_KWH/Btu_per_MMBtu</f>
        <v>-8.6799945660307118E-3</v>
      </c>
      <c r="EY31" s="325">
        <f ca="1">Tbl_MeasureList[[#This Row],[ER Total Low Measure Electric Annual Consumption Savings (kWh/yr)]]*OIL_GAL_PER_SITE_KWH</f>
        <v>-6.2923589590276635E-2</v>
      </c>
      <c r="EZ31" s="326">
        <f ca="1">Tbl_MeasureList[[#This Row],[ER Total Low Measure Oil Annual Consumption Savings (MMBtu/yr)]]*Btu_per_MMBtu/OIL_BTU_PER_GAL</f>
        <v>0</v>
      </c>
      <c r="FA31" s="325">
        <f ca="1">Tbl_MeasureList[[#This Row],[Current ER Total Low Measure Oil Source Fuel Savings (gallons oil/year)]]+Tbl_MeasureList[[#This Row],[Current ER Total Low Measure Oil Site Fuel Savings (gallons oil/year)]]</f>
        <v>-6.2923589590276635E-2</v>
      </c>
      <c r="FB31" s="326">
        <f ca="1">Tbl_MeasureList[[#This Row],[ER Total Low Measure Electric Annual Consumption Savings (kWh/yr)]]*GAS_BTU_PER_SITE_KWH/Btu_per_MMBtu</f>
        <v>-0.2803109644014824</v>
      </c>
      <c r="FC31" s="327">
        <f ca="1">Tbl_MeasureList[[#This Row],[ER Total Low Measure Electric Annual Consumption Savings (kWh/yr)]]*GAS_CUFT_PER_SITE_KWH/1000</f>
        <v>-0.27241104412194589</v>
      </c>
      <c r="FD31" s="328">
        <f ca="1">Tbl_MeasureList[[#This Row],[ER Total Low Measure Natural Gas Annual Consumption Savings (therms/yr)]]*Btu_per_MMBtu/(GAS_BTU_PER_CUFT*Therm_per_MMBtu*1000)</f>
        <v>-18.302559118885654</v>
      </c>
      <c r="FE31" s="329">
        <f ca="1">Tbl_MeasureList[[#This Row],[Current ER Total Low Measure Gas Source Fuel Savings (1,000 cu.ft. gas/year)]]+Tbl_MeasureList[[#This Row],[Current ER Total Low Measure Gas Site Fuel Savings (1,000 cu.ft gas/year)]]</f>
        <v>-18.574970163007599</v>
      </c>
      <c r="FF31" s="324">
        <f ca="1">IFERROR(Tbl_MeasureList[[#This Row],[ER Total High Measure Electric Annual Consumption Savings (kWh/yr)]]*COAL_BTU_PER_SITE_KWH/Btu_per_MMBtu,"-")</f>
        <v>-6.6704149586414695E-3</v>
      </c>
      <c r="FG31" s="325">
        <f ca="1">IFERROR(Tbl_MeasureList[[#This Row],[ER Total High Measure Electric Annual Consumption Savings (kWh/yr)]]*COAL_LBS_PER_SITE_KWH,"-")</f>
        <v>-0.58512411917907625</v>
      </c>
      <c r="FH31" s="326">
        <f ca="1">IFERROR(Tbl_MeasureList[[#This Row],[ER Total High Measure Electric Annual Consumption Savings (kWh/yr)]]*OIL_BTU_PER_SITE_KWH/Btu_per_MMBtu,"-")</f>
        <v>-7.6789440978315485E-3</v>
      </c>
      <c r="FI31" s="325">
        <f ca="1">IFERROR(Tbl_MeasureList[[#This Row],[ER Total High Measure Electric Annual Consumption Savings (kWh/yr)]]*OIL_GAL_PER_SITE_KWH,"-")</f>
        <v>-5.5666708455047655E-2</v>
      </c>
      <c r="FJ31" s="326">
        <f ca="1">IFERROR(Tbl_MeasureList[[#This Row],[ER Total High Measure Oil Annual Consumption Savings (MMBtu/yr)]]*Btu_per_MMBtu/OIL_BTU_PER_GAL,"-")</f>
        <v>0</v>
      </c>
      <c r="FK31" s="325">
        <f ca="1">IFERROR(Tbl_MeasureList[[#This Row],[Current ER Total High Measure Oil Source Fuel Savings (gallons oil/year)]]+Tbl_MeasureList[[#This Row],[Current ER Total High Measure Oil Site Fuel Savings (gallons oil/year)]],"-")</f>
        <v>-5.5666708455047655E-2</v>
      </c>
      <c r="FL31" s="326">
        <f ca="1">IFERROR(Tbl_MeasureList[[#This Row],[ER Total High Measure Electric Annual Consumption Savings (kWh/yr)]]*GAS_BTU_PER_SITE_KWH/Btu_per_MMBtu,"-")</f>
        <v>-0.24798313055080048</v>
      </c>
      <c r="FM31" s="327">
        <f ca="1">IFERROR(Tbl_MeasureList[[#This Row],[ER Total High Measure Electric Annual Consumption Savings (kWh/yr)]]*GAS_CUFT_PER_SITE_KWH/1000,"-")</f>
        <v>-0.24099429596773611</v>
      </c>
      <c r="FN31" s="328">
        <f ca="1">IFERROR(Tbl_MeasureList[[#This Row],[ER Total High Measure Natural Gas Annual Consumption Savings (therms/yr)]]*Btu_per_MMBtu/(GAS_BTU_PER_CUFT*Therm_per_MMBtu*1000),"-")</f>
        <v>-16.638690108077864</v>
      </c>
      <c r="FO31" s="329">
        <f ca="1">IFERROR(Tbl_MeasureList[[#This Row],[Current ER Total High Measure Gas Source Fuel Savings (1,000 cu.ft. gas/year)]]+Tbl_MeasureList[[#This Row],[Current ER Total High Measure Gas Site Fuel Savings (1,000 cu.ft gas/year)]],"-")</f>
        <v>-16.879684404045598</v>
      </c>
      <c r="FP31" s="412">
        <f ca="1">Tbl_MeasureList[[#This Row],[ROF Low Measure Electric Annual Consumption Savings (kWh/yr)]]*COAL_BTU_PER_SITE_KWH/Btu_per_MMBtu</f>
        <v>-7.5399905060551265E-3</v>
      </c>
      <c r="FQ31" s="327">
        <f ca="1">Tbl_MeasureList[[#This Row],[ROF Low Measure Electric Annual Consumption Savings (kWh/yr)]]*COAL_LBS_PER_SITE_KWH</f>
        <v>-0.66140267596974789</v>
      </c>
      <c r="FR31" s="412">
        <f ca="1">Tbl_MeasureList[[#This Row],[ROF Low Measure Electric Annual Consumption Savings (kWh/yr)]]*OIL_BTU_PER_SITE_KWH/Btu_per_MMBtu</f>
        <v>-8.6799945660307118E-3</v>
      </c>
      <c r="FS31" s="327">
        <f ca="1">Tbl_MeasureList[[#This Row],[ROF Low Measure Electric Annual Consumption Savings (kWh/yr)]]*OIL_GAL_PER_SITE_KWH</f>
        <v>-6.2923589590276635E-2</v>
      </c>
      <c r="FT31" s="412">
        <f ca="1">Tbl_MeasureList[[#This Row],[ROF Low Measure Oil Annual Consumption Savings (MMBtu/yr)]]*Btu_per_MMBtu/OIL_BTU_PER_GAL</f>
        <v>0</v>
      </c>
      <c r="FU31" s="327">
        <f ca="1">Tbl_MeasureList[[#This Row],[Current ROF Low Measure Oil Source Fuel Savings (gallons oil/year)]]+Tbl_MeasureList[[#This Row],[Current ROF Low Measure Oil Site Fuel Savings (gallons oil/year)]]</f>
        <v>-6.2923589590276635E-2</v>
      </c>
      <c r="FV31" s="412">
        <f ca="1">Tbl_MeasureList[[#This Row],[ROF Low Measure Electric Annual Consumption Savings (kWh/yr)]]*GAS_BTU_PER_SITE_KWH/Btu_per_MMBtu</f>
        <v>-0.2803109644014824</v>
      </c>
      <c r="FW31" s="327">
        <f ca="1">Tbl_MeasureList[[#This Row],[ROF Low Measure Electric Annual Consumption Savings (kWh/yr)]]*GAS_CUFT_PER_SITE_KWH/1000</f>
        <v>-0.27241104412194589</v>
      </c>
      <c r="FX31" s="412">
        <f ca="1">Tbl_MeasureList[[#This Row],[ROF Low Measure Natural Gas Annual Consumption Savings (therms/yr)]]*Btu_per_MMBtu/(GAS_BTU_PER_CUFT*Therm_per_MMBtu*1000)</f>
        <v>-18.302559118885654</v>
      </c>
      <c r="FY31" s="327">
        <f ca="1">Tbl_MeasureList[[#This Row],[Current ROF Low Measure Gas Source Fuel Savings (1,000 cu.ft. gas/year)]]+Tbl_MeasureList[[#This Row],[Current ROF Low Measure Gas Site Fuel Savings (1,000 cu.ft gas/year)]]</f>
        <v>-18.574970163007599</v>
      </c>
      <c r="FZ31" s="414">
        <f ca="1">IFERROR(Tbl_MeasureList[[#This Row],[ROF High Measure Electric Annual Consumption Savings (kWh/yr)]]*COAL_BTU_PER_SITE_KWH/Btu_per_MMBtu,"-")</f>
        <v>-6.6704149586414695E-3</v>
      </c>
      <c r="GA31" s="327">
        <f ca="1">IFERROR(Tbl_MeasureList[[#This Row],[ROF High Measure Electric Annual Consumption Savings (kWh/yr)]]*COAL_LBS_PER_SITE_KWH,"-")</f>
        <v>-0.58512411917907625</v>
      </c>
      <c r="GB31" s="412">
        <f ca="1">IFERROR(Tbl_MeasureList[[#This Row],[ROF High Measure Electric Annual Consumption Savings (kWh/yr)]]*OIL_BTU_PER_SITE_KWH/Btu_per_MMBtu,"-")</f>
        <v>-7.6789440978315485E-3</v>
      </c>
      <c r="GC31" s="327">
        <f ca="1">IFERROR(Tbl_MeasureList[[#This Row],[ROF High Measure Electric Annual Consumption Savings (kWh/yr)]]*OIL_GAL_PER_SITE_KWH,"-")</f>
        <v>-5.5666708455047655E-2</v>
      </c>
      <c r="GD31" s="412">
        <f ca="1">IFERROR(Tbl_MeasureList[[#This Row],[ROF High Measure Oil Annual Consumption Savings (MMBtu/yr)]]*Btu_per_MMBtu/OIL_BTU_PER_GAL,"-")</f>
        <v>0</v>
      </c>
      <c r="GE31" s="327">
        <f ca="1">IFERROR(Tbl_MeasureList[[#This Row],[Current ROF High Measure Oil Source Fuel Savings (gallons oil/year)]]+Tbl_MeasureList[[#This Row],[Current ROF High Measure Oil Site Fuel Savings (gallons oil/year)]],"-")</f>
        <v>-5.5666708455047655E-2</v>
      </c>
      <c r="GF31" s="412">
        <f ca="1">IFERROR(Tbl_MeasureList[[#This Row],[ROF High Measure Electric Annual Consumption Savings (kWh/yr)]]*GAS_BTU_PER_SITE_KWH/Btu_per_MMBtu,"-")</f>
        <v>-0.24798313055080048</v>
      </c>
      <c r="GG31" s="327">
        <f ca="1">IFERROR(Tbl_MeasureList[[#This Row],[ROF High Measure Electric Annual Consumption Savings (kWh/yr)]]*GAS_CUFT_PER_SITE_KWH/1000,"-")</f>
        <v>-0.24099429596773611</v>
      </c>
      <c r="GH31" s="412">
        <f ca="1">IFERROR(Tbl_MeasureList[[#This Row],[ROF High Measure Natural Gas Annual Consumption Savings (therms/yr)]]*Btu_per_MMBtu/(GAS_BTU_PER_CUFT*Therm_per_MMBtu*1000),"-")</f>
        <v>-16.638690108077864</v>
      </c>
      <c r="GI31" s="327">
        <f ca="1">IFERROR(Tbl_MeasureList[[#This Row],[Current ROF High Measure Gas Source Fuel Savings (1,000 cu.ft. gas/year)]]+Tbl_MeasureList[[#This Row],[Current ROF High Measure Gas Site Fuel Savings (1,000 cu.ft gas/year)]],"-")</f>
        <v>-16.879684404045598</v>
      </c>
      <c r="GJ31" s="324">
        <f ca="1">Tbl_MeasureList[[#This Row],[ER Total Low Measure Electric Annual Consumption Savings (kWh/yr)]]*COAL_BTU_PER_SITE_KWH_CES/Btu_per_MMBtu</f>
        <v>-1.2817983860293713E-2</v>
      </c>
      <c r="GK31" s="325">
        <f ca="1">Tbl_MeasureList[[#This Row],[ER Total Low Measure Electric Annual Consumption Savings (kWh/yr)]]*COAL_LBS_PER_SITE_KWH_CES</f>
        <v>-1.1640014402736754</v>
      </c>
      <c r="GL31" s="326">
        <f ca="1">Tbl_MeasureList[[#This Row],[ER Total Low Measure Electric Annual Consumption Savings (kWh/yr)]]*OIL_BTU_PER_SITE_KWH_CES/Btu_per_MMBtu</f>
        <v>-3.945452075468505E-3</v>
      </c>
      <c r="GM31" s="325">
        <f ca="1">Tbl_MeasureList[[#This Row],[ER Total Low Measure Electric Annual Consumption Savings (kWh/yr)]]*OIL_GAL_PER_SITE_KWH_CES</f>
        <v>-2.6618173004833937E-2</v>
      </c>
      <c r="GN31" s="326">
        <f ca="1">Tbl_MeasureList[[#This Row],[ER Total Low Measure Oil Annual Consumption Savings (MMBtu/yr)]]*Btu_per_MMBtu/OIL_BTU_PER_GAL_CES</f>
        <v>0</v>
      </c>
      <c r="GO31" s="325">
        <f ca="1">Tbl_MeasureList[[#This Row],[CES ER Low Measure Oil Source Fuel Savings (gallons oil/year)]]+Tbl_MeasureList[[#This Row],[CES ER Low Measure Oil Site Fuel Savings (gallons oil/year)]]</f>
        <v>-2.6618173004833937E-2</v>
      </c>
      <c r="GP31" s="326">
        <f ca="1">Tbl_MeasureList[[#This Row],[ER Total Low Measure Electric Annual Consumption Savings (kWh/yr)]]*GAS_BTU_PER_SITE_KWH_CES/Btu_per_MMBtu</f>
        <v>-0.11670089130184165</v>
      </c>
      <c r="GQ31" s="327">
        <f ca="1">Tbl_MeasureList[[#This Row],[ER Total Low Measure Electric Annual Consumption Savings (kWh/yr)]]*GAS_CUFT_PER_SITE_KWH_CES/1000</f>
        <v>-0.11330183621538024</v>
      </c>
      <c r="GR31" s="328">
        <f ca="1">Tbl_MeasureList[[#This Row],[ER Total Low Measure Natural Gas Annual Consumption Savings (therms/yr)]]*Btu_per_MMBtu/(GAS_BTU_PER_CUFT_CES*Therm_per_MMBtu*1000)</f>
        <v>-18.28478964401295</v>
      </c>
      <c r="GS31" s="329">
        <f ca="1">Tbl_MeasureList[[#This Row],[CES ER Low Measure Gas Source Fuel Savings (1,000 cu.ft. gas/year)]]+Tbl_MeasureList[[#This Row],[CES ER Low Measure Gas Site Fuel Savings (1,000 cu.ft gas/year)]]</f>
        <v>-18.398091480228331</v>
      </c>
      <c r="GT31" s="324">
        <f ca="1">IFERROR(Tbl_MeasureList[[#This Row],[ER Total High Measure Electric Annual Consumption Savings (kWh/yr)]]*COAL_BTU_PER_SITE_KWH_CES/Btu_per_MMBtu,"-")</f>
        <v>-1.1339705429690497E-2</v>
      </c>
      <c r="GU31" s="325">
        <f ca="1">IFERROR(Tbl_MeasureList[[#This Row],[ER Total High Measure Electric Annual Consumption Savings (kWh/yr)]]*COAL_LBS_PER_SITE_KWH_CES,"-")</f>
        <v>-1.0297589384026968</v>
      </c>
      <c r="GV31" s="326">
        <f ca="1">IFERROR(Tbl_MeasureList[[#This Row],[ER Total High Measure Electric Annual Consumption Savings (kWh/yr)]]*OIL_BTU_PER_SITE_KWH_CES/Btu_per_MMBtu,"-")</f>
        <v>-3.4904291353779772E-3</v>
      </c>
      <c r="GW31" s="325">
        <f ca="1">IFERROR(Tbl_MeasureList[[#This Row],[ER Total High Measure Electric Annual Consumption Savings (kWh/yr)]]*OIL_GAL_PER_SITE_KWH_CES,"-")</f>
        <v>-2.3548339913765499E-2</v>
      </c>
      <c r="GX31" s="326">
        <f ca="1">IFERROR(Tbl_MeasureList[[#This Row],[ER Total High Measure Oil Annual Consumption Savings (MMBtu/yr)]]*Btu_per_MMBtu/OIL_BTU_PER_GAL_CES,"-")</f>
        <v>0</v>
      </c>
      <c r="GY31" s="325">
        <f ca="1">IFERROR(Tbl_MeasureList[[#This Row],[CES ER High Measure Oil Source Fuel Savings (gallons oil/year)]]+Tbl_MeasureList[[#This Row],[CES ER High Measure Oil Site Fuel Savings (gallons oil/year)]],"-")</f>
        <v>-2.3548339913765499E-2</v>
      </c>
      <c r="GZ31" s="326">
        <f ca="1">IFERROR(Tbl_MeasureList[[#This Row],[ER Total High Measure Electric Annual Consumption Savings (kWh/yr)]]*GAS_BTU_PER_SITE_KWH_CES/Btu_per_MMBtu,"-")</f>
        <v>-0.10324195639257816</v>
      </c>
      <c r="HA31" s="327">
        <f ca="1">IFERROR(Tbl_MeasureList[[#This Row],[ER Total High Measure Electric Annual Consumption Savings (kWh/yr)]]*GAS_CUFT_PER_SITE_KWH_CES/1000,"-")</f>
        <v>-0.10023490911900793</v>
      </c>
      <c r="HB31" s="328">
        <f ca="1">IFERROR(Tbl_MeasureList[[#This Row],[ER Total High Measure Natural Gas Annual Consumption Savings (therms/yr)]]*Btu_per_MMBtu/(GAS_BTU_PER_CUFT_CES*Therm_per_MMBtu*1000),"-")</f>
        <v>-16.62253604001177</v>
      </c>
      <c r="HC31" s="329">
        <f ca="1">IFERROR(Tbl_MeasureList[[#This Row],[CES ER High Measure Gas Source Fuel Savings (1,000 cu.ft. gas/year)]]+Tbl_MeasureList[[#This Row],[CES ER High Measure Gas Site Fuel Savings (1,000 cu.ft gas/year)]],"-")</f>
        <v>-16.722770949130776</v>
      </c>
      <c r="HD31" s="315">
        <f ca="1">Tbl_MeasureList[[#This Row],[ROF Low Measure Electric Annual Consumption Savings (kWh/yr)]]*COAL_BTU_PER_SITE_KWH_CES/Btu_per_MMBtu</f>
        <v>-1.2817983860293713E-2</v>
      </c>
      <c r="HE31" s="316">
        <f ca="1">Tbl_MeasureList[[#This Row],[ROF Low Measure Electric Annual Consumption Savings (kWh/yr)]]*COAL_LBS_PER_SITE_KWH_CES</f>
        <v>-1.1640014402736754</v>
      </c>
      <c r="HF31" s="317">
        <f ca="1">Tbl_MeasureList[[#This Row],[ROF Low Measure Electric Annual Consumption Savings (kWh/yr)]]*OIL_BTU_PER_SITE_KWH_CES/Btu_per_MMBtu</f>
        <v>-3.945452075468505E-3</v>
      </c>
      <c r="HG31" s="316">
        <f ca="1">Tbl_MeasureList[[#This Row],[ROF Low Measure Electric Annual Consumption Savings (kWh/yr)]]*OIL_GAL_PER_SITE_KWH_CES</f>
        <v>-2.6618173004833937E-2</v>
      </c>
      <c r="HH31" s="317">
        <f ca="1">Tbl_MeasureList[[#This Row],[ROF Low Measure Oil Annual Consumption Savings (MMBtu/yr)]]*Btu_per_MMBtu/OIL_BTU_PER_GAL_CES</f>
        <v>0</v>
      </c>
      <c r="HI31" s="316">
        <f ca="1">Tbl_MeasureList[[#This Row],[CES ROF Low Measure Oil Source Fuel Savings (gallons oil/year)]]+Tbl_MeasureList[[#This Row],[CES ROF Low Measure Oil Site Fuel Savings (gallons oil/year)]]</f>
        <v>-2.6618173004833937E-2</v>
      </c>
      <c r="HJ31" s="317">
        <f ca="1">Tbl_MeasureList[[#This Row],[ROF Low Measure Electric Annual Consumption Savings (kWh/yr)]]*GAS_BTU_PER_SITE_KWH_CES/Btu_per_MMBtu</f>
        <v>-0.11670089130184165</v>
      </c>
      <c r="HK31" s="316">
        <f ca="1">Tbl_MeasureList[[#This Row],[ROF Low Measure Electric Annual Consumption Savings (kWh/yr)]]*GAS_CUFT_PER_SITE_KWH_CES/1000</f>
        <v>-0.11330183621538024</v>
      </c>
      <c r="HL31" s="317">
        <f ca="1">Tbl_MeasureList[[#This Row],[ROF Low Measure Natural Gas Annual Consumption Savings (therms/yr)]]*Btu_per_MMBtu/(GAS_BTU_PER_CUFT_CES*Therm_per_MMBtu*1000)</f>
        <v>-18.28478964401295</v>
      </c>
      <c r="HM31" s="318">
        <f ca="1">Tbl_MeasureList[[#This Row],[CES ROF Low Measure Gas Source Fuel Savings (1,000 cu.ft. gas/year)]]+Tbl_MeasureList[[#This Row],[CES ROF Low Measure Gas Site Fuel Savings (1,000 cu.ft gas/year)]]</f>
        <v>-18.398091480228331</v>
      </c>
      <c r="HN31" s="315">
        <f ca="1">IFERROR(Tbl_MeasureList[[#This Row],[ROF High Measure Electric Annual Consumption Savings (kWh/yr)]]*COAL_BTU_PER_SITE_KWH_CES/Btu_per_MMBtu,"-")</f>
        <v>-1.1339705429690497E-2</v>
      </c>
      <c r="HO31" s="316">
        <f ca="1">IFERROR(Tbl_MeasureList[[#This Row],[ROF High Measure Electric Annual Consumption Savings (kWh/yr)]]*COAL_LBS_PER_SITE_KWH_CES,"-")</f>
        <v>-1.0297589384026968</v>
      </c>
      <c r="HP31" s="317">
        <f ca="1">IFERROR(Tbl_MeasureList[[#This Row],[ROF High Measure Electric Annual Consumption Savings (kWh/yr)]]*OIL_BTU_PER_SITE_KWH_CES/Btu_per_MMBtu,"-")</f>
        <v>-3.4904291353779772E-3</v>
      </c>
      <c r="HQ31" s="316">
        <f ca="1">IFERROR(Tbl_MeasureList[[#This Row],[ROF High Measure Electric Annual Consumption Savings (kWh/yr)]]*OIL_GAL_PER_SITE_KWH_CES,"-")</f>
        <v>-2.3548339913765499E-2</v>
      </c>
      <c r="HR31" s="317">
        <f ca="1">IFERROR(Tbl_MeasureList[[#This Row],[ROF High Measure Oil Annual Consumption Savings (MMBtu/yr)]]*Btu_per_MMBtu/OIL_BTU_PER_GAL_CES,"-")</f>
        <v>0</v>
      </c>
      <c r="HS31" s="316">
        <f ca="1">IFERROR(Tbl_MeasureList[[#This Row],[CES ROF High Measure Oil Source Fuel Savings (gallons oil/year)]]+Tbl_MeasureList[[#This Row],[CES ROF High Measure Oil Site Fuel Savings (gallons oil/year)]],"-")</f>
        <v>-2.3548339913765499E-2</v>
      </c>
      <c r="HT31" s="317">
        <f ca="1">IFERROR(Tbl_MeasureList[[#This Row],[ROF High Measure Electric Annual Consumption Savings (kWh/yr)]]*GAS_BTU_PER_SITE_KWH_CES/Btu_per_MMBtu,"-")</f>
        <v>-0.10324195639257816</v>
      </c>
      <c r="HU31" s="316">
        <f ca="1">IFERROR(Tbl_MeasureList[[#This Row],[ROF High Measure Electric Annual Consumption Savings (kWh/yr)]]*GAS_CUFT_PER_SITE_KWH_CES/1000,"-")</f>
        <v>-0.10023490911900793</v>
      </c>
      <c r="HV31" s="317">
        <f ca="1">IFERROR(Tbl_MeasureList[[#This Row],[ROF High Measure Natural Gas Annual Consumption Savings (therms/yr)]]*Btu_per_MMBtu/(GAS_BTU_PER_CUFT_CES*Therm_per_MMBtu*1000),"-")</f>
        <v>-16.62253604001177</v>
      </c>
      <c r="HW31" s="318">
        <f ca="1">IFERROR(Tbl_MeasureList[[#This Row],[CES ROF High Measure Gas Source Fuel Savings (1,000 cu.ft. gas/year)]]+Tbl_MeasureList[[#This Row],[CES ROF High Measure Gas Site Fuel Savings (1,000 cu.ft gas/year)]],"-")</f>
        <v>-16.722770949130776</v>
      </c>
      <c r="HX31" s="248">
        <f>Tbl_MeasureList[[#This Row],[Baseline Energy Cost (USD/yr)]]-Tbl_MeasureList[[#This Row],[Code (old fuel) Energy Cost (USD/yr)]]</f>
        <v>55.58057871928645</v>
      </c>
      <c r="HY31" s="201">
        <f>0</f>
        <v>0</v>
      </c>
      <c r="HZ31" s="86">
        <f>Tbl_MeasureList[[#This Row],[Baseline Electric Annual Consumption (kWh/yr)]]-Tbl_MeasureList[[#This Row],[Code (old fuel) Electric Annual Consumption (kWh/yr)]]</f>
        <v>0</v>
      </c>
      <c r="IA31" s="86" t="str">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v>
      </c>
      <c r="IB31" s="86" t="str">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v>
      </c>
      <c r="IC31" s="152">
        <f>Tbl_MeasureList[[#This Row],[Baseline Electric Winter Peak Demand (kW)]]-Tbl_MeasureList[[#This Row],[Code (old fuel) Electric Winter Peak Demand (kW)]]</f>
        <v>0</v>
      </c>
      <c r="ID31" s="152">
        <f>Tbl_MeasureList[[#This Row],[Baseline Electric Summer Peak Demand (kW)]]-Tbl_MeasureList[[#This Row],[Code (old fuel) Electric Summer Peak Demand (kW)]]</f>
        <v>0</v>
      </c>
      <c r="IE31" s="251">
        <f>Tbl_MeasureList[[#This Row],[Baseline Natural Gas Annual Consumption (therms/yr)]]-Tbl_MeasureList[[#This Row],[Code (old fuel) Natural Gas Annual Consumption (therms/yr)]]</f>
        <v>0</v>
      </c>
      <c r="IF31" s="252">
        <f>Tbl_MeasureList[[#This Row],[Baseline Propane Annual Consumption (MMBtu/yr)]]-Tbl_MeasureList[[#This Row],[Code (old fuel) Propane Annual Consumption (MMBtu/yr)]]</f>
        <v>1.5462506841817216</v>
      </c>
      <c r="IG31" s="253">
        <f>Tbl_MeasureList[[#This Row],[Baseline Oil Annual Consumption (MMBtu/yr)]]-Tbl_MeasureList[[#This Row],[Code (old fuel) Oil Annual Consumption (MMBtu/yr)]]</f>
        <v>0</v>
      </c>
      <c r="IH31" s="371">
        <f>Tbl_MeasureList[[#This Row],[Baseline Energy Consumption on MMBtu Basis (MMBtu/yr)]]-Tbl_MeasureList[[#This Row],[Code (old fuel) Energy Consumption on MMBtu Basis (MMBtu/yr)]]</f>
        <v>1.5462506841817216</v>
      </c>
      <c r="II31" s="371">
        <f>Tbl_MeasureList[[#This Row],[Baseline Carbon Emissions, Site (tons CO2/yr)]]-Tbl_MeasureList[[#This Row],[Code (old fuel) Carbon Emissions, Site (tons CO2/yr)]]</f>
        <v>0.1074644225506296</v>
      </c>
      <c r="IJ31" s="279">
        <f>Tbl_MeasureList[[#This Row],[Baseline Carbon Emissions, Source (tons CO2/yr)]]-Tbl_MeasureList[[#This Row],[Code (old fuel) Carbon Emissions, Source (tons CO2/yr)]]</f>
        <v>0.1074644225506296</v>
      </c>
      <c r="IK31" s="273">
        <f ca="1">Tbl_MeasureList[[#This Row],[Code (new fuel) Energy Cost (USD/yr)]]-Tbl_MeasureList[[#This Row],[Low Measure Energy Cost (USD/yr)]]</f>
        <v>14.067215151515143</v>
      </c>
      <c r="IL31"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6534.0505845565913</v>
      </c>
      <c r="IM31" s="85">
        <f ca="1">Tbl_MeasureList[[#This Row],[Code (old fuel) Electric Annual Consumption (kWh/yr)]]-Tbl_MeasureList[[#This Row],[Low Measure Electric Annual Consumption (kWh/yr)]]</f>
        <v>-68.5</v>
      </c>
      <c r="IN31" s="85" t="str">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v>
      </c>
      <c r="IO31" s="85" t="str">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v>
      </c>
      <c r="IP31" s="152">
        <f ca="1">Tbl_MeasureList[[#This Row],[Code (old fuel) Electric Winter Peak Demand (kW)]]-Tbl_MeasureList[[#This Row],[Low Measure Electric Winter Peak Demand (kW)]]</f>
        <v>-2.7043031977891829E-2</v>
      </c>
      <c r="IQ31" s="152">
        <f ca="1">Tbl_MeasureList[[#This Row],[Code (old fuel) Electric Summer Peak Demand (kW)]]-Tbl_MeasureList[[#This Row],[Low Measure Electric Summer Peak Demand (kW)]]</f>
        <v>-1.2710225029609159E-2</v>
      </c>
      <c r="IR31" s="204">
        <f ca="1">Tbl_MeasureList[[#This Row],[Code (old fuel) Natural Gas Annual Consumption (therms/yr)]]-Tbl_MeasureList[[#This Row],[Low Measure Natural Gas Annual Consumption (therms/yr)]]</f>
        <v>-188.33333333333337</v>
      </c>
      <c r="IS31" s="153">
        <f ca="1">Tbl_MeasureList[[#This Row],[Code (old fuel) Propane Annual Consumption (MMBtu/yr)]]-Tbl_MeasureList[[#This Row],[Low Measure Propane Annual Consumption (MMBtu/yr)]]</f>
        <v>17.936507936507937</v>
      </c>
      <c r="IT31" s="204">
        <f ca="1">Tbl_MeasureList[[#This Row],[Code (old fuel) Oil Annual Consumption (MMBtu/yr)]]-Tbl_MeasureList[[#This Row],[Low Measure Oil Annual Consumption (MMBtu/yr)]]</f>
        <v>0</v>
      </c>
      <c r="IU31" s="204">
        <f ca="1">Tbl_MeasureList[[#This Row],[Code (old fuel) Energy Consumption on MMBtu Basis (MMBtu/yr)]]-Tbl_MeasureList[[#This Row],[Low Measure Energy Consumption on MMBtu Basis (MMBtu/yr)]]</f>
        <v>-1.1305473968253992</v>
      </c>
      <c r="IV31" s="204">
        <f ca="1">Tbl_MeasureList[[#This Row],[Code (old fuel) Carbon Emissions, Site (tons CO2/yr)]]-Tbl_MeasureList[[#This Row],[Low Measure Carbon Emissions, Site (tons CO2/yr)]]</f>
        <v>0.14483730158730146</v>
      </c>
      <c r="IW31" s="260">
        <f ca="1">Tbl_MeasureList[[#This Row],[Code (old fuel) Carbon Emissions, Source (tons CO2/yr)]]-Tbl_MeasureList[[#This Row],[Low Measure Carbon Emissions, Source (tons CO2/yr)]]</f>
        <v>0.12064584158730152</v>
      </c>
      <c r="IX31" s="27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356.58288162857042</v>
      </c>
      <c r="IY31" s="20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8902.0505845565913</v>
      </c>
      <c r="IZ31" s="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-60.6</v>
      </c>
      <c r="JA31" s="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v>
      </c>
      <c r="JB31" s="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v>
      </c>
      <c r="JC31"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-2.3924200552704302E-2</v>
      </c>
      <c r="JD31" s="152">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-1.1244374259771022E-2</v>
      </c>
      <c r="JE31"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-171.21212121212122</v>
      </c>
      <c r="JF31" s="1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17.936507936507937</v>
      </c>
      <c r="JG31"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0</v>
      </c>
      <c r="JH31"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0.60852861529581403</v>
      </c>
      <c r="JI31" s="20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0.24499639249639249</v>
      </c>
      <c r="JJ31"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0.22359489649639253</v>
      </c>
      <c r="JK31" s="432">
        <f>Tbl_MeasureList[[#This Row],[ER (Retire) Electric Annual Consumption Savings (kWh/yr)]]*COAL_BTU_PER_SITE_KWH/Btu_per_MMBtu</f>
        <v>0</v>
      </c>
      <c r="JL31" s="428">
        <f>Tbl_MeasureList[[#This Row],[ER (Retire) Electric Annual Consumption Savings (kWh/yr)]]*COAL_LBS_PER_SITE_KWH</f>
        <v>0</v>
      </c>
      <c r="JM31" s="427">
        <f>Tbl_MeasureList[[#This Row],[ER (Retire) Electric Annual Consumption Savings (kWh/yr)]]*OIL_BTU_PER_SITE_KWH/Btu_per_MMBtu</f>
        <v>0</v>
      </c>
      <c r="JN31" s="428">
        <f>Tbl_MeasureList[[#This Row],[ER (Retire) Electric Annual Consumption Savings (kWh/yr)]]*OIL_GAL_PER_SITE_KWH</f>
        <v>0</v>
      </c>
      <c r="JO31" s="427">
        <f>Tbl_MeasureList[[#This Row],[ER (Retire) Oil Annual Consumption Savings (MMBtu/yr)]]*Btu_per_MMBtu/OIL_BTU_PER_GAL</f>
        <v>0</v>
      </c>
      <c r="JP31" s="428">
        <f ca="1">Tbl_MeasureList[[#This Row],[Current ER (Retire) Oil Source Fuel Savings (gallons oil/year)]]+Tbl_MeasureList[[#This Row],[Current ER Total Low Measure Oil Site Fuel Savings (gallons oil/year)]]</f>
        <v>0</v>
      </c>
      <c r="JQ31" s="427">
        <f>Tbl_MeasureList[[#This Row],[ER (Retire) Electric Annual Consumption Savings (kWh/yr)]]*GAS_BTU_PER_SITE_KWH/Btu_per_MMBtu</f>
        <v>0</v>
      </c>
      <c r="JR31" s="429">
        <f>Tbl_MeasureList[[#This Row],[ER (Retire) Electric Annual Consumption Savings (kWh/yr)]]*GAS_CUFT_PER_SITE_KWH/1000</f>
        <v>0</v>
      </c>
      <c r="JS31" s="430">
        <f>Tbl_MeasureList[[#This Row],[ER (Retire) Natural Gas Annual Consumption Savings (therms/yr)]]*Btu_per_MMBtu/(GAS_BTU_PER_CUFT*Therm_per_MMBtu*1000)</f>
        <v>0</v>
      </c>
      <c r="JT31" s="431">
        <f ca="1">Tbl_MeasureList[[#This Row],[Current ER (Retire) Gas Source Fuel Savings (1,000 cu.ft. gas/year)]]+Tbl_MeasureList[[#This Row],[Current ER Total Low Measure Gas Site Fuel Savings (1,000 cu.ft gas/year)]]</f>
        <v>-18.302559118885654</v>
      </c>
      <c r="JU31" s="432">
        <f ca="1">Tbl_MeasureList[[#This Row],[ER (EE) Low Measure Electric Annual Consumption Savings (kWh/yr)]]*COAL_BTU_PER_SITE_KWH/Btu_per_MMBtu</f>
        <v>-7.5399905060551265E-3</v>
      </c>
      <c r="JV31" s="428">
        <f ca="1">Tbl_MeasureList[[#This Row],[ER (EE) Low Measure Electric Annual Consumption Savings (kWh/yr)]]*COAL_LBS_PER_SITE_KWH</f>
        <v>-0.66140267596974789</v>
      </c>
      <c r="JW31" s="427">
        <f ca="1">Tbl_MeasureList[[#This Row],[ER (EE) Low Measure Electric Annual Consumption Savings (kWh/yr)]]*OIL_BTU_PER_SITE_KWH/Btu_per_MMBtu</f>
        <v>-8.6799945660307118E-3</v>
      </c>
      <c r="JX31" s="428">
        <f ca="1">Tbl_MeasureList[[#This Row],[ER (EE) Low Measure Electric Annual Consumption Savings (kWh/yr)]]*OIL_GAL_PER_SITE_KWH</f>
        <v>-6.2923589590276635E-2</v>
      </c>
      <c r="JY31" s="427">
        <f ca="1">Tbl_MeasureList[[#This Row],[ER (EE) Low Measure Oil Annual Consumption Savings (MMBtu/yr)]]*Btu_per_MMBtu/OIL_BTU_PER_GAL</f>
        <v>0</v>
      </c>
      <c r="JZ31" s="428">
        <f ca="1">Tbl_MeasureList[[#This Row],[Current ER (EE) Low Measure Oil Source Fuel Savings (gallons oil/year)]]+Tbl_MeasureList[[#This Row],[Current ER (EE) Low Measure Oil Site Fuel Savings (gallons oil/year)]]</f>
        <v>-6.2923589590276635E-2</v>
      </c>
      <c r="KA31" s="427">
        <f ca="1">Tbl_MeasureList[[#This Row],[ER (EE) Low Measure Electric Annual Consumption Savings (kWh/yr)]]*GAS_BTU_PER_SITE_KWH/Btu_per_MMBtu</f>
        <v>-0.2803109644014824</v>
      </c>
      <c r="KB31" s="429">
        <f ca="1">Tbl_MeasureList[[#This Row],[ER (EE) Low Measure Electric Annual Consumption Savings (kWh/yr)]]*GAS_CUFT_PER_SITE_KWH/1000</f>
        <v>-0.27241104412194589</v>
      </c>
      <c r="KC31" s="430">
        <f ca="1">Tbl_MeasureList[[#This Row],[ER (EE) Low Measure Natural Gas Annual Consumption Savings (therms/yr)]]*Btu_per_MMBtu/(GAS_BTU_PER_CUFT*Therm_per_MMBtu*1000)</f>
        <v>-18.302559118885654</v>
      </c>
      <c r="KD31" s="431">
        <f ca="1">Tbl_MeasureList[[#This Row],[Current ER (EE) Low Measure Gas Source Fuel Savings (1,000 cu.ft. gas/year)]]+Tbl_MeasureList[[#This Row],[Current ER (EE) Low Measure Gas Site Fuel Savings (1,000 cu.ft gas/year)]]</f>
        <v>-18.574970163007599</v>
      </c>
      <c r="KE31" s="432">
        <f ca="1">IFERROR(Tbl_MeasureList[[#This Row],[ER (EE) High Measure Electric Annual Consumption Savings (kWh/yr)]]*COAL_BTU_PER_SITE_KWH/Btu_per_MMBtu,"-")</f>
        <v>-6.6704149586414695E-3</v>
      </c>
      <c r="KF31" s="428">
        <f ca="1">IFERROR(Tbl_MeasureList[[#This Row],[ER (EE) High Measure Electric Annual Consumption Savings (kWh/yr)]]*COAL_LBS_PER_SITE_KWH,"-")</f>
        <v>-0.58512411917907625</v>
      </c>
      <c r="KG31" s="427">
        <f ca="1">IFERROR(Tbl_MeasureList[[#This Row],[ER (EE) High Measure Electric Annual Consumption Savings (kWh/yr)]]*OIL_BTU_PER_SITE_KWH/Btu_per_MMBtu,"-")</f>
        <v>-7.6789440978315485E-3</v>
      </c>
      <c r="KH31" s="428">
        <f ca="1">IFERROR(Tbl_MeasureList[[#This Row],[ER (EE) High Measure Electric Annual Consumption Savings (kWh/yr)]]*OIL_GAL_PER_SITE_KWH,"-")</f>
        <v>-5.5666708455047655E-2</v>
      </c>
      <c r="KI31" s="427">
        <f ca="1">IFERROR(Tbl_MeasureList[[#This Row],[ER (EE) High Measure Oil Annual Consumption Savings (MMBtu/yr)]]*Btu_per_MMBtu/OIL_BTU_PER_GAL,"-")</f>
        <v>0</v>
      </c>
      <c r="KJ31" s="428">
        <f ca="1">IFERROR(Tbl_MeasureList[[#This Row],[Current ER (EE) High Measure Oil Source Fuel Savings (gallons oil/year)]]+Tbl_MeasureList[[#This Row],[Current ER (EE) High Measure Oil Site Fuel Savings (gallons oil/year)]],"-")</f>
        <v>-5.5666708455047655E-2</v>
      </c>
      <c r="KK31" s="427">
        <f ca="1">IFERROR(Tbl_MeasureList[[#This Row],[ER (EE) High Measure Electric Annual Consumption Savings (kWh/yr)]]*GAS_BTU_PER_SITE_KWH/Btu_per_MMBtu,"-")</f>
        <v>-0.24798313055080048</v>
      </c>
      <c r="KL31" s="429">
        <f ca="1">IFERROR(Tbl_MeasureList[[#This Row],[ER (EE) High Measure Electric Annual Consumption Savings (kWh/yr)]]*GAS_CUFT_PER_SITE_KWH/1000,"-")</f>
        <v>-0.24099429596773611</v>
      </c>
      <c r="KM31" s="430">
        <f ca="1">IFERROR(Tbl_MeasureList[[#This Row],[ER (EE) High Measure Natural Gas Annual Consumption Savings (therms/yr)]]*Btu_per_MMBtu/(GAS_BTU_PER_CUFT*Therm_per_MMBtu*1000),"-")</f>
        <v>-16.638690108077864</v>
      </c>
      <c r="KN31" s="431">
        <f ca="1">IFERROR(Tbl_MeasureList[[#This Row],[Current ER (EE) High Measure Gas Source Fuel Savings (1,000 cu.ft. gas/year)]]+Tbl_MeasureList[[#This Row],[Current ER (EE) High Measure Gas Site Fuel Savings (1,000 cu.ft gas/year)]],"-")</f>
        <v>-16.879684404045598</v>
      </c>
    </row>
    <row r="32" spans="2:300" x14ac:dyDescent="0.2">
      <c r="B32" s="16"/>
      <c r="C32" s="2" t="s">
        <v>106</v>
      </c>
      <c r="D32" s="12" t="str">
        <f>INDEX(Tbl_BaselineSummary[Equipment ID],MATCH(Tbl_MeasureList[[#This Row],[Baseline ID]],Tbl_BaselineSummary[Baseline ID],0))</f>
        <v>EQUI026</v>
      </c>
      <c r="E32" s="11" t="str">
        <f>INDEX(Tbl_EquipmentDefinitions[Equipment Name],MATCH('Measure List'!$D32,Tbl_EquipmentDefinitions[Equipment ID],0))</f>
        <v>Oil Storage WH</v>
      </c>
      <c r="F32" s="3" t="s">
        <v>241</v>
      </c>
      <c r="G32" s="11" t="str">
        <f>INDEX(Tbl_EquipmentDefinitions[Function],MATCH('Measure List'!$D32,Tbl_EquipmentDefinitions[Equipment ID],0))</f>
        <v>HW</v>
      </c>
      <c r="H32" s="3" t="s">
        <v>111</v>
      </c>
      <c r="I32" s="3" t="s">
        <v>71</v>
      </c>
      <c r="J32" s="11" t="str">
        <f>INDEX(Tbl_EquipmentDefinitions[Equipment Name],MATCH('Measure List'!$I32,Tbl_EquipmentDefinitions[Equipment ID],0))</f>
        <v>Gas On-Demand WH</v>
      </c>
      <c r="K32" s="11">
        <f>INDEX(Tbl_EquipmentDefinitions[],MATCH(Tbl_MeasureList[[#This Row],[Replacement ID]],Tbl_EquipmentDefinitions[[Equipment ID]:[Equipment ID]],0),MATCH(Tbl_MeasureList[[#Headers],[New Unit Equipment Life (years)]],Tbl_EquipmentDefinitions[#Headers],0))</f>
        <v>19</v>
      </c>
      <c r="L32" s="11">
        <f>INDEX(Tbl_EquipmentDefinitions[],MATCH(Tbl_MeasureList[[#This Row],[Baseline Equipment ID]],Tbl_EquipmentDefinitions[[Equipment ID]:[Equipment ID]],0),MATCH(Tbl_MeasureList[[#Headers],[Remaining Life for Early Replacement (years)]],Tbl_EquipmentDefinitions[#Headers],0))</f>
        <v>4</v>
      </c>
      <c r="M32" s="12" t="str">
        <f>INDEX(Tbl_EquipmentDefinitions[Function],MATCH('Measure List'!$I32,Tbl_EquipmentDefinitions[Equipment ID],0))</f>
        <v>HW</v>
      </c>
      <c r="N32" s="368" t="s">
        <v>118</v>
      </c>
      <c r="O32" s="14" t="str">
        <f t="shared" si="0"/>
        <v>OK</v>
      </c>
      <c r="P32" s="12" t="str">
        <f ca="1">IFERROR(INDIRECT(Tbl_MeasureList[[#This Row],[Measure ID]]&amp;"!D5"),"No tab")</f>
        <v>3. Ready</v>
      </c>
      <c r="Q32" s="11"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Oil</v>
      </c>
      <c r="R32" s="12"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v>
      </c>
      <c r="S32" s="11"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Natural Gas</v>
      </c>
      <c r="T32" s="247"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v>
      </c>
      <c r="U32" s="248">
        <f>INDEX(Tbl_BaselineSummary[Baseline Annual Energy Cost (USD)],MATCH(Tbl_MeasureList[[#This Row],[Baseline ID]],Tbl_BaselineSummary[Baseline ID],0))</f>
        <v>538.26942250267905</v>
      </c>
      <c r="V32" s="249">
        <f>INDEX(Tbl_BaselineSummary[Baseline Electric Annual Consumption  (kWh)],MATCH(Tbl_MeasureList[[#This Row],[Baseline ID]],Tbl_BaselineSummary[Baseline ID],0))</f>
        <v>0</v>
      </c>
      <c r="W32" s="249" t="str">
        <f>INDEX(Tbl_BaselineSummary[Baseline Electric Winter Consumption (kWh)],MATCH(Tbl_MeasureList[[#This Row],[Baseline ID]],Tbl_BaselineSummary[Baseline ID],0))</f>
        <v>n/a</v>
      </c>
      <c r="X32" s="249" t="str">
        <f>INDEX(Tbl_BaselineSummary[Baseline Electric Summer Consumption (kWh)],MATCH(Tbl_MeasureList[[#This Row],[Baseline ID]],Tbl_BaselineSummary[Baseline ID],0))</f>
        <v>n/a</v>
      </c>
      <c r="Y32" s="250">
        <f>INDEX(Tbl_BaselineSummary[Baseline Electric Baseline Winter Peak Demand (kW)],MATCH(Tbl_MeasureList[[#This Row],[Baseline ID]],Tbl_BaselineSummary[Baseline ID],0))</f>
        <v>0</v>
      </c>
      <c r="Z32" s="452">
        <f>INDEX(Tbl_BaselineSummary[Baseline Electric Baseline Summer Peak Demand (kW)],MATCH(Tbl_MeasureList[[#This Row],[Baseline ID]],Tbl_BaselineSummary[Baseline ID],0))</f>
        <v>0</v>
      </c>
      <c r="AA32" s="458">
        <f>INDEX(Tbl_BaselineSummary[Baseline Natural Gas Annual Consumption  (therms)],MATCH(Tbl_MeasureList[[#This Row],[Baseline ID]],Tbl_BaselineSummary[Baseline ID],0))</f>
        <v>0</v>
      </c>
      <c r="AB32" s="455">
        <f>INDEX(Tbl_BaselineSummary[Baseline Propane Annual Consumption  (MMBtu)],MATCH(Tbl_MeasureList[[#This Row],[Baseline ID]],Tbl_BaselineSummary[Baseline ID],0))</f>
        <v>0</v>
      </c>
      <c r="AC32" s="252">
        <f>INDEX(Tbl_BaselineSummary[Baseline Oil Annual Consumption  (MMBtu)],MATCH(Tbl_MeasureList[[#This Row],[Baseline ID]],Tbl_BaselineSummary[Baseline ID],0))</f>
        <v>23.965517241379313</v>
      </c>
      <c r="AD32" s="371">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23.965517241379313</v>
      </c>
      <c r="AE32" s="460">
        <f>(lbCO2_per_Therm_Gas*Tbl_MeasureList[[#This Row],[Baseline Natural Gas Annual Consumption (therms/yr)]]+lbCO2_per_MMBtu_Prop*Tbl_MeasureList[[#This Row],[Baseline Propane Annual Consumption (MMBtu/yr)]]+lbCO2_per_MMBtu_Oil*Tbl_MeasureList[[#This Row],[Baseline Oil Annual Consumption (MMBtu/yr)]])*Lbs_per_ShortTon</f>
        <v>1.9328189655172419</v>
      </c>
      <c r="AF32" s="463">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1.9328189655172419</v>
      </c>
      <c r="AG32" s="465">
        <f>INDEX(Tbl_BaselineSummary[Code Annual Energy Cost (USD)],MATCH(Tbl_MeasureList[[#This Row],[Baseline ID]],Tbl_BaselineSummary[Baseline ID],0))</f>
        <v>503.54236298637721</v>
      </c>
      <c r="AH32" s="468">
        <f>INDEX(Tbl_BaselineSummary[Deferred Replacement Credit (USD)],MATCH(Tbl_MeasureList[[#This Row],[Baseline ID]],Tbl_BaselineSummary[Baseline ID],0))</f>
        <v>1142.2634464766872</v>
      </c>
      <c r="AI32" s="201">
        <f>INDEX(Tbl_BaselineSummary[A/C-only Deferred Replacement Credit (USD)],MATCH(Tbl_MeasureList[[#This Row],[Baseline ID]],Tbl_BaselineSummary[Baseline ID],0))</f>
        <v>0</v>
      </c>
      <c r="AJ32" s="468">
        <f>INDEX(Tbl_BaselineSummary[Code Installed Costs (USD)],MATCH(Tbl_MeasureList[[#This Row],[Baseline ID]],Tbl_BaselineSummary[Baseline ID],0))</f>
        <v>1750</v>
      </c>
      <c r="AK32" s="201">
        <f>INDEX(Tbl_BaselineSummary[Code A/C-only Installed Cost (USD)],MATCH(Tbl_MeasureList[[#This Row],[Baseline ID]],Tbl_BaselineSummary[Baseline ID],0))</f>
        <v>0</v>
      </c>
      <c r="AL32" s="86">
        <f>INDEX(Tbl_BaselineSummary[Code Electric Annual Consumption (kWh)],MATCH(Tbl_MeasureList[[#This Row],[Baseline ID]],Tbl_BaselineSummary[Baseline ID],0))</f>
        <v>0</v>
      </c>
      <c r="AM32" s="86" t="str">
        <f>INDEX(Tbl_BaselineSummary[Code Electric Winter Consumption (kWh)],MATCH(Tbl_MeasureList[[#This Row],[Baseline ID]],Tbl_BaselineSummary[Baseline ID],0))</f>
        <v>n/a</v>
      </c>
      <c r="AN32" s="86" t="str">
        <f>INDEX(Tbl_BaselineSummary[Code Electric Summer Consumption (kWh)],MATCH(Tbl_MeasureList[[#This Row],[Baseline ID]],Tbl_BaselineSummary[Baseline ID],0))</f>
        <v>n/a</v>
      </c>
      <c r="AO32" s="152">
        <f>INDEX(Tbl_BaselineSummary[Code Electric Winter Peak Demand (kW)],MATCH(Tbl_MeasureList[[#This Row],[Baseline ID]],Tbl_BaselineSummary[Baseline ID],0))</f>
        <v>0</v>
      </c>
      <c r="AP32" s="470">
        <f>INDEX(Tbl_BaselineSummary[Code Electric Summer Peak Demand (kW)],MATCH(Tbl_MeasureList[[#This Row],[Baseline ID]],Tbl_BaselineSummary[Baseline ID],0))</f>
        <v>0</v>
      </c>
      <c r="AQ32" s="467">
        <f>INDEX(Tbl_BaselineSummary[Code Natural Gas Annual Consumption (therms)],MATCH(Tbl_MeasureList[[#This Row],[Baseline ID]],Tbl_BaselineSummary[Baseline ID],0))</f>
        <v>0</v>
      </c>
      <c r="AR32" s="472">
        <f>INDEX(Tbl_BaselineSummary[Code Propane Annual Consumption (MMBtu)],MATCH(Tbl_MeasureList[[#This Row],[Baseline ID]],Tbl_BaselineSummary[Baseline ID],0))</f>
        <v>0</v>
      </c>
      <c r="AS32" s="467">
        <f>INDEX(Tbl_BaselineSummary[Code Oil Annual Consumption (MMBtu)],MATCH(Tbl_MeasureList[[#This Row],[Baseline ID]],Tbl_BaselineSummary[Baseline ID],0))</f>
        <v>22.41935483870968</v>
      </c>
      <c r="AT32" s="204">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22.41935483870968</v>
      </c>
      <c r="AU32" s="467">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1.8081209677419359</v>
      </c>
      <c r="AV32" s="474">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1.8081209677419359</v>
      </c>
      <c r="AW32" s="248">
        <f ca="1">INDIRECT(Tbl_MeasureList[[#This Row],[Measure ID]]&amp;"!L26")</f>
        <v>286.03451000000001</v>
      </c>
      <c r="AX32" s="477">
        <f ca="1">INDIRECT(Tbl_MeasureList[[#This Row],[Measure ID]]&amp;"!M26")</f>
        <v>8453</v>
      </c>
      <c r="AY32" s="481">
        <f ca="1">INDIRECT(Tbl_MeasureList[[#This Row],[Measure ID]]&amp;"!D26")</f>
        <v>29.2</v>
      </c>
      <c r="AZ32" s="481" t="str">
        <f ca="1">INDIRECT(Tbl_MeasureList[[#This Row],[Measure ID]]&amp;"!J26")</f>
        <v>n/a</v>
      </c>
      <c r="BA32" s="481" t="str">
        <f ca="1">INDIRECT(Tbl_MeasureList[[#This Row],[Measure ID]]&amp;"!I26")</f>
        <v>n/a</v>
      </c>
      <c r="BB32" s="479">
        <f ca="1">INDIRECT(Tbl_MeasureList[[#This Row],[Measure ID]]&amp;"!E26")</f>
        <v>1.1527832609553888E-2</v>
      </c>
      <c r="BC32" s="268">
        <f ca="1">INDIRECT(Tbl_MeasureList[[#This Row],[Measure ID]]&amp;"!H26")</f>
        <v>5.4180813264903269E-3</v>
      </c>
      <c r="BD32" s="253">
        <f ca="1">INDIRECT(Tbl_MeasureList[[#This Row],[Measure ID]]&amp;"!D32")</f>
        <v>173.75</v>
      </c>
      <c r="BE32" s="270">
        <f ca="1">INDIRECT(Tbl_MeasureList[[#This Row],[Measure ID]]&amp;"!D38")</f>
        <v>0</v>
      </c>
      <c r="BF32" s="253">
        <f ca="1">INDIRECT(Tbl_MeasureList[[#This Row],[Measure ID]]&amp;"!D44")</f>
        <v>0</v>
      </c>
      <c r="BG32" s="460">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17.474630399999999</v>
      </c>
      <c r="BH32" s="371">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1.0164374999999999</v>
      </c>
      <c r="BI32" s="272">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1.0267497719999998</v>
      </c>
      <c r="BJ32" s="273">
        <f ca="1">INDIRECT(Tbl_MeasureList[[#This Row],[Measure ID]]&amp;"!L27")</f>
        <v>263.36627540229892</v>
      </c>
      <c r="BK32" s="201">
        <f ca="1">INDIRECT(Tbl_MeasureList[[#This Row],[Measure ID]]&amp;"!M27")</f>
        <v>9196</v>
      </c>
      <c r="BL32" s="85">
        <f ca="1">INDIRECT(Tbl_MeasureList[[#This Row],[Measure ID]]&amp;"!D27")</f>
        <v>28.6</v>
      </c>
      <c r="BM32" s="85" t="str">
        <f ca="1">INDIRECT(Tbl_MeasureList[[#This Row],[Measure ID]]&amp;"!J27")</f>
        <v>n/a</v>
      </c>
      <c r="BN32" s="85" t="str">
        <f ca="1">INDIRECT(Tbl_MeasureList[[#This Row],[Measure ID]]&amp;"!I27")</f>
        <v>n/a</v>
      </c>
      <c r="BO32" s="152">
        <f ca="1">INDIRECT(Tbl_MeasureList[[#This Row],[Measure ID]]&amp;"!E27")</f>
        <v>1.1290959336754837E-2</v>
      </c>
      <c r="BP32" s="470">
        <f ca="1">INDIRECT(Tbl_MeasureList[[#This Row],[Measure ID]]&amp;"!H27")</f>
        <v>5.306750888274773E-3</v>
      </c>
      <c r="BQ32" s="467">
        <f ca="1">INDIRECT(Tbl_MeasureList[[#This Row],[Measure ID]]&amp;"!D33")</f>
        <v>159.77011494252875</v>
      </c>
      <c r="BR32" s="472">
        <f ca="1">INDIRECT(Tbl_MeasureList[[#This Row],[Measure ID]]&amp;"!D39")</f>
        <v>0</v>
      </c>
      <c r="BS32" s="467">
        <f ca="1">INDIRECT(Tbl_MeasureList[[#This Row],[Measure ID]]&amp;"!D45")</f>
        <v>0</v>
      </c>
      <c r="BT32" s="204">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16.074594694252873</v>
      </c>
      <c r="BU32" s="467">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0.93465517241379314</v>
      </c>
      <c r="BV32" s="260">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0.94475554841379317</v>
      </c>
      <c r="BW32" s="248"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v>
      </c>
      <c r="BX32" s="267"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v>
      </c>
      <c r="BY32"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v>
      </c>
      <c r="BZ32"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v>
      </c>
      <c r="CA32"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v>
      </c>
      <c r="CB32" s="268"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v>
      </c>
      <c r="CC32" s="268"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v>
      </c>
      <c r="CD32" s="269"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v>
      </c>
      <c r="CE32" s="270"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v>
      </c>
      <c r="CF32" s="253"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v>
      </c>
      <c r="CG32" s="460" t="str">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v>
      </c>
      <c r="CH32" s="371"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v>
      </c>
      <c r="CI32" s="260"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v>
      </c>
      <c r="CJ32" s="320">
        <f ca="1">-Tbl_MeasureList[[#This Row],[Low Measure Energy Cost (USD/yr)]]+Tbl_MeasureList[[#This Row],[Baseline Energy Cost (USD/yr)]]</f>
        <v>274.90314710038012</v>
      </c>
      <c r="CK32"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8053.736553523313</v>
      </c>
      <c r="CL32" s="249">
        <f ca="1">-Tbl_MeasureList[[#This Row],[Low Measure Electric Annual Consumption (kWh/yr)]]+Tbl_MeasureList[[#This Row],[Baseline Electric Annual Consumption (kWh/yr)]]</f>
        <v>-28.6</v>
      </c>
      <c r="CM32" s="249" t="str">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v>
      </c>
      <c r="CN32" s="249" t="str">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v>
      </c>
      <c r="CO32" s="268">
        <f ca="1">-Tbl_MeasureList[[#This Row],[Low Measure Electric Winter Peak Demand (kW)]]+Tbl_MeasureList[[#This Row],[Baseline Electric Winter Peak Demand (kW)]]</f>
        <v>-1.1290959336754837E-2</v>
      </c>
      <c r="CP32" s="479">
        <f ca="1">-Tbl_MeasureList[[#This Row],[Low Measure Electric Summer Peak Demand (kW)]]+Tbl_MeasureList[[#This Row],[Baseline Electric Summer Peak Demand (kW)]]</f>
        <v>-5.306750888274773E-3</v>
      </c>
      <c r="CQ32" s="481">
        <f ca="1">-Tbl_MeasureList[[#This Row],[Low Measure Natural Gas Annual Consumption (therms/yr)]]+Tbl_MeasureList[[#This Row],[Baseline Natural Gas Annual Consumption (therms/yr)]]</f>
        <v>-159.77011494252875</v>
      </c>
      <c r="CR32" s="490">
        <f ca="1">-Tbl_MeasureList[[#This Row],[Low Measure Propane Annual Consumption (MMBtu/yr)]]+Tbl_MeasureList[[#This Row],[Baseline Propane Annual Consumption (MMBtu/yr)]]</f>
        <v>0</v>
      </c>
      <c r="CS32" s="252">
        <f ca="1">-Tbl_MeasureList[[#This Row],[Low Measure Oil Annual Consumption (MMBtu/yr)]]+Tbl_MeasureList[[#This Row],[Baseline Oil Annual Consumption (MMBtu/yr)]]</f>
        <v>23.965517241379313</v>
      </c>
      <c r="CT32"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7.8909225471264399</v>
      </c>
      <c r="CU32" s="487">
        <f ca="1">-Tbl_MeasureList[[#This Row],[Low Measure Carbon Emissions, Site (tons CO2/yr)]]+Tbl_MeasureList[[#This Row],[Baseline Carbon Emissions, Site (tons CO2/yr)]]</f>
        <v>0.99816379310344872</v>
      </c>
      <c r="CV32" s="491">
        <f ca="1">-Tbl_MeasureList[[#This Row],[Low Measure Carbon Emissions, Source (tons CO2/yr)]]+Tbl_MeasureList[[#This Row],[Baseline Carbon Emissions, Source (tons CO2/yr)]]</f>
        <v>0.98806341710344869</v>
      </c>
      <c r="CW32" s="48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v>
      </c>
      <c r="CX32" s="477"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v>
      </c>
      <c r="CY32"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v>
      </c>
      <c r="CZ32"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v>
      </c>
      <c r="DA32"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v>
      </c>
      <c r="DB32" s="47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v>
      </c>
      <c r="DC32" s="268"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v>
      </c>
      <c r="DD32" s="26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v>
      </c>
      <c r="DE32" s="270"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v>
      </c>
      <c r="DF32" s="25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v>
      </c>
      <c r="DG32" s="270" t="str">
        <f>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v>
      </c>
      <c r="DH32" s="38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v>
      </c>
      <c r="DI32" s="321"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v>
      </c>
      <c r="DJ32" s="320">
        <f ca="1">-Tbl_MeasureList[[#This Row],[Low Measure Energy Cost (USD/yr)]]+Tbl_MeasureList[[#This Row],[Code (old fuel) Energy Cost (USD/yr)]]</f>
        <v>240.17608758407829</v>
      </c>
      <c r="DK32" s="267">
        <f ca="1">Tbl_MeasureList[[#This Row],[Low Measure Installed Costs (USD)]]-Tbl_MeasureList[[#This Row],[Code (old fuel) Installed Costs (USD)]]</f>
        <v>7446</v>
      </c>
      <c r="DL32" s="249">
        <f ca="1">-Tbl_MeasureList[[#This Row],[Low Measure Electric Annual Consumption (kWh/yr)]]+Tbl_MeasureList[[#This Row],[Code (old fuel) Electric Annual Consumption (kWh/yr)]]</f>
        <v>-28.6</v>
      </c>
      <c r="DM32" s="249" t="str">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v>
      </c>
      <c r="DN32" s="249" t="str">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v>
      </c>
      <c r="DO32" s="268">
        <f ca="1">-Tbl_MeasureList[[#This Row],[Low Measure Electric Winter Peak Demand (kW)]]+Tbl_MeasureList[[#This Row],[Code (old fuel) Electric Winter Peak Demand (kW)]]</f>
        <v>-1.1290959336754837E-2</v>
      </c>
      <c r="DP32" s="479">
        <f ca="1">-Tbl_MeasureList[[#This Row],[Low Measure Electric Summer Peak Demand (kW)]]+Tbl_MeasureList[[#This Row],[Code (old fuel) Electric Summer Peak Demand (kW)]]</f>
        <v>-5.306750888274773E-3</v>
      </c>
      <c r="DQ32" s="481">
        <f ca="1">-Tbl_MeasureList[[#This Row],[Low Measure Natural Gas Annual Consumption (therms/yr)]]+Tbl_MeasureList[[#This Row],[Code (old fuel) Natural Gas Annual Consumption (therms/yr)]]</f>
        <v>-159.77011494252875</v>
      </c>
      <c r="DR32" s="490">
        <f ca="1">-Tbl_MeasureList[[#This Row],[Low Measure Propane Annual Consumption (MMBtu/yr)]]+Tbl_MeasureList[[#This Row],[Code (old fuel) Propane Annual Consumption (MMBtu/yr)]]</f>
        <v>0</v>
      </c>
      <c r="DS32" s="252">
        <f ca="1">-Tbl_MeasureList[[#This Row],[Low Measure Oil Annual Consumption (MMBtu/yr)]]+Tbl_MeasureList[[#This Row],[Code (old fuel) Oil Annual Consumption (MMBtu/yr)]]</f>
        <v>22.41935483870968</v>
      </c>
      <c r="DT32"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6.3447601444568065</v>
      </c>
      <c r="DU32" s="487">
        <f ca="1">-Tbl_MeasureList[[#This Row],[Low Measure Carbon Emissions, Site (tons CO2/yr)]]+Tbl_MeasureList[[#This Row],[Code (old fuel) Carbon Emissions, Site (tons CO2/yr)]]</f>
        <v>0.87346579532814272</v>
      </c>
      <c r="DV32" s="491">
        <f ca="1">-Tbl_MeasureList[[#This Row],[Low Measure Carbon Emissions, Source (tons CO2/yr)]]+Tbl_MeasureList[[#This Row],[Code (old fuel) Carbon Emissions, Source (tons CO2/yr)]]</f>
        <v>0.8633654193281427</v>
      </c>
      <c r="DW32" s="48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(old fuel) Energy Cost (USD/yr)]],
        "-")</f>
        <v>-</v>
      </c>
      <c r="DX32" s="477"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v>
      </c>
      <c r="DY32"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v>
      </c>
      <c r="DZ32"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v>
      </c>
      <c r="EA32"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v>
      </c>
      <c r="EB32" s="47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v>
      </c>
      <c r="EC32" s="268"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v>
      </c>
      <c r="ED32" s="26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v>
      </c>
      <c r="EE32" s="270"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v>
      </c>
      <c r="EF32" s="25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v>
      </c>
      <c r="EG32" s="270" t="str">
        <f>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v>
      </c>
      <c r="EH32" s="38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v>
      </c>
      <c r="EI32" s="321"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v>
      </c>
      <c r="EJ32" s="477">
        <f ca="1">Tbl_MeasureList[[#This Row],[Code (old fuel) Energy Cost (USD/yr)]]-Tbl_MeasureList[[#This Row],[Code (new fuel) Energy Cost (USD/yr)]]</f>
        <v>217.5078529863772</v>
      </c>
      <c r="EK32" s="496">
        <f ca="1">Tbl_MeasureList[[#This Row],[Code (old fuel) Electric Annual Consumption (kWh/yr)]]-Tbl_MeasureList[[#This Row],[Code (new fuel) Electric Annual Consumption (kWh/yr)]]</f>
        <v>-29.2</v>
      </c>
      <c r="EL32" s="496" t="str">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v>
      </c>
      <c r="EM32" s="496" t="str">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v>
      </c>
      <c r="EN32" s="500">
        <f ca="1">Tbl_MeasureList[[#This Row],[Code (old fuel) Electric Winter Peak Demand (kW)]]-Tbl_MeasureList[[#This Row],[Code (new fuel) Electric Winter Peak Demand (kW)]]</f>
        <v>-1.1527832609553888E-2</v>
      </c>
      <c r="EO32" s="493">
        <f ca="1">Tbl_MeasureList[[#This Row],[Code (old fuel) Electric Summer Peak Demand (kW)]]-Tbl_MeasureList[[#This Row],[Code (new fuel) Electric Summer Peak Demand (kW)]]</f>
        <v>-5.4180813264903269E-3</v>
      </c>
      <c r="EP32" s="502">
        <f ca="1">Tbl_MeasureList[[#This Row],[Code (old fuel) Natural Gas Annual Consumption (therms/yr)]]-Tbl_MeasureList[[#This Row],[Code (new fuel) Natural Gas Annual Consumption (therms/yr)]]</f>
        <v>-173.75</v>
      </c>
      <c r="EQ32" s="215">
        <f ca="1">Tbl_MeasureList[[#This Row],[Code (old fuel) Propane Annual Consumption (MMBtu/yr)]]-Tbl_MeasureList[[#This Row],[Code (new fuel) Propane Annual Consumption (MMBtu/yr)]]</f>
        <v>0</v>
      </c>
      <c r="ER32" s="502">
        <f ca="1">Tbl_MeasureList[[#This Row],[Code (old fuel) Oil Annual Consumption (MMBtu/yr)]]-Tbl_MeasureList[[#This Row],[Code (new fuel) Oil Annual Consumption (MMBtu/yr)]]</f>
        <v>22.41935483870968</v>
      </c>
      <c r="ES32" s="215">
        <f ca="1">Tbl_MeasureList[[#This Row],[Code (old fuel) Energy Consumption on MMBtu Basis (MMBtu/yr)]]-Tbl_MeasureList[[#This Row],[Code (new fuel) Energy Consumption on MMBtu Basis (MMBtu/yr)]]</f>
        <v>4.9447244387096809</v>
      </c>
      <c r="ET32" s="502">
        <f ca="1">Tbl_MeasureList[[#This Row],[Code (old fuel) Carbon Emissions, Site (tons CO2/yr)]]-Tbl_MeasureList[[#This Row],[Code (new fuel) Carbon Emissions, Site (tons CO2/yr)]]</f>
        <v>0.79168346774193599</v>
      </c>
      <c r="EU32" s="498">
        <f ca="1">Tbl_MeasureList[[#This Row],[Code (old fuel) Carbon Emissions, Source (tons CO2/yr)]]-Tbl_MeasureList[[#This Row],[Code (new fuel) Carbon Emissions, Source (tons CO2/yr)]]</f>
        <v>0.78137119574193603</v>
      </c>
      <c r="EV32" s="450">
        <f ca="1">Tbl_MeasureList[[#This Row],[ER Total Low Measure Electric Annual Consumption Savings (kWh/yr)]]*COAL_BTU_PER_SITE_KWH/Btu_per_MMBtu</f>
        <v>-3.1480836273456441E-3</v>
      </c>
      <c r="EW32" s="411">
        <f ca="1">Tbl_MeasureList[[#This Row],[ER Total Low Measure Electric Annual Consumption Savings (kWh/yr)]]*COAL_LBS_PER_SITE_KWH</f>
        <v>-0.27614768660926703</v>
      </c>
      <c r="EX32" s="326">
        <f ca="1">Tbl_MeasureList[[#This Row],[ER Total Low Measure Electric Annual Consumption Savings (kWh/yr)]]*OIL_BTU_PER_SITE_KWH/Btu_per_MMBtu</f>
        <v>-3.6240561253792461E-3</v>
      </c>
      <c r="EY32" s="325">
        <f ca="1">Tbl_MeasureList[[#This Row],[ER Total Low Measure Electric Annual Consumption Savings (kWh/yr)]]*OIL_GAL_PER_SITE_KWH</f>
        <v>-2.6271746894626451E-2</v>
      </c>
      <c r="EZ32" s="326">
        <f ca="1">Tbl_MeasureList[[#This Row],[ER Total Low Measure Oil Annual Consumption Savings (MMBtu/yr)]]*Btu_per_MMBtu/OIL_BTU_PER_GAL</f>
        <v>173.73240959352867</v>
      </c>
      <c r="FA32" s="325">
        <f ca="1">Tbl_MeasureList[[#This Row],[Current ER Total Low Measure Oil Source Fuel Savings (gallons oil/year)]]+Tbl_MeasureList[[#This Row],[Current ER Total Low Measure Oil Site Fuel Savings (gallons oil/year)]]</f>
        <v>173.70613784663405</v>
      </c>
      <c r="FB32" s="326">
        <f ca="1">Tbl_MeasureList[[#This Row],[ER Total Low Measure Electric Annual Consumption Savings (kWh/yr)]]*GAS_BTU_PER_SITE_KWH/Btu_per_MMBtu</f>
        <v>-0.11703494280120287</v>
      </c>
      <c r="FC32" s="327">
        <f ca="1">Tbl_MeasureList[[#This Row],[ER Total Low Measure Electric Annual Consumption Savings (kWh/yr)]]*GAS_CUFT_PER_SITE_KWH/1000</f>
        <v>-0.11373658192536722</v>
      </c>
      <c r="FD32" s="328">
        <f ca="1">Tbl_MeasureList[[#This Row],[ER Total Low Measure Natural Gas Annual Consumption Savings (therms/yr)]]*Btu_per_MMBtu/(GAS_BTU_PER_CUFT*Therm_per_MMBtu*1000)</f>
        <v>-15.526736146018344</v>
      </c>
      <c r="FE32" s="329">
        <f ca="1">Tbl_MeasureList[[#This Row],[Current ER Total Low Measure Gas Source Fuel Savings (1,000 cu.ft. gas/year)]]+Tbl_MeasureList[[#This Row],[Current ER Total Low Measure Gas Site Fuel Savings (1,000 cu.ft gas/year)]]</f>
        <v>-15.640472727943711</v>
      </c>
      <c r="FF32" s="324" t="str">
        <f>IFERROR(Tbl_MeasureList[[#This Row],[ER Total High Measure Electric Annual Consumption Savings (kWh/yr)]]*COAL_BTU_PER_SITE_KWH/Btu_per_MMBtu,"-")</f>
        <v>-</v>
      </c>
      <c r="FG32" s="325" t="str">
        <f>IFERROR(Tbl_MeasureList[[#This Row],[ER Total High Measure Electric Annual Consumption Savings (kWh/yr)]]*COAL_LBS_PER_SITE_KWH,"-")</f>
        <v>-</v>
      </c>
      <c r="FH32" s="326" t="str">
        <f>IFERROR(Tbl_MeasureList[[#This Row],[ER Total High Measure Electric Annual Consumption Savings (kWh/yr)]]*OIL_BTU_PER_SITE_KWH/Btu_per_MMBtu,"-")</f>
        <v>-</v>
      </c>
      <c r="FI32" s="325" t="str">
        <f>IFERROR(Tbl_MeasureList[[#This Row],[ER Total High Measure Electric Annual Consumption Savings (kWh/yr)]]*OIL_GAL_PER_SITE_KWH,"-")</f>
        <v>-</v>
      </c>
      <c r="FJ32" s="326" t="str">
        <f>IFERROR(Tbl_MeasureList[[#This Row],[ER Total High Measure Oil Annual Consumption Savings (MMBtu/yr)]]*Btu_per_MMBtu/OIL_BTU_PER_GAL,"-")</f>
        <v>-</v>
      </c>
      <c r="FK32" s="325" t="str">
        <f>IFERROR(Tbl_MeasureList[[#This Row],[Current ER Total High Measure Oil Source Fuel Savings (gallons oil/year)]]+Tbl_MeasureList[[#This Row],[Current ER Total High Measure Oil Site Fuel Savings (gallons oil/year)]],"-")</f>
        <v>-</v>
      </c>
      <c r="FL32" s="326" t="str">
        <f>IFERROR(Tbl_MeasureList[[#This Row],[ER Total High Measure Electric Annual Consumption Savings (kWh/yr)]]*GAS_BTU_PER_SITE_KWH/Btu_per_MMBtu,"-")</f>
        <v>-</v>
      </c>
      <c r="FM32" s="327" t="str">
        <f>IFERROR(Tbl_MeasureList[[#This Row],[ER Total High Measure Electric Annual Consumption Savings (kWh/yr)]]*GAS_CUFT_PER_SITE_KWH/1000,"-")</f>
        <v>-</v>
      </c>
      <c r="FN32" s="328" t="str">
        <f>IFERROR(Tbl_MeasureList[[#This Row],[ER Total High Measure Natural Gas Annual Consumption Savings (therms/yr)]]*Btu_per_MMBtu/(GAS_BTU_PER_CUFT*Therm_per_MMBtu*1000),"-")</f>
        <v>-</v>
      </c>
      <c r="FO32" s="329" t="str">
        <f>IFERROR(Tbl_MeasureList[[#This Row],[Current ER Total High Measure Gas Source Fuel Savings (1,000 cu.ft. gas/year)]]+Tbl_MeasureList[[#This Row],[Current ER Total High Measure Gas Site Fuel Savings (1,000 cu.ft gas/year)]],"-")</f>
        <v>-</v>
      </c>
      <c r="FP32" s="412">
        <f ca="1">Tbl_MeasureList[[#This Row],[ROF Low Measure Electric Annual Consumption Savings (kWh/yr)]]*COAL_BTU_PER_SITE_KWH/Btu_per_MMBtu</f>
        <v>-3.1480836273456441E-3</v>
      </c>
      <c r="FQ32" s="327">
        <f ca="1">Tbl_MeasureList[[#This Row],[ROF Low Measure Electric Annual Consumption Savings (kWh/yr)]]*COAL_LBS_PER_SITE_KWH</f>
        <v>-0.27614768660926703</v>
      </c>
      <c r="FR32" s="412">
        <f ca="1">Tbl_MeasureList[[#This Row],[ROF Low Measure Electric Annual Consumption Savings (kWh/yr)]]*OIL_BTU_PER_SITE_KWH/Btu_per_MMBtu</f>
        <v>-3.6240561253792461E-3</v>
      </c>
      <c r="FS32" s="327">
        <f ca="1">Tbl_MeasureList[[#This Row],[ROF Low Measure Electric Annual Consumption Savings (kWh/yr)]]*OIL_GAL_PER_SITE_KWH</f>
        <v>-2.6271746894626451E-2</v>
      </c>
      <c r="FT32" s="412">
        <f ca="1">Tbl_MeasureList[[#This Row],[ROF Low Measure Oil Annual Consumption Savings (MMBtu/yr)]]*Btu_per_MMBtu/OIL_BTU_PER_GAL</f>
        <v>162.52386703910747</v>
      </c>
      <c r="FU32" s="327">
        <f ca="1">Tbl_MeasureList[[#This Row],[Current ROF Low Measure Oil Source Fuel Savings (gallons oil/year)]]+Tbl_MeasureList[[#This Row],[Current ROF Low Measure Oil Site Fuel Savings (gallons oil/year)]]</f>
        <v>162.49759529221285</v>
      </c>
      <c r="FV32" s="412">
        <f ca="1">Tbl_MeasureList[[#This Row],[ROF Low Measure Electric Annual Consumption Savings (kWh/yr)]]*GAS_BTU_PER_SITE_KWH/Btu_per_MMBtu</f>
        <v>-0.11703494280120287</v>
      </c>
      <c r="FW32" s="327">
        <f ca="1">Tbl_MeasureList[[#This Row],[ROF Low Measure Electric Annual Consumption Savings (kWh/yr)]]*GAS_CUFT_PER_SITE_KWH/1000</f>
        <v>-0.11373658192536722</v>
      </c>
      <c r="FX32" s="412">
        <f ca="1">Tbl_MeasureList[[#This Row],[ROF Low Measure Natural Gas Annual Consumption Savings (therms/yr)]]*Btu_per_MMBtu/(GAS_BTU_PER_CUFT*Therm_per_MMBtu*1000)</f>
        <v>-15.526736146018344</v>
      </c>
      <c r="FY32" s="327">
        <f ca="1">Tbl_MeasureList[[#This Row],[Current ROF Low Measure Gas Source Fuel Savings (1,000 cu.ft. gas/year)]]+Tbl_MeasureList[[#This Row],[Current ROF Low Measure Gas Site Fuel Savings (1,000 cu.ft gas/year)]]</f>
        <v>-15.640472727943711</v>
      </c>
      <c r="FZ32" s="414" t="str">
        <f>IFERROR(Tbl_MeasureList[[#This Row],[ROF High Measure Electric Annual Consumption Savings (kWh/yr)]]*COAL_BTU_PER_SITE_KWH/Btu_per_MMBtu,"-")</f>
        <v>-</v>
      </c>
      <c r="GA32" s="327" t="str">
        <f>IFERROR(Tbl_MeasureList[[#This Row],[ROF High Measure Electric Annual Consumption Savings (kWh/yr)]]*COAL_LBS_PER_SITE_KWH,"-")</f>
        <v>-</v>
      </c>
      <c r="GB32" s="412" t="str">
        <f>IFERROR(Tbl_MeasureList[[#This Row],[ROF High Measure Electric Annual Consumption Savings (kWh/yr)]]*OIL_BTU_PER_SITE_KWH/Btu_per_MMBtu,"-")</f>
        <v>-</v>
      </c>
      <c r="GC32" s="327" t="str">
        <f>IFERROR(Tbl_MeasureList[[#This Row],[ROF High Measure Electric Annual Consumption Savings (kWh/yr)]]*OIL_GAL_PER_SITE_KWH,"-")</f>
        <v>-</v>
      </c>
      <c r="GD32" s="412" t="str">
        <f>IFERROR(Tbl_MeasureList[[#This Row],[ROF High Measure Oil Annual Consumption Savings (MMBtu/yr)]]*Btu_per_MMBtu/OIL_BTU_PER_GAL,"-")</f>
        <v>-</v>
      </c>
      <c r="GE32" s="327" t="str">
        <f>IFERROR(Tbl_MeasureList[[#This Row],[Current ROF High Measure Oil Source Fuel Savings (gallons oil/year)]]+Tbl_MeasureList[[#This Row],[Current ROF High Measure Oil Site Fuel Savings (gallons oil/year)]],"-")</f>
        <v>-</v>
      </c>
      <c r="GF32" s="412" t="str">
        <f>IFERROR(Tbl_MeasureList[[#This Row],[ROF High Measure Electric Annual Consumption Savings (kWh/yr)]]*GAS_BTU_PER_SITE_KWH/Btu_per_MMBtu,"-")</f>
        <v>-</v>
      </c>
      <c r="GG32" s="327" t="str">
        <f>IFERROR(Tbl_MeasureList[[#This Row],[ROF High Measure Electric Annual Consumption Savings (kWh/yr)]]*GAS_CUFT_PER_SITE_KWH/1000,"-")</f>
        <v>-</v>
      </c>
      <c r="GH32" s="412" t="str">
        <f>IFERROR(Tbl_MeasureList[[#This Row],[ROF High Measure Natural Gas Annual Consumption Savings (therms/yr)]]*Btu_per_MMBtu/(GAS_BTU_PER_CUFT*Therm_per_MMBtu*1000),"-")</f>
        <v>-</v>
      </c>
      <c r="GI32" s="327" t="str">
        <f>IFERROR(Tbl_MeasureList[[#This Row],[Current ROF High Measure Gas Source Fuel Savings (1,000 cu.ft. gas/year)]]+Tbl_MeasureList[[#This Row],[Current ROF High Measure Gas Site Fuel Savings (1,000 cu.ft gas/year)]],"-")</f>
        <v>-</v>
      </c>
      <c r="GJ32" s="324">
        <f ca="1">Tbl_MeasureList[[#This Row],[ER Total Low Measure Electric Annual Consumption Savings (kWh/yr)]]*COAL_BTU_PER_SITE_KWH_CES/Btu_per_MMBtu</f>
        <v>-5.351742166487595E-3</v>
      </c>
      <c r="GK32" s="325">
        <f ca="1">Tbl_MeasureList[[#This Row],[ER Total Low Measure Electric Annual Consumption Savings (kWh/yr)]]*COAL_LBS_PER_SITE_KWH_CES</f>
        <v>-0.48599184221645431</v>
      </c>
      <c r="GL32" s="326">
        <f ca="1">Tbl_MeasureList[[#This Row],[ER Total Low Measure Electric Annual Consumption Savings (kWh/yr)]]*OIL_BTU_PER_SITE_KWH_CES/Btu_per_MMBtu</f>
        <v>-1.6472982388087483E-3</v>
      </c>
      <c r="GM32" s="325">
        <f ca="1">Tbl_MeasureList[[#This Row],[ER Total Low Measure Electric Annual Consumption Savings (kWh/yr)]]*OIL_GAL_PER_SITE_KWH_CES</f>
        <v>-1.11135729626022E-2</v>
      </c>
      <c r="GN32" s="326">
        <f ca="1">Tbl_MeasureList[[#This Row],[ER Total Low Measure Oil Annual Consumption Savings (MMBtu/yr)]]*Btu_per_MMBtu/OIL_BTU_PER_GAL_CES</f>
        <v>161.68445893633495</v>
      </c>
      <c r="GO32" s="325">
        <f ca="1">Tbl_MeasureList[[#This Row],[CES ER Low Measure Oil Source Fuel Savings (gallons oil/year)]]+Tbl_MeasureList[[#This Row],[CES ER Low Measure Oil Site Fuel Savings (gallons oil/year)]]</f>
        <v>161.67334536337233</v>
      </c>
      <c r="GP32" s="326">
        <f ca="1">Tbl_MeasureList[[#This Row],[ER Total Low Measure Electric Annual Consumption Savings (kWh/yr)]]*GAS_BTU_PER_SITE_KWH_CES/Btu_per_MMBtu</f>
        <v>-4.8724751696827322E-2</v>
      </c>
      <c r="GQ32" s="327">
        <f ca="1">Tbl_MeasureList[[#This Row],[ER Total Low Measure Electric Annual Consumption Savings (kWh/yr)]]*GAS_CUFT_PER_SITE_KWH_CES/1000</f>
        <v>-4.7305584171677011E-2</v>
      </c>
      <c r="GR32" s="328">
        <f ca="1">Tbl_MeasureList[[#This Row],[ER Total Low Measure Natural Gas Annual Consumption Savings (therms/yr)]]*Btu_per_MMBtu/(GAS_BTU_PER_CUFT_CES*Therm_per_MMBtu*1000)</f>
        <v>-15.511661644905704</v>
      </c>
      <c r="GS32" s="329">
        <f ca="1">Tbl_MeasureList[[#This Row],[CES ER Low Measure Gas Source Fuel Savings (1,000 cu.ft. gas/year)]]+Tbl_MeasureList[[#This Row],[CES ER Low Measure Gas Site Fuel Savings (1,000 cu.ft gas/year)]]</f>
        <v>-15.558967229077382</v>
      </c>
      <c r="GT32" s="324" t="str">
        <f>IFERROR(Tbl_MeasureList[[#This Row],[ER Total High Measure Electric Annual Consumption Savings (kWh/yr)]]*COAL_BTU_PER_SITE_KWH_CES/Btu_per_MMBtu,"-")</f>
        <v>-</v>
      </c>
      <c r="GU32" s="325" t="str">
        <f>IFERROR(Tbl_MeasureList[[#This Row],[ER Total High Measure Electric Annual Consumption Savings (kWh/yr)]]*COAL_LBS_PER_SITE_KWH_CES,"-")</f>
        <v>-</v>
      </c>
      <c r="GV32" s="326" t="str">
        <f>IFERROR(Tbl_MeasureList[[#This Row],[ER Total High Measure Electric Annual Consumption Savings (kWh/yr)]]*OIL_BTU_PER_SITE_KWH_CES/Btu_per_MMBtu,"-")</f>
        <v>-</v>
      </c>
      <c r="GW32" s="325" t="str">
        <f>IFERROR(Tbl_MeasureList[[#This Row],[ER Total High Measure Electric Annual Consumption Savings (kWh/yr)]]*OIL_GAL_PER_SITE_KWH_CES,"-")</f>
        <v>-</v>
      </c>
      <c r="GX32" s="326" t="str">
        <f>IFERROR(Tbl_MeasureList[[#This Row],[ER Total High Measure Oil Annual Consumption Savings (MMBtu/yr)]]*Btu_per_MMBtu/OIL_BTU_PER_GAL_CES,"-")</f>
        <v>-</v>
      </c>
      <c r="GY32" s="325" t="str">
        <f>IFERROR(Tbl_MeasureList[[#This Row],[CES ER High Measure Oil Source Fuel Savings (gallons oil/year)]]+Tbl_MeasureList[[#This Row],[CES ER High Measure Oil Site Fuel Savings (gallons oil/year)]],"-")</f>
        <v>-</v>
      </c>
      <c r="GZ32" s="326" t="str">
        <f>IFERROR(Tbl_MeasureList[[#This Row],[ER Total High Measure Electric Annual Consumption Savings (kWh/yr)]]*GAS_BTU_PER_SITE_KWH_CES/Btu_per_MMBtu,"-")</f>
        <v>-</v>
      </c>
      <c r="HA32" s="327" t="str">
        <f>IFERROR(Tbl_MeasureList[[#This Row],[ER Total High Measure Electric Annual Consumption Savings (kWh/yr)]]*GAS_CUFT_PER_SITE_KWH_CES/1000,"-")</f>
        <v>-</v>
      </c>
      <c r="HB32" s="328" t="str">
        <f>IFERROR(Tbl_MeasureList[[#This Row],[ER Total High Measure Natural Gas Annual Consumption Savings (therms/yr)]]*Btu_per_MMBtu/(GAS_BTU_PER_CUFT_CES*Therm_per_MMBtu*1000),"-")</f>
        <v>-</v>
      </c>
      <c r="HC32" s="329" t="str">
        <f>IFERROR(Tbl_MeasureList[[#This Row],[CES ER High Measure Gas Source Fuel Savings (1,000 cu.ft. gas/year)]]+Tbl_MeasureList[[#This Row],[CES ER High Measure Gas Site Fuel Savings (1,000 cu.ft gas/year)]],"-")</f>
        <v>-</v>
      </c>
      <c r="HD32" s="315">
        <f ca="1">Tbl_MeasureList[[#This Row],[ROF Low Measure Electric Annual Consumption Savings (kWh/yr)]]*COAL_BTU_PER_SITE_KWH_CES/Btu_per_MMBtu</f>
        <v>-5.351742166487595E-3</v>
      </c>
      <c r="HE32" s="316">
        <f ca="1">Tbl_MeasureList[[#This Row],[ROF Low Measure Electric Annual Consumption Savings (kWh/yr)]]*COAL_LBS_PER_SITE_KWH_CES</f>
        <v>-0.48599184221645431</v>
      </c>
      <c r="HF32" s="317">
        <f ca="1">Tbl_MeasureList[[#This Row],[ROF Low Measure Electric Annual Consumption Savings (kWh/yr)]]*OIL_BTU_PER_SITE_KWH_CES/Btu_per_MMBtu</f>
        <v>-1.6472982388087483E-3</v>
      </c>
      <c r="HG32" s="316">
        <f ca="1">Tbl_MeasureList[[#This Row],[ROF Low Measure Electric Annual Consumption Savings (kWh/yr)]]*OIL_GAL_PER_SITE_KWH_CES</f>
        <v>-1.11135729626022E-2</v>
      </c>
      <c r="HH32" s="317">
        <f ca="1">Tbl_MeasureList[[#This Row],[ROF Low Measure Oil Annual Consumption Savings (MMBtu/yr)]]*Btu_per_MMBtu/OIL_BTU_PER_GAL_CES</f>
        <v>151.25320352108753</v>
      </c>
      <c r="HI32" s="316">
        <f ca="1">Tbl_MeasureList[[#This Row],[CES ROF Low Measure Oil Source Fuel Savings (gallons oil/year)]]+Tbl_MeasureList[[#This Row],[CES ROF Low Measure Oil Site Fuel Savings (gallons oil/year)]]</f>
        <v>151.24208994812491</v>
      </c>
      <c r="HJ32" s="317">
        <f ca="1">Tbl_MeasureList[[#This Row],[ROF Low Measure Electric Annual Consumption Savings (kWh/yr)]]*GAS_BTU_PER_SITE_KWH_CES/Btu_per_MMBtu</f>
        <v>-4.8724751696827322E-2</v>
      </c>
      <c r="HK32" s="316">
        <f ca="1">Tbl_MeasureList[[#This Row],[ROF Low Measure Electric Annual Consumption Savings (kWh/yr)]]*GAS_CUFT_PER_SITE_KWH_CES/1000</f>
        <v>-4.7305584171677011E-2</v>
      </c>
      <c r="HL32" s="317">
        <f ca="1">Tbl_MeasureList[[#This Row],[ROF Low Measure Natural Gas Annual Consumption Savings (therms/yr)]]*Btu_per_MMBtu/(GAS_BTU_PER_CUFT_CES*Therm_per_MMBtu*1000)</f>
        <v>-15.511661644905704</v>
      </c>
      <c r="HM32" s="318">
        <f ca="1">Tbl_MeasureList[[#This Row],[CES ROF Low Measure Gas Source Fuel Savings (1,000 cu.ft. gas/year)]]+Tbl_MeasureList[[#This Row],[CES ROF Low Measure Gas Site Fuel Savings (1,000 cu.ft gas/year)]]</f>
        <v>-15.558967229077382</v>
      </c>
      <c r="HN32" s="315" t="str">
        <f>IFERROR(Tbl_MeasureList[[#This Row],[ROF High Measure Electric Annual Consumption Savings (kWh/yr)]]*COAL_BTU_PER_SITE_KWH_CES/Btu_per_MMBtu,"-")</f>
        <v>-</v>
      </c>
      <c r="HO32" s="316" t="str">
        <f>IFERROR(Tbl_MeasureList[[#This Row],[ROF High Measure Electric Annual Consumption Savings (kWh/yr)]]*COAL_LBS_PER_SITE_KWH_CES,"-")</f>
        <v>-</v>
      </c>
      <c r="HP32" s="317" t="str">
        <f>IFERROR(Tbl_MeasureList[[#This Row],[ROF High Measure Electric Annual Consumption Savings (kWh/yr)]]*OIL_BTU_PER_SITE_KWH_CES/Btu_per_MMBtu,"-")</f>
        <v>-</v>
      </c>
      <c r="HQ32" s="316" t="str">
        <f>IFERROR(Tbl_MeasureList[[#This Row],[ROF High Measure Electric Annual Consumption Savings (kWh/yr)]]*OIL_GAL_PER_SITE_KWH_CES,"-")</f>
        <v>-</v>
      </c>
      <c r="HR32" s="317" t="str">
        <f>IFERROR(Tbl_MeasureList[[#This Row],[ROF High Measure Oil Annual Consumption Savings (MMBtu/yr)]]*Btu_per_MMBtu/OIL_BTU_PER_GAL_CES,"-")</f>
        <v>-</v>
      </c>
      <c r="HS32" s="316" t="str">
        <f>IFERROR(Tbl_MeasureList[[#This Row],[CES ROF High Measure Oil Source Fuel Savings (gallons oil/year)]]+Tbl_MeasureList[[#This Row],[CES ROF High Measure Oil Site Fuel Savings (gallons oil/year)]],"-")</f>
        <v>-</v>
      </c>
      <c r="HT32" s="317" t="str">
        <f>IFERROR(Tbl_MeasureList[[#This Row],[ROF High Measure Electric Annual Consumption Savings (kWh/yr)]]*GAS_BTU_PER_SITE_KWH_CES/Btu_per_MMBtu,"-")</f>
        <v>-</v>
      </c>
      <c r="HU32" s="316" t="str">
        <f>IFERROR(Tbl_MeasureList[[#This Row],[ROF High Measure Electric Annual Consumption Savings (kWh/yr)]]*GAS_CUFT_PER_SITE_KWH_CES/1000,"-")</f>
        <v>-</v>
      </c>
      <c r="HV32" s="317" t="str">
        <f>IFERROR(Tbl_MeasureList[[#This Row],[ROF High Measure Natural Gas Annual Consumption Savings (therms/yr)]]*Btu_per_MMBtu/(GAS_BTU_PER_CUFT_CES*Therm_per_MMBtu*1000),"-")</f>
        <v>-</v>
      </c>
      <c r="HW32" s="318" t="str">
        <f>IFERROR(Tbl_MeasureList[[#This Row],[CES ROF High Measure Gas Source Fuel Savings (1,000 cu.ft. gas/year)]]+Tbl_MeasureList[[#This Row],[CES ROF High Measure Gas Site Fuel Savings (1,000 cu.ft gas/year)]],"-")</f>
        <v>-</v>
      </c>
      <c r="HX32" s="248">
        <f>Tbl_MeasureList[[#This Row],[Baseline Energy Cost (USD/yr)]]-Tbl_MeasureList[[#This Row],[Code (old fuel) Energy Cost (USD/yr)]]</f>
        <v>34.727059516301836</v>
      </c>
      <c r="HY32" s="201">
        <f>0</f>
        <v>0</v>
      </c>
      <c r="HZ32" s="86">
        <f>Tbl_MeasureList[[#This Row],[Baseline Electric Annual Consumption (kWh/yr)]]-Tbl_MeasureList[[#This Row],[Code (old fuel) Electric Annual Consumption (kWh/yr)]]</f>
        <v>0</v>
      </c>
      <c r="IA32" s="86" t="str">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v>
      </c>
      <c r="IB32" s="86" t="str">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v>
      </c>
      <c r="IC32" s="152">
        <f>Tbl_MeasureList[[#This Row],[Baseline Electric Winter Peak Demand (kW)]]-Tbl_MeasureList[[#This Row],[Code (old fuel) Electric Winter Peak Demand (kW)]]</f>
        <v>0</v>
      </c>
      <c r="ID32" s="152">
        <f>Tbl_MeasureList[[#This Row],[Baseline Electric Summer Peak Demand (kW)]]-Tbl_MeasureList[[#This Row],[Code (old fuel) Electric Summer Peak Demand (kW)]]</f>
        <v>0</v>
      </c>
      <c r="IE32" s="251">
        <f>Tbl_MeasureList[[#This Row],[Baseline Natural Gas Annual Consumption (therms/yr)]]-Tbl_MeasureList[[#This Row],[Code (old fuel) Natural Gas Annual Consumption (therms/yr)]]</f>
        <v>0</v>
      </c>
      <c r="IF32" s="252">
        <f>Tbl_MeasureList[[#This Row],[Baseline Propane Annual Consumption (MMBtu/yr)]]-Tbl_MeasureList[[#This Row],[Code (old fuel) Propane Annual Consumption (MMBtu/yr)]]</f>
        <v>0</v>
      </c>
      <c r="IG32" s="253">
        <f>Tbl_MeasureList[[#This Row],[Baseline Oil Annual Consumption (MMBtu/yr)]]-Tbl_MeasureList[[#This Row],[Code (old fuel) Oil Annual Consumption (MMBtu/yr)]]</f>
        <v>1.5461624026696335</v>
      </c>
      <c r="IH32" s="371">
        <f>Tbl_MeasureList[[#This Row],[Baseline Energy Consumption on MMBtu Basis (MMBtu/yr)]]-Tbl_MeasureList[[#This Row],[Code (old fuel) Energy Consumption on MMBtu Basis (MMBtu/yr)]]</f>
        <v>1.5461624026696335</v>
      </c>
      <c r="II32" s="371">
        <f>Tbl_MeasureList[[#This Row],[Baseline Carbon Emissions, Site (tons CO2/yr)]]-Tbl_MeasureList[[#This Row],[Code (old fuel) Carbon Emissions, Site (tons CO2/yr)]]</f>
        <v>0.12469799777530599</v>
      </c>
      <c r="IJ32" s="279">
        <f>Tbl_MeasureList[[#This Row],[Baseline Carbon Emissions, Source (tons CO2/yr)]]-Tbl_MeasureList[[#This Row],[Code (old fuel) Carbon Emissions, Source (tons CO2/yr)]]</f>
        <v>0.12469799777530599</v>
      </c>
      <c r="IK32" s="273">
        <f ca="1">Tbl_MeasureList[[#This Row],[Code (new fuel) Energy Cost (USD/yr)]]-Tbl_MeasureList[[#This Row],[Low Measure Energy Cost (USD/yr)]]</f>
        <v>22.668234597701087</v>
      </c>
      <c r="IL32"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8053.736553523313</v>
      </c>
      <c r="IM32" s="85">
        <f ca="1">Tbl_MeasureList[[#This Row],[Code (old fuel) Electric Annual Consumption (kWh/yr)]]-Tbl_MeasureList[[#This Row],[Low Measure Electric Annual Consumption (kWh/yr)]]</f>
        <v>-28.6</v>
      </c>
      <c r="IN32" s="85" t="str">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v>
      </c>
      <c r="IO32" s="85" t="str">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v>
      </c>
      <c r="IP32" s="152">
        <f ca="1">Tbl_MeasureList[[#This Row],[Code (old fuel) Electric Winter Peak Demand (kW)]]-Tbl_MeasureList[[#This Row],[Low Measure Electric Winter Peak Demand (kW)]]</f>
        <v>-1.1290959336754837E-2</v>
      </c>
      <c r="IQ32" s="152">
        <f ca="1">Tbl_MeasureList[[#This Row],[Code (old fuel) Electric Summer Peak Demand (kW)]]-Tbl_MeasureList[[#This Row],[Low Measure Electric Summer Peak Demand (kW)]]</f>
        <v>-5.306750888274773E-3</v>
      </c>
      <c r="IR32" s="204">
        <f ca="1">Tbl_MeasureList[[#This Row],[Code (old fuel) Natural Gas Annual Consumption (therms/yr)]]-Tbl_MeasureList[[#This Row],[Low Measure Natural Gas Annual Consumption (therms/yr)]]</f>
        <v>-159.77011494252875</v>
      </c>
      <c r="IS32" s="153">
        <f ca="1">Tbl_MeasureList[[#This Row],[Code (old fuel) Propane Annual Consumption (MMBtu/yr)]]-Tbl_MeasureList[[#This Row],[Low Measure Propane Annual Consumption (MMBtu/yr)]]</f>
        <v>0</v>
      </c>
      <c r="IT32" s="204">
        <f ca="1">Tbl_MeasureList[[#This Row],[Code (old fuel) Oil Annual Consumption (MMBtu/yr)]]-Tbl_MeasureList[[#This Row],[Low Measure Oil Annual Consumption (MMBtu/yr)]]</f>
        <v>22.41935483870968</v>
      </c>
      <c r="IU32" s="204">
        <f ca="1">Tbl_MeasureList[[#This Row],[Code (old fuel) Energy Consumption on MMBtu Basis (MMBtu/yr)]]-Tbl_MeasureList[[#This Row],[Low Measure Energy Consumption on MMBtu Basis (MMBtu/yr)]]</f>
        <v>6.3447601444568065</v>
      </c>
      <c r="IV32" s="204">
        <f ca="1">Tbl_MeasureList[[#This Row],[Code (old fuel) Carbon Emissions, Site (tons CO2/yr)]]-Tbl_MeasureList[[#This Row],[Low Measure Carbon Emissions, Site (tons CO2/yr)]]</f>
        <v>0.87346579532814272</v>
      </c>
      <c r="IW32" s="260">
        <f ca="1">Tbl_MeasureList[[#This Row],[Code (old fuel) Carbon Emissions, Source (tons CO2/yr)]]-Tbl_MeasureList[[#This Row],[Low Measure Carbon Emissions, Source (tons CO2/yr)]]</f>
        <v>0.8633654193281427</v>
      </c>
      <c r="IX32" s="27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v>
      </c>
      <c r="IY32" s="201"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v>
      </c>
      <c r="IZ32" s="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v>
      </c>
      <c r="JA32" s="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v>
      </c>
      <c r="JB32" s="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v>
      </c>
      <c r="JC32" s="152"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v>
      </c>
      <c r="JD32" s="152"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v>
      </c>
      <c r="JE32" s="204"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v>
      </c>
      <c r="JF32" s="15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v>
      </c>
      <c r="JG32" s="204"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v>
      </c>
      <c r="JH32" s="204"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v>
      </c>
      <c r="JI32" s="204"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v>
      </c>
      <c r="JJ32" s="321"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v>
      </c>
      <c r="JK32" s="432">
        <f>Tbl_MeasureList[[#This Row],[ER (Retire) Electric Annual Consumption Savings (kWh/yr)]]*COAL_BTU_PER_SITE_KWH/Btu_per_MMBtu</f>
        <v>0</v>
      </c>
      <c r="JL32" s="428">
        <f>Tbl_MeasureList[[#This Row],[ER (Retire) Electric Annual Consumption Savings (kWh/yr)]]*COAL_LBS_PER_SITE_KWH</f>
        <v>0</v>
      </c>
      <c r="JM32" s="427">
        <f>Tbl_MeasureList[[#This Row],[ER (Retire) Electric Annual Consumption Savings (kWh/yr)]]*OIL_BTU_PER_SITE_KWH/Btu_per_MMBtu</f>
        <v>0</v>
      </c>
      <c r="JN32" s="428">
        <f>Tbl_MeasureList[[#This Row],[ER (Retire) Electric Annual Consumption Savings (kWh/yr)]]*OIL_GAL_PER_SITE_KWH</f>
        <v>0</v>
      </c>
      <c r="JO32" s="427">
        <f>Tbl_MeasureList[[#This Row],[ER (Retire) Oil Annual Consumption Savings (MMBtu/yr)]]*Btu_per_MMBtu/OIL_BTU_PER_GAL</f>
        <v>11.208542554421207</v>
      </c>
      <c r="JP32" s="428">
        <f ca="1">Tbl_MeasureList[[#This Row],[Current ER (Retire) Oil Source Fuel Savings (gallons oil/year)]]+Tbl_MeasureList[[#This Row],[Current ER Total Low Measure Oil Site Fuel Savings (gallons oil/year)]]</f>
        <v>173.73240959352867</v>
      </c>
      <c r="JQ32" s="427">
        <f>Tbl_MeasureList[[#This Row],[ER (Retire) Electric Annual Consumption Savings (kWh/yr)]]*GAS_BTU_PER_SITE_KWH/Btu_per_MMBtu</f>
        <v>0</v>
      </c>
      <c r="JR32" s="429">
        <f>Tbl_MeasureList[[#This Row],[ER (Retire) Electric Annual Consumption Savings (kWh/yr)]]*GAS_CUFT_PER_SITE_KWH/1000</f>
        <v>0</v>
      </c>
      <c r="JS32" s="430">
        <f>Tbl_MeasureList[[#This Row],[ER (Retire) Natural Gas Annual Consumption Savings (therms/yr)]]*Btu_per_MMBtu/(GAS_BTU_PER_CUFT*Therm_per_MMBtu*1000)</f>
        <v>0</v>
      </c>
      <c r="JT32" s="431">
        <f ca="1">Tbl_MeasureList[[#This Row],[Current ER (Retire) Gas Source Fuel Savings (1,000 cu.ft. gas/year)]]+Tbl_MeasureList[[#This Row],[Current ER Total Low Measure Gas Site Fuel Savings (1,000 cu.ft gas/year)]]</f>
        <v>-15.526736146018344</v>
      </c>
      <c r="JU32" s="432">
        <f ca="1">Tbl_MeasureList[[#This Row],[ER (EE) Low Measure Electric Annual Consumption Savings (kWh/yr)]]*COAL_BTU_PER_SITE_KWH/Btu_per_MMBtu</f>
        <v>-3.1480836273456441E-3</v>
      </c>
      <c r="JV32" s="428">
        <f ca="1">Tbl_MeasureList[[#This Row],[ER (EE) Low Measure Electric Annual Consumption Savings (kWh/yr)]]*COAL_LBS_PER_SITE_KWH</f>
        <v>-0.27614768660926703</v>
      </c>
      <c r="JW32" s="427">
        <f ca="1">Tbl_MeasureList[[#This Row],[ER (EE) Low Measure Electric Annual Consumption Savings (kWh/yr)]]*OIL_BTU_PER_SITE_KWH/Btu_per_MMBtu</f>
        <v>-3.6240561253792461E-3</v>
      </c>
      <c r="JX32" s="428">
        <f ca="1">Tbl_MeasureList[[#This Row],[ER (EE) Low Measure Electric Annual Consumption Savings (kWh/yr)]]*OIL_GAL_PER_SITE_KWH</f>
        <v>-2.6271746894626451E-2</v>
      </c>
      <c r="JY32" s="427">
        <f ca="1">Tbl_MeasureList[[#This Row],[ER (EE) Low Measure Oil Annual Consumption Savings (MMBtu/yr)]]*Btu_per_MMBtu/OIL_BTU_PER_GAL</f>
        <v>162.52386703910747</v>
      </c>
      <c r="JZ32" s="428">
        <f ca="1">Tbl_MeasureList[[#This Row],[Current ER (EE) Low Measure Oil Source Fuel Savings (gallons oil/year)]]+Tbl_MeasureList[[#This Row],[Current ER (EE) Low Measure Oil Site Fuel Savings (gallons oil/year)]]</f>
        <v>162.49759529221285</v>
      </c>
      <c r="KA32" s="427">
        <f ca="1">Tbl_MeasureList[[#This Row],[ER (EE) Low Measure Electric Annual Consumption Savings (kWh/yr)]]*GAS_BTU_PER_SITE_KWH/Btu_per_MMBtu</f>
        <v>-0.11703494280120287</v>
      </c>
      <c r="KB32" s="429">
        <f ca="1">Tbl_MeasureList[[#This Row],[ER (EE) Low Measure Electric Annual Consumption Savings (kWh/yr)]]*GAS_CUFT_PER_SITE_KWH/1000</f>
        <v>-0.11373658192536722</v>
      </c>
      <c r="KC32" s="430">
        <f ca="1">Tbl_MeasureList[[#This Row],[ER (EE) Low Measure Natural Gas Annual Consumption Savings (therms/yr)]]*Btu_per_MMBtu/(GAS_BTU_PER_CUFT*Therm_per_MMBtu*1000)</f>
        <v>-15.526736146018344</v>
      </c>
      <c r="KD32" s="431">
        <f ca="1">Tbl_MeasureList[[#This Row],[Current ER (EE) Low Measure Gas Source Fuel Savings (1,000 cu.ft. gas/year)]]+Tbl_MeasureList[[#This Row],[Current ER (EE) Low Measure Gas Site Fuel Savings (1,000 cu.ft gas/year)]]</f>
        <v>-15.640472727943711</v>
      </c>
      <c r="KE32" s="432" t="str">
        <f>IFERROR(Tbl_MeasureList[[#This Row],[ER (EE) High Measure Electric Annual Consumption Savings (kWh/yr)]]*COAL_BTU_PER_SITE_KWH/Btu_per_MMBtu,"-")</f>
        <v>-</v>
      </c>
      <c r="KF32" s="428" t="str">
        <f>IFERROR(Tbl_MeasureList[[#This Row],[ER (EE) High Measure Electric Annual Consumption Savings (kWh/yr)]]*COAL_LBS_PER_SITE_KWH,"-")</f>
        <v>-</v>
      </c>
      <c r="KG32" s="427" t="str">
        <f>IFERROR(Tbl_MeasureList[[#This Row],[ER (EE) High Measure Electric Annual Consumption Savings (kWh/yr)]]*OIL_BTU_PER_SITE_KWH/Btu_per_MMBtu,"-")</f>
        <v>-</v>
      </c>
      <c r="KH32" s="428" t="str">
        <f>IFERROR(Tbl_MeasureList[[#This Row],[ER (EE) High Measure Electric Annual Consumption Savings (kWh/yr)]]*OIL_GAL_PER_SITE_KWH,"-")</f>
        <v>-</v>
      </c>
      <c r="KI32" s="427" t="str">
        <f>IFERROR(Tbl_MeasureList[[#This Row],[ER (EE) High Measure Oil Annual Consumption Savings (MMBtu/yr)]]*Btu_per_MMBtu/OIL_BTU_PER_GAL,"-")</f>
        <v>-</v>
      </c>
      <c r="KJ32" s="428" t="str">
        <f>IFERROR(Tbl_MeasureList[[#This Row],[Current ER (EE) High Measure Oil Source Fuel Savings (gallons oil/year)]]+Tbl_MeasureList[[#This Row],[Current ER (EE) High Measure Oil Site Fuel Savings (gallons oil/year)]],"-")</f>
        <v>-</v>
      </c>
      <c r="KK32" s="427" t="str">
        <f>IFERROR(Tbl_MeasureList[[#This Row],[ER (EE) High Measure Electric Annual Consumption Savings (kWh/yr)]]*GAS_BTU_PER_SITE_KWH/Btu_per_MMBtu,"-")</f>
        <v>-</v>
      </c>
      <c r="KL32" s="429" t="str">
        <f>IFERROR(Tbl_MeasureList[[#This Row],[ER (EE) High Measure Electric Annual Consumption Savings (kWh/yr)]]*GAS_CUFT_PER_SITE_KWH/1000,"-")</f>
        <v>-</v>
      </c>
      <c r="KM32" s="430" t="str">
        <f>IFERROR(Tbl_MeasureList[[#This Row],[ER (EE) High Measure Natural Gas Annual Consumption Savings (therms/yr)]]*Btu_per_MMBtu/(GAS_BTU_PER_CUFT*Therm_per_MMBtu*1000),"-")</f>
        <v>-</v>
      </c>
      <c r="KN32" s="431" t="str">
        <f>IFERROR(Tbl_MeasureList[[#This Row],[Current ER (EE) High Measure Gas Source Fuel Savings (1,000 cu.ft. gas/year)]]+Tbl_MeasureList[[#This Row],[Current ER (EE) High Measure Gas Site Fuel Savings (1,000 cu.ft gas/year)]],"-")</f>
        <v>-</v>
      </c>
    </row>
    <row r="33" spans="2:300" x14ac:dyDescent="0.2">
      <c r="B33" s="16"/>
      <c r="C33" s="2" t="s">
        <v>107</v>
      </c>
      <c r="D33" s="12" t="str">
        <f>INDEX(Tbl_BaselineSummary[Equipment ID],MATCH(Tbl_MeasureList[[#This Row],[Baseline ID]],Tbl_BaselineSummary[Baseline ID],0))</f>
        <v>EQUI027</v>
      </c>
      <c r="E33" s="11" t="str">
        <f>INDEX(Tbl_EquipmentDefinitions[Equipment Name],MATCH('Measure List'!$D33,Tbl_EquipmentDefinitions[Equipment ID],0))</f>
        <v>Propane Storage WH</v>
      </c>
      <c r="F33" s="3" t="s">
        <v>242</v>
      </c>
      <c r="G33" s="11" t="str">
        <f>INDEX(Tbl_EquipmentDefinitions[Function],MATCH('Measure List'!$D33,Tbl_EquipmentDefinitions[Equipment ID],0))</f>
        <v>HW</v>
      </c>
      <c r="H33" s="3" t="s">
        <v>111</v>
      </c>
      <c r="I33" s="3" t="s">
        <v>71</v>
      </c>
      <c r="J33" s="11" t="str">
        <f>INDEX(Tbl_EquipmentDefinitions[Equipment Name],MATCH('Measure List'!$I33,Tbl_EquipmentDefinitions[Equipment ID],0))</f>
        <v>Gas On-Demand WH</v>
      </c>
      <c r="K33" s="11">
        <f>INDEX(Tbl_EquipmentDefinitions[],MATCH(Tbl_MeasureList[[#This Row],[Replacement ID]],Tbl_EquipmentDefinitions[[Equipment ID]:[Equipment ID]],0),MATCH(Tbl_MeasureList[[#Headers],[New Unit Equipment Life (years)]],Tbl_EquipmentDefinitions[#Headers],0))</f>
        <v>19</v>
      </c>
      <c r="L33" s="11">
        <f>INDEX(Tbl_EquipmentDefinitions[],MATCH(Tbl_MeasureList[[#This Row],[Baseline Equipment ID]],Tbl_EquipmentDefinitions[[Equipment ID]:[Equipment ID]],0),MATCH(Tbl_MeasureList[[#Headers],[Remaining Life for Early Replacement (years)]],Tbl_EquipmentDefinitions[#Headers],0))</f>
        <v>4</v>
      </c>
      <c r="M33" s="12" t="str">
        <f>INDEX(Tbl_EquipmentDefinitions[Function],MATCH('Measure List'!$I33,Tbl_EquipmentDefinitions[Equipment ID],0))</f>
        <v>HW</v>
      </c>
      <c r="N33" s="368" t="s">
        <v>118</v>
      </c>
      <c r="O33" s="14" t="str">
        <f t="shared" si="0"/>
        <v>OK</v>
      </c>
      <c r="P33" s="12" t="str">
        <f ca="1">IFERROR(INDIRECT(Tbl_MeasureList[[#This Row],[Measure ID]]&amp;"!D5"),"No tab")</f>
        <v>3. Ready</v>
      </c>
      <c r="Q33" s="11"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Propane</v>
      </c>
      <c r="R33" s="12"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v>
      </c>
      <c r="S33" s="11"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Natural Gas</v>
      </c>
      <c r="T33" s="247"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v>
      </c>
      <c r="U33" s="248">
        <f>INDEX(Tbl_BaselineSummary[Baseline Annual Energy Cost (USD)],MATCH(Tbl_MeasureList[[#This Row],[Baseline ID]],Tbl_BaselineSummary[Baseline ID],0))</f>
        <v>700.31529186300838</v>
      </c>
      <c r="V33" s="249">
        <f>INDEX(Tbl_BaselineSummary[Baseline Electric Annual Consumption  (kWh)],MATCH(Tbl_MeasureList[[#This Row],[Baseline ID]],Tbl_BaselineSummary[Baseline ID],0))</f>
        <v>0</v>
      </c>
      <c r="W33" s="249" t="str">
        <f>INDEX(Tbl_BaselineSummary[Baseline Electric Winter Consumption (kWh)],MATCH(Tbl_MeasureList[[#This Row],[Baseline ID]],Tbl_BaselineSummary[Baseline ID],0))</f>
        <v>n/a</v>
      </c>
      <c r="X33" s="249" t="str">
        <f>INDEX(Tbl_BaselineSummary[Baseline Electric Summer Consumption (kWh)],MATCH(Tbl_MeasureList[[#This Row],[Baseline ID]],Tbl_BaselineSummary[Baseline ID],0))</f>
        <v>n/a</v>
      </c>
      <c r="Y33" s="250">
        <f>INDEX(Tbl_BaselineSummary[Baseline Electric Baseline Winter Peak Demand (kW)],MATCH(Tbl_MeasureList[[#This Row],[Baseline ID]],Tbl_BaselineSummary[Baseline ID],0))</f>
        <v>0</v>
      </c>
      <c r="Z33" s="452">
        <f>INDEX(Tbl_BaselineSummary[Baseline Electric Baseline Summer Peak Demand (kW)],MATCH(Tbl_MeasureList[[#This Row],[Baseline ID]],Tbl_BaselineSummary[Baseline ID],0))</f>
        <v>0</v>
      </c>
      <c r="AA33" s="458">
        <f>INDEX(Tbl_BaselineSummary[Baseline Natural Gas Annual Consumption  (therms)],MATCH(Tbl_MeasureList[[#This Row],[Baseline ID]],Tbl_BaselineSummary[Baseline ID],0))</f>
        <v>0</v>
      </c>
      <c r="AB33" s="455">
        <f>INDEX(Tbl_BaselineSummary[Baseline Propane Annual Consumption  (MMBtu)],MATCH(Tbl_MeasureList[[#This Row],[Baseline ID]],Tbl_BaselineSummary[Baseline ID],0))</f>
        <v>19.482758620689658</v>
      </c>
      <c r="AC33" s="252">
        <f>INDEX(Tbl_BaselineSummary[Baseline Oil Annual Consumption  (MMBtu)],MATCH(Tbl_MeasureList[[#This Row],[Baseline ID]],Tbl_BaselineSummary[Baseline ID],0))</f>
        <v>0</v>
      </c>
      <c r="AD33" s="371">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19.482758620689658</v>
      </c>
      <c r="AE33" s="460">
        <f>(lbCO2_per_Therm_Gas*Tbl_MeasureList[[#This Row],[Baseline Natural Gas Annual Consumption (therms/yr)]]+lbCO2_per_MMBtu_Prop*Tbl_MeasureList[[#This Row],[Baseline Propane Annual Consumption (MMBtu/yr)]]+lbCO2_per_MMBtu_Oil*Tbl_MeasureList[[#This Row],[Baseline Oil Annual Consumption (MMBtu/yr)]])*Lbs_per_ShortTon</f>
        <v>1.3540517241379313</v>
      </c>
      <c r="AF33" s="463">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1.3540517241379313</v>
      </c>
      <c r="AG33" s="465">
        <f>INDEX(Tbl_BaselineSummary[Code Annual Energy Cost (USD)],MATCH(Tbl_MeasureList[[#This Row],[Baseline ID]],Tbl_BaselineSummary[Baseline ID],0))</f>
        <v>644.73471314372193</v>
      </c>
      <c r="AH33" s="468">
        <f>INDEX(Tbl_BaselineSummary[Deferred Replacement Credit (USD)],MATCH(Tbl_MeasureList[[#This Row],[Baseline ID]],Tbl_BaselineSummary[Baseline ID],0))</f>
        <v>1078.9494154434083</v>
      </c>
      <c r="AI33" s="201">
        <f>INDEX(Tbl_BaselineSummary[A/C-only Deferred Replacement Credit (USD)],MATCH(Tbl_MeasureList[[#This Row],[Baseline ID]],Tbl_BaselineSummary[Baseline ID],0))</f>
        <v>0</v>
      </c>
      <c r="AJ33" s="468">
        <f>INDEX(Tbl_BaselineSummary[Code Installed Costs (USD)],MATCH(Tbl_MeasureList[[#This Row],[Baseline ID]],Tbl_BaselineSummary[Baseline ID],0))</f>
        <v>1653</v>
      </c>
      <c r="AK33" s="201">
        <f>INDEX(Tbl_BaselineSummary[Code A/C-only Installed Cost (USD)],MATCH(Tbl_MeasureList[[#This Row],[Baseline ID]],Tbl_BaselineSummary[Baseline ID],0))</f>
        <v>0</v>
      </c>
      <c r="AL33" s="86">
        <f>INDEX(Tbl_BaselineSummary[Code Electric Annual Consumption (kWh)],MATCH(Tbl_MeasureList[[#This Row],[Baseline ID]],Tbl_BaselineSummary[Baseline ID],0))</f>
        <v>0</v>
      </c>
      <c r="AM33" s="86" t="str">
        <f>INDEX(Tbl_BaselineSummary[Code Electric Winter Consumption (kWh)],MATCH(Tbl_MeasureList[[#This Row],[Baseline ID]],Tbl_BaselineSummary[Baseline ID],0))</f>
        <v>n/a</v>
      </c>
      <c r="AN33" s="86" t="str">
        <f>INDEX(Tbl_BaselineSummary[Code Electric Summer Consumption (kWh)],MATCH(Tbl_MeasureList[[#This Row],[Baseline ID]],Tbl_BaselineSummary[Baseline ID],0))</f>
        <v>n/a</v>
      </c>
      <c r="AO33" s="152">
        <f>INDEX(Tbl_BaselineSummary[Code Electric Winter Peak Demand (kW)],MATCH(Tbl_MeasureList[[#This Row],[Baseline ID]],Tbl_BaselineSummary[Baseline ID],0))</f>
        <v>0</v>
      </c>
      <c r="AP33" s="470">
        <f>INDEX(Tbl_BaselineSummary[Code Electric Summer Peak Demand (kW)],MATCH(Tbl_MeasureList[[#This Row],[Baseline ID]],Tbl_BaselineSummary[Baseline ID],0))</f>
        <v>0</v>
      </c>
      <c r="AQ33" s="467">
        <f>INDEX(Tbl_BaselineSummary[Code Natural Gas Annual Consumption (therms)],MATCH(Tbl_MeasureList[[#This Row],[Baseline ID]],Tbl_BaselineSummary[Baseline ID],0))</f>
        <v>0</v>
      </c>
      <c r="AR33" s="472">
        <f>INDEX(Tbl_BaselineSummary[Code Propane Annual Consumption (MMBtu)],MATCH(Tbl_MeasureList[[#This Row],[Baseline ID]],Tbl_BaselineSummary[Baseline ID],0))</f>
        <v>17.936507936507937</v>
      </c>
      <c r="AS33" s="467">
        <f>INDEX(Tbl_BaselineSummary[Code Oil Annual Consumption (MMBtu)],MATCH(Tbl_MeasureList[[#This Row],[Baseline ID]],Tbl_BaselineSummary[Baseline ID],0))</f>
        <v>0</v>
      </c>
      <c r="AT33" s="204">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17.936507936507937</v>
      </c>
      <c r="AU33" s="467">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1.2465873015873017</v>
      </c>
      <c r="AV33" s="474">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1.2465873015873017</v>
      </c>
      <c r="AW33" s="248">
        <f ca="1">INDIRECT(Tbl_MeasureList[[#This Row],[Measure ID]]&amp;"!L26")</f>
        <v>233.61201000000003</v>
      </c>
      <c r="AX33" s="477">
        <f ca="1">INDIRECT(Tbl_MeasureList[[#This Row],[Measure ID]]&amp;"!M26")</f>
        <v>8453</v>
      </c>
      <c r="AY33" s="481">
        <f ca="1">INDIRECT(Tbl_MeasureList[[#This Row],[Measure ID]]&amp;"!D26")</f>
        <v>29.2</v>
      </c>
      <c r="AZ33" s="481" t="str">
        <f ca="1">INDIRECT(Tbl_MeasureList[[#This Row],[Measure ID]]&amp;"!J26")</f>
        <v>n/a</v>
      </c>
      <c r="BA33" s="481" t="str">
        <f ca="1">INDIRECT(Tbl_MeasureList[[#This Row],[Measure ID]]&amp;"!I26")</f>
        <v>n/a</v>
      </c>
      <c r="BB33" s="479">
        <f ca="1">INDIRECT(Tbl_MeasureList[[#This Row],[Measure ID]]&amp;"!E26")</f>
        <v>1.1527832609553888E-2</v>
      </c>
      <c r="BC33" s="268">
        <f ca="1">INDIRECT(Tbl_MeasureList[[#This Row],[Measure ID]]&amp;"!H26")</f>
        <v>5.4180813264903269E-3</v>
      </c>
      <c r="BD33" s="253">
        <f ca="1">INDIRECT(Tbl_MeasureList[[#This Row],[Measure ID]]&amp;"!D32")</f>
        <v>141.25</v>
      </c>
      <c r="BE33" s="270">
        <f ca="1">INDIRECT(Tbl_MeasureList[[#This Row],[Measure ID]]&amp;"!D38")</f>
        <v>0</v>
      </c>
      <c r="BF33" s="253">
        <f ca="1">INDIRECT(Tbl_MeasureList[[#This Row],[Measure ID]]&amp;"!D44")</f>
        <v>0</v>
      </c>
      <c r="BG33" s="460">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14.224630400000001</v>
      </c>
      <c r="BH33" s="371">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0.82631250000000001</v>
      </c>
      <c r="BI33" s="272">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0.83662477200000007</v>
      </c>
      <c r="BJ33" s="273">
        <f ca="1">INDIRECT(Tbl_MeasureList[[#This Row],[Measure ID]]&amp;"!L27")</f>
        <v>215.16167770114944</v>
      </c>
      <c r="BK33" s="201">
        <f ca="1">INDIRECT(Tbl_MeasureList[[#This Row],[Measure ID]]&amp;"!M27")</f>
        <v>9196</v>
      </c>
      <c r="BL33" s="85">
        <f ca="1">INDIRECT(Tbl_MeasureList[[#This Row],[Measure ID]]&amp;"!D27")</f>
        <v>28.6</v>
      </c>
      <c r="BM33" s="85" t="str">
        <f ca="1">INDIRECT(Tbl_MeasureList[[#This Row],[Measure ID]]&amp;"!J27")</f>
        <v>n/a</v>
      </c>
      <c r="BN33" s="85" t="str">
        <f ca="1">INDIRECT(Tbl_MeasureList[[#This Row],[Measure ID]]&amp;"!I27")</f>
        <v>n/a</v>
      </c>
      <c r="BO33" s="152">
        <f ca="1">INDIRECT(Tbl_MeasureList[[#This Row],[Measure ID]]&amp;"!E27")</f>
        <v>1.1290959336754837E-2</v>
      </c>
      <c r="BP33" s="470">
        <f ca="1">INDIRECT(Tbl_MeasureList[[#This Row],[Measure ID]]&amp;"!H27")</f>
        <v>5.306750888274773E-3</v>
      </c>
      <c r="BQ33" s="467">
        <f ca="1">INDIRECT(Tbl_MeasureList[[#This Row],[Measure ID]]&amp;"!D33")</f>
        <v>129.88505747126436</v>
      </c>
      <c r="BR33" s="472">
        <f ca="1">INDIRECT(Tbl_MeasureList[[#This Row],[Measure ID]]&amp;"!D39")</f>
        <v>0</v>
      </c>
      <c r="BS33" s="467">
        <f ca="1">INDIRECT(Tbl_MeasureList[[#This Row],[Measure ID]]&amp;"!D45")</f>
        <v>0</v>
      </c>
      <c r="BT33" s="204">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13.086088947126436</v>
      </c>
      <c r="BU33" s="467">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0.7598275862068965</v>
      </c>
      <c r="BV33" s="260">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0.76992796220689652</v>
      </c>
      <c r="BW33" s="248"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v>
      </c>
      <c r="BX33" s="267"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v>
      </c>
      <c r="BY33"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v>
      </c>
      <c r="BZ33"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v>
      </c>
      <c r="CA33"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v>
      </c>
      <c r="CB33" s="268"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v>
      </c>
      <c r="CC33" s="268"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v>
      </c>
      <c r="CD33" s="269"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v>
      </c>
      <c r="CE33" s="270"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v>
      </c>
      <c r="CF33" s="253"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v>
      </c>
      <c r="CG33" s="460" t="str">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v>
      </c>
      <c r="CH33" s="371"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v>
      </c>
      <c r="CI33" s="260"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v>
      </c>
      <c r="CJ33" s="320">
        <f ca="1">-Tbl_MeasureList[[#This Row],[Low Measure Energy Cost (USD/yr)]]+Tbl_MeasureList[[#This Row],[Baseline Energy Cost (USD/yr)]]</f>
        <v>485.15361416185897</v>
      </c>
      <c r="CK33"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8117.0505845565913</v>
      </c>
      <c r="CL33" s="249">
        <f ca="1">-Tbl_MeasureList[[#This Row],[Low Measure Electric Annual Consumption (kWh/yr)]]+Tbl_MeasureList[[#This Row],[Baseline Electric Annual Consumption (kWh/yr)]]</f>
        <v>-28.6</v>
      </c>
      <c r="CM33" s="249" t="str">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v>
      </c>
      <c r="CN33" s="249" t="str">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v>
      </c>
      <c r="CO33" s="268">
        <f ca="1">-Tbl_MeasureList[[#This Row],[Low Measure Electric Winter Peak Demand (kW)]]+Tbl_MeasureList[[#This Row],[Baseline Electric Winter Peak Demand (kW)]]</f>
        <v>-1.1290959336754837E-2</v>
      </c>
      <c r="CP33" s="479">
        <f ca="1">-Tbl_MeasureList[[#This Row],[Low Measure Electric Summer Peak Demand (kW)]]+Tbl_MeasureList[[#This Row],[Baseline Electric Summer Peak Demand (kW)]]</f>
        <v>-5.306750888274773E-3</v>
      </c>
      <c r="CQ33" s="481">
        <f ca="1">-Tbl_MeasureList[[#This Row],[Low Measure Natural Gas Annual Consumption (therms/yr)]]+Tbl_MeasureList[[#This Row],[Baseline Natural Gas Annual Consumption (therms/yr)]]</f>
        <v>-129.88505747126436</v>
      </c>
      <c r="CR33" s="490">
        <f ca="1">-Tbl_MeasureList[[#This Row],[Low Measure Propane Annual Consumption (MMBtu/yr)]]+Tbl_MeasureList[[#This Row],[Baseline Propane Annual Consumption (MMBtu/yr)]]</f>
        <v>19.482758620689658</v>
      </c>
      <c r="CS33" s="252">
        <f ca="1">-Tbl_MeasureList[[#This Row],[Low Measure Oil Annual Consumption (MMBtu/yr)]]+Tbl_MeasureList[[#This Row],[Baseline Oil Annual Consumption (MMBtu/yr)]]</f>
        <v>0</v>
      </c>
      <c r="CT33"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6.3966696735632222</v>
      </c>
      <c r="CU33" s="487">
        <f ca="1">-Tbl_MeasureList[[#This Row],[Low Measure Carbon Emissions, Site (tons CO2/yr)]]+Tbl_MeasureList[[#This Row],[Baseline Carbon Emissions, Site (tons CO2/yr)]]</f>
        <v>0.59422413793103479</v>
      </c>
      <c r="CV33" s="491">
        <f ca="1">-Tbl_MeasureList[[#This Row],[Low Measure Carbon Emissions, Source (tons CO2/yr)]]+Tbl_MeasureList[[#This Row],[Baseline Carbon Emissions, Source (tons CO2/yr)]]</f>
        <v>0.58412376193103477</v>
      </c>
      <c r="CW33" s="48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v>
      </c>
      <c r="CX33" s="477"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v>
      </c>
      <c r="CY33"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v>
      </c>
      <c r="CZ33"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v>
      </c>
      <c r="DA33"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v>
      </c>
      <c r="DB33" s="47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v>
      </c>
      <c r="DC33" s="268"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v>
      </c>
      <c r="DD33" s="26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v>
      </c>
      <c r="DE33" s="270"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v>
      </c>
      <c r="DF33" s="25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v>
      </c>
      <c r="DG33" s="270" t="str">
        <f>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v>
      </c>
      <c r="DH33" s="38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v>
      </c>
      <c r="DI33" s="321"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v>
      </c>
      <c r="DJ33" s="320">
        <f ca="1">-Tbl_MeasureList[[#This Row],[Low Measure Energy Cost (USD/yr)]]+Tbl_MeasureList[[#This Row],[Code (old fuel) Energy Cost (USD/yr)]]</f>
        <v>429.57303544257252</v>
      </c>
      <c r="DK33" s="267">
        <f ca="1">Tbl_MeasureList[[#This Row],[Low Measure Installed Costs (USD)]]-Tbl_MeasureList[[#This Row],[Code (old fuel) Installed Costs (USD)]]</f>
        <v>7543</v>
      </c>
      <c r="DL33" s="249">
        <f ca="1">-Tbl_MeasureList[[#This Row],[Low Measure Electric Annual Consumption (kWh/yr)]]+Tbl_MeasureList[[#This Row],[Code (old fuel) Electric Annual Consumption (kWh/yr)]]</f>
        <v>-28.6</v>
      </c>
      <c r="DM33" s="249" t="str">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v>
      </c>
      <c r="DN33" s="249" t="str">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v>
      </c>
      <c r="DO33" s="268">
        <f ca="1">-Tbl_MeasureList[[#This Row],[Low Measure Electric Winter Peak Demand (kW)]]+Tbl_MeasureList[[#This Row],[Code (old fuel) Electric Winter Peak Demand (kW)]]</f>
        <v>-1.1290959336754837E-2</v>
      </c>
      <c r="DP33" s="479">
        <f ca="1">-Tbl_MeasureList[[#This Row],[Low Measure Electric Summer Peak Demand (kW)]]+Tbl_MeasureList[[#This Row],[Code (old fuel) Electric Summer Peak Demand (kW)]]</f>
        <v>-5.306750888274773E-3</v>
      </c>
      <c r="DQ33" s="481">
        <f ca="1">-Tbl_MeasureList[[#This Row],[Low Measure Natural Gas Annual Consumption (therms/yr)]]+Tbl_MeasureList[[#This Row],[Code (old fuel) Natural Gas Annual Consumption (therms/yr)]]</f>
        <v>-129.88505747126436</v>
      </c>
      <c r="DR33" s="490">
        <f ca="1">-Tbl_MeasureList[[#This Row],[Low Measure Propane Annual Consumption (MMBtu/yr)]]+Tbl_MeasureList[[#This Row],[Code (old fuel) Propane Annual Consumption (MMBtu/yr)]]</f>
        <v>17.936507936507937</v>
      </c>
      <c r="DS33" s="252">
        <f ca="1">-Tbl_MeasureList[[#This Row],[Low Measure Oil Annual Consumption (MMBtu/yr)]]+Tbl_MeasureList[[#This Row],[Code (old fuel) Oil Annual Consumption (MMBtu/yr)]]</f>
        <v>0</v>
      </c>
      <c r="DT33"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4.8504189893815006</v>
      </c>
      <c r="DU33" s="487">
        <f ca="1">-Tbl_MeasureList[[#This Row],[Low Measure Carbon Emissions, Site (tons CO2/yr)]]+Tbl_MeasureList[[#This Row],[Code (old fuel) Carbon Emissions, Site (tons CO2/yr)]]</f>
        <v>0.48675971538040519</v>
      </c>
      <c r="DV33" s="491">
        <f ca="1">-Tbl_MeasureList[[#This Row],[Low Measure Carbon Emissions, Source (tons CO2/yr)]]+Tbl_MeasureList[[#This Row],[Code (old fuel) Carbon Emissions, Source (tons CO2/yr)]]</f>
        <v>0.47665933938040517</v>
      </c>
      <c r="DW33" s="48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(old fuel) Energy Cost (USD/yr)]],
        "-")</f>
        <v>-</v>
      </c>
      <c r="DX33" s="477"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v>
      </c>
      <c r="DY33"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v>
      </c>
      <c r="DZ33"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v>
      </c>
      <c r="EA33"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v>
      </c>
      <c r="EB33" s="47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v>
      </c>
      <c r="EC33" s="268"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v>
      </c>
      <c r="ED33" s="26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v>
      </c>
      <c r="EE33" s="270"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v>
      </c>
      <c r="EF33" s="25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v>
      </c>
      <c r="EG33" s="270" t="str">
        <f>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v>
      </c>
      <c r="EH33" s="38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v>
      </c>
      <c r="EI33" s="321"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v>
      </c>
      <c r="EJ33" s="477">
        <f ca="1">Tbl_MeasureList[[#This Row],[Code (old fuel) Energy Cost (USD/yr)]]-Tbl_MeasureList[[#This Row],[Code (new fuel) Energy Cost (USD/yr)]]</f>
        <v>411.12270314372188</v>
      </c>
      <c r="EK33" s="496">
        <f ca="1">Tbl_MeasureList[[#This Row],[Code (old fuel) Electric Annual Consumption (kWh/yr)]]-Tbl_MeasureList[[#This Row],[Code (new fuel) Electric Annual Consumption (kWh/yr)]]</f>
        <v>-29.2</v>
      </c>
      <c r="EL33" s="496" t="str">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v>
      </c>
      <c r="EM33" s="496" t="str">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v>
      </c>
      <c r="EN33" s="500">
        <f ca="1">Tbl_MeasureList[[#This Row],[Code (old fuel) Electric Winter Peak Demand (kW)]]-Tbl_MeasureList[[#This Row],[Code (new fuel) Electric Winter Peak Demand (kW)]]</f>
        <v>-1.1527832609553888E-2</v>
      </c>
      <c r="EO33" s="493">
        <f ca="1">Tbl_MeasureList[[#This Row],[Code (old fuel) Electric Summer Peak Demand (kW)]]-Tbl_MeasureList[[#This Row],[Code (new fuel) Electric Summer Peak Demand (kW)]]</f>
        <v>-5.4180813264903269E-3</v>
      </c>
      <c r="EP33" s="502">
        <f ca="1">Tbl_MeasureList[[#This Row],[Code (old fuel) Natural Gas Annual Consumption (therms/yr)]]-Tbl_MeasureList[[#This Row],[Code (new fuel) Natural Gas Annual Consumption (therms/yr)]]</f>
        <v>-141.25</v>
      </c>
      <c r="EQ33" s="215">
        <f ca="1">Tbl_MeasureList[[#This Row],[Code (old fuel) Propane Annual Consumption (MMBtu/yr)]]-Tbl_MeasureList[[#This Row],[Code (new fuel) Propane Annual Consumption (MMBtu/yr)]]</f>
        <v>17.936507936507937</v>
      </c>
      <c r="ER33" s="502">
        <f ca="1">Tbl_MeasureList[[#This Row],[Code (old fuel) Oil Annual Consumption (MMBtu/yr)]]-Tbl_MeasureList[[#This Row],[Code (new fuel) Oil Annual Consumption (MMBtu/yr)]]</f>
        <v>0</v>
      </c>
      <c r="ES33" s="215">
        <f ca="1">Tbl_MeasureList[[#This Row],[Code (old fuel) Energy Consumption on MMBtu Basis (MMBtu/yr)]]-Tbl_MeasureList[[#This Row],[Code (new fuel) Energy Consumption on MMBtu Basis (MMBtu/yr)]]</f>
        <v>3.7118775365079362</v>
      </c>
      <c r="ET33" s="502">
        <f ca="1">Tbl_MeasureList[[#This Row],[Code (old fuel) Carbon Emissions, Site (tons CO2/yr)]]-Tbl_MeasureList[[#This Row],[Code (new fuel) Carbon Emissions, Site (tons CO2/yr)]]</f>
        <v>0.42027480158730168</v>
      </c>
      <c r="EU33" s="498">
        <f ca="1">Tbl_MeasureList[[#This Row],[Code (old fuel) Carbon Emissions, Source (tons CO2/yr)]]-Tbl_MeasureList[[#This Row],[Code (new fuel) Carbon Emissions, Source (tons CO2/yr)]]</f>
        <v>0.40996252958730162</v>
      </c>
      <c r="EV33" s="450">
        <f ca="1">Tbl_MeasureList[[#This Row],[ER Total Low Measure Electric Annual Consumption Savings (kWh/yr)]]*COAL_BTU_PER_SITE_KWH/Btu_per_MMBtu</f>
        <v>-3.1480836273456441E-3</v>
      </c>
      <c r="EW33" s="411">
        <f ca="1">Tbl_MeasureList[[#This Row],[ER Total Low Measure Electric Annual Consumption Savings (kWh/yr)]]*COAL_LBS_PER_SITE_KWH</f>
        <v>-0.27614768660926703</v>
      </c>
      <c r="EX33" s="326">
        <f ca="1">Tbl_MeasureList[[#This Row],[ER Total Low Measure Electric Annual Consumption Savings (kWh/yr)]]*OIL_BTU_PER_SITE_KWH/Btu_per_MMBtu</f>
        <v>-3.6240561253792461E-3</v>
      </c>
      <c r="EY33" s="325">
        <f ca="1">Tbl_MeasureList[[#This Row],[ER Total Low Measure Electric Annual Consumption Savings (kWh/yr)]]*OIL_GAL_PER_SITE_KWH</f>
        <v>-2.6271746894626451E-2</v>
      </c>
      <c r="EZ33" s="326">
        <f ca="1">Tbl_MeasureList[[#This Row],[ER Total Low Measure Oil Annual Consumption Savings (MMBtu/yr)]]*Btu_per_MMBtu/OIL_BTU_PER_GAL</f>
        <v>0</v>
      </c>
      <c r="FA33" s="325">
        <f ca="1">Tbl_MeasureList[[#This Row],[Current ER Total Low Measure Oil Source Fuel Savings (gallons oil/year)]]+Tbl_MeasureList[[#This Row],[Current ER Total Low Measure Oil Site Fuel Savings (gallons oil/year)]]</f>
        <v>-2.6271746894626451E-2</v>
      </c>
      <c r="FB33" s="326">
        <f ca="1">Tbl_MeasureList[[#This Row],[ER Total Low Measure Electric Annual Consumption Savings (kWh/yr)]]*GAS_BTU_PER_SITE_KWH/Btu_per_MMBtu</f>
        <v>-0.11703494280120287</v>
      </c>
      <c r="FC33" s="327">
        <f ca="1">Tbl_MeasureList[[#This Row],[ER Total Low Measure Electric Annual Consumption Savings (kWh/yr)]]*GAS_CUFT_PER_SITE_KWH/1000</f>
        <v>-0.11373658192536722</v>
      </c>
      <c r="FD33" s="328">
        <f ca="1">Tbl_MeasureList[[#This Row],[ER Total Low Measure Natural Gas Annual Consumption Savings (therms/yr)]]*Btu_per_MMBtu/(GAS_BTU_PER_CUFT*Therm_per_MMBtu*1000)</f>
        <v>-12.622454564748724</v>
      </c>
      <c r="FE33" s="329">
        <f ca="1">Tbl_MeasureList[[#This Row],[Current ER Total Low Measure Gas Source Fuel Savings (1,000 cu.ft. gas/year)]]+Tbl_MeasureList[[#This Row],[Current ER Total Low Measure Gas Site Fuel Savings (1,000 cu.ft gas/year)]]</f>
        <v>-12.736191146674091</v>
      </c>
      <c r="FF33" s="324" t="str">
        <f>IFERROR(Tbl_MeasureList[[#This Row],[ER Total High Measure Electric Annual Consumption Savings (kWh/yr)]]*COAL_BTU_PER_SITE_KWH/Btu_per_MMBtu,"-")</f>
        <v>-</v>
      </c>
      <c r="FG33" s="325" t="str">
        <f>IFERROR(Tbl_MeasureList[[#This Row],[ER Total High Measure Electric Annual Consumption Savings (kWh/yr)]]*COAL_LBS_PER_SITE_KWH,"-")</f>
        <v>-</v>
      </c>
      <c r="FH33" s="326" t="str">
        <f>IFERROR(Tbl_MeasureList[[#This Row],[ER Total High Measure Electric Annual Consumption Savings (kWh/yr)]]*OIL_BTU_PER_SITE_KWH/Btu_per_MMBtu,"-")</f>
        <v>-</v>
      </c>
      <c r="FI33" s="325" t="str">
        <f>IFERROR(Tbl_MeasureList[[#This Row],[ER Total High Measure Electric Annual Consumption Savings (kWh/yr)]]*OIL_GAL_PER_SITE_KWH,"-")</f>
        <v>-</v>
      </c>
      <c r="FJ33" s="326" t="str">
        <f>IFERROR(Tbl_MeasureList[[#This Row],[ER Total High Measure Oil Annual Consumption Savings (MMBtu/yr)]]*Btu_per_MMBtu/OIL_BTU_PER_GAL,"-")</f>
        <v>-</v>
      </c>
      <c r="FK33" s="325" t="str">
        <f>IFERROR(Tbl_MeasureList[[#This Row],[Current ER Total High Measure Oil Source Fuel Savings (gallons oil/year)]]+Tbl_MeasureList[[#This Row],[Current ER Total High Measure Oil Site Fuel Savings (gallons oil/year)]],"-")</f>
        <v>-</v>
      </c>
      <c r="FL33" s="326" t="str">
        <f>IFERROR(Tbl_MeasureList[[#This Row],[ER Total High Measure Electric Annual Consumption Savings (kWh/yr)]]*GAS_BTU_PER_SITE_KWH/Btu_per_MMBtu,"-")</f>
        <v>-</v>
      </c>
      <c r="FM33" s="327" t="str">
        <f>IFERROR(Tbl_MeasureList[[#This Row],[ER Total High Measure Electric Annual Consumption Savings (kWh/yr)]]*GAS_CUFT_PER_SITE_KWH/1000,"-")</f>
        <v>-</v>
      </c>
      <c r="FN33" s="328" t="str">
        <f>IFERROR(Tbl_MeasureList[[#This Row],[ER Total High Measure Natural Gas Annual Consumption Savings (therms/yr)]]*Btu_per_MMBtu/(GAS_BTU_PER_CUFT*Therm_per_MMBtu*1000),"-")</f>
        <v>-</v>
      </c>
      <c r="FO33" s="329" t="str">
        <f>IFERROR(Tbl_MeasureList[[#This Row],[Current ER Total High Measure Gas Source Fuel Savings (1,000 cu.ft. gas/year)]]+Tbl_MeasureList[[#This Row],[Current ER Total High Measure Gas Site Fuel Savings (1,000 cu.ft gas/year)]],"-")</f>
        <v>-</v>
      </c>
      <c r="FP33" s="412">
        <f ca="1">Tbl_MeasureList[[#This Row],[ROF Low Measure Electric Annual Consumption Savings (kWh/yr)]]*COAL_BTU_PER_SITE_KWH/Btu_per_MMBtu</f>
        <v>-3.1480836273456441E-3</v>
      </c>
      <c r="FQ33" s="327">
        <f ca="1">Tbl_MeasureList[[#This Row],[ROF Low Measure Electric Annual Consumption Savings (kWh/yr)]]*COAL_LBS_PER_SITE_KWH</f>
        <v>-0.27614768660926703</v>
      </c>
      <c r="FR33" s="412">
        <f ca="1">Tbl_MeasureList[[#This Row],[ROF Low Measure Electric Annual Consumption Savings (kWh/yr)]]*OIL_BTU_PER_SITE_KWH/Btu_per_MMBtu</f>
        <v>-3.6240561253792461E-3</v>
      </c>
      <c r="FS33" s="327">
        <f ca="1">Tbl_MeasureList[[#This Row],[ROF Low Measure Electric Annual Consumption Savings (kWh/yr)]]*OIL_GAL_PER_SITE_KWH</f>
        <v>-2.6271746894626451E-2</v>
      </c>
      <c r="FT33" s="412">
        <f ca="1">Tbl_MeasureList[[#This Row],[ROF Low Measure Oil Annual Consumption Savings (MMBtu/yr)]]*Btu_per_MMBtu/OIL_BTU_PER_GAL</f>
        <v>0</v>
      </c>
      <c r="FU33" s="327">
        <f ca="1">Tbl_MeasureList[[#This Row],[Current ROF Low Measure Oil Source Fuel Savings (gallons oil/year)]]+Tbl_MeasureList[[#This Row],[Current ROF Low Measure Oil Site Fuel Savings (gallons oil/year)]]</f>
        <v>-2.6271746894626451E-2</v>
      </c>
      <c r="FV33" s="412">
        <f ca="1">Tbl_MeasureList[[#This Row],[ROF Low Measure Electric Annual Consumption Savings (kWh/yr)]]*GAS_BTU_PER_SITE_KWH/Btu_per_MMBtu</f>
        <v>-0.11703494280120287</v>
      </c>
      <c r="FW33" s="327">
        <f ca="1">Tbl_MeasureList[[#This Row],[ROF Low Measure Electric Annual Consumption Savings (kWh/yr)]]*GAS_CUFT_PER_SITE_KWH/1000</f>
        <v>-0.11373658192536722</v>
      </c>
      <c r="FX33" s="412">
        <f ca="1">Tbl_MeasureList[[#This Row],[ROF Low Measure Natural Gas Annual Consumption Savings (therms/yr)]]*Btu_per_MMBtu/(GAS_BTU_PER_CUFT*Therm_per_MMBtu*1000)</f>
        <v>-12.622454564748724</v>
      </c>
      <c r="FY33" s="327">
        <f ca="1">Tbl_MeasureList[[#This Row],[Current ROF Low Measure Gas Source Fuel Savings (1,000 cu.ft. gas/year)]]+Tbl_MeasureList[[#This Row],[Current ROF Low Measure Gas Site Fuel Savings (1,000 cu.ft gas/year)]]</f>
        <v>-12.736191146674091</v>
      </c>
      <c r="FZ33" s="414" t="str">
        <f>IFERROR(Tbl_MeasureList[[#This Row],[ROF High Measure Electric Annual Consumption Savings (kWh/yr)]]*COAL_BTU_PER_SITE_KWH/Btu_per_MMBtu,"-")</f>
        <v>-</v>
      </c>
      <c r="GA33" s="327" t="str">
        <f>IFERROR(Tbl_MeasureList[[#This Row],[ROF High Measure Electric Annual Consumption Savings (kWh/yr)]]*COAL_LBS_PER_SITE_KWH,"-")</f>
        <v>-</v>
      </c>
      <c r="GB33" s="412" t="str">
        <f>IFERROR(Tbl_MeasureList[[#This Row],[ROF High Measure Electric Annual Consumption Savings (kWh/yr)]]*OIL_BTU_PER_SITE_KWH/Btu_per_MMBtu,"-")</f>
        <v>-</v>
      </c>
      <c r="GC33" s="327" t="str">
        <f>IFERROR(Tbl_MeasureList[[#This Row],[ROF High Measure Electric Annual Consumption Savings (kWh/yr)]]*OIL_GAL_PER_SITE_KWH,"-")</f>
        <v>-</v>
      </c>
      <c r="GD33" s="412" t="str">
        <f>IFERROR(Tbl_MeasureList[[#This Row],[ROF High Measure Oil Annual Consumption Savings (MMBtu/yr)]]*Btu_per_MMBtu/OIL_BTU_PER_GAL,"-")</f>
        <v>-</v>
      </c>
      <c r="GE33" s="327" t="str">
        <f>IFERROR(Tbl_MeasureList[[#This Row],[Current ROF High Measure Oil Source Fuel Savings (gallons oil/year)]]+Tbl_MeasureList[[#This Row],[Current ROF High Measure Oil Site Fuel Savings (gallons oil/year)]],"-")</f>
        <v>-</v>
      </c>
      <c r="GF33" s="412" t="str">
        <f>IFERROR(Tbl_MeasureList[[#This Row],[ROF High Measure Electric Annual Consumption Savings (kWh/yr)]]*GAS_BTU_PER_SITE_KWH/Btu_per_MMBtu,"-")</f>
        <v>-</v>
      </c>
      <c r="GG33" s="327" t="str">
        <f>IFERROR(Tbl_MeasureList[[#This Row],[ROF High Measure Electric Annual Consumption Savings (kWh/yr)]]*GAS_CUFT_PER_SITE_KWH/1000,"-")</f>
        <v>-</v>
      </c>
      <c r="GH33" s="412" t="str">
        <f>IFERROR(Tbl_MeasureList[[#This Row],[ROF High Measure Natural Gas Annual Consumption Savings (therms/yr)]]*Btu_per_MMBtu/(GAS_BTU_PER_CUFT*Therm_per_MMBtu*1000),"-")</f>
        <v>-</v>
      </c>
      <c r="GI33" s="327" t="str">
        <f>IFERROR(Tbl_MeasureList[[#This Row],[Current ROF High Measure Gas Source Fuel Savings (1,000 cu.ft. gas/year)]]+Tbl_MeasureList[[#This Row],[Current ROF High Measure Gas Site Fuel Savings (1,000 cu.ft gas/year)]],"-")</f>
        <v>-</v>
      </c>
      <c r="GJ33" s="324">
        <f ca="1">Tbl_MeasureList[[#This Row],[ER Total Low Measure Electric Annual Consumption Savings (kWh/yr)]]*COAL_BTU_PER_SITE_KWH_CES/Btu_per_MMBtu</f>
        <v>-5.351742166487595E-3</v>
      </c>
      <c r="GK33" s="325">
        <f ca="1">Tbl_MeasureList[[#This Row],[ER Total Low Measure Electric Annual Consumption Savings (kWh/yr)]]*COAL_LBS_PER_SITE_KWH_CES</f>
        <v>-0.48599184221645431</v>
      </c>
      <c r="GL33" s="326">
        <f ca="1">Tbl_MeasureList[[#This Row],[ER Total Low Measure Electric Annual Consumption Savings (kWh/yr)]]*OIL_BTU_PER_SITE_KWH_CES/Btu_per_MMBtu</f>
        <v>-1.6472982388087483E-3</v>
      </c>
      <c r="GM33" s="325">
        <f ca="1">Tbl_MeasureList[[#This Row],[ER Total Low Measure Electric Annual Consumption Savings (kWh/yr)]]*OIL_GAL_PER_SITE_KWH_CES</f>
        <v>-1.11135729626022E-2</v>
      </c>
      <c r="GN33" s="326">
        <f ca="1">Tbl_MeasureList[[#This Row],[ER Total Low Measure Oil Annual Consumption Savings (MMBtu/yr)]]*Btu_per_MMBtu/OIL_BTU_PER_GAL_CES</f>
        <v>0</v>
      </c>
      <c r="GO33" s="325">
        <f ca="1">Tbl_MeasureList[[#This Row],[CES ER Low Measure Oil Source Fuel Savings (gallons oil/year)]]+Tbl_MeasureList[[#This Row],[CES ER Low Measure Oil Site Fuel Savings (gallons oil/year)]]</f>
        <v>-1.11135729626022E-2</v>
      </c>
      <c r="GP33" s="326">
        <f ca="1">Tbl_MeasureList[[#This Row],[ER Total Low Measure Electric Annual Consumption Savings (kWh/yr)]]*GAS_BTU_PER_SITE_KWH_CES/Btu_per_MMBtu</f>
        <v>-4.8724751696827322E-2</v>
      </c>
      <c r="GQ33" s="327">
        <f ca="1">Tbl_MeasureList[[#This Row],[ER Total Low Measure Electric Annual Consumption Savings (kWh/yr)]]*GAS_CUFT_PER_SITE_KWH_CES/1000</f>
        <v>-4.7305584171677011E-2</v>
      </c>
      <c r="GR33" s="328">
        <f ca="1">Tbl_MeasureList[[#This Row],[ER Total Low Measure Natural Gas Annual Consumption Savings (therms/yr)]]*Btu_per_MMBtu/(GAS_BTU_PER_CUFT_CES*Therm_per_MMBtu*1000)</f>
        <v>-12.610199754491685</v>
      </c>
      <c r="GS33" s="329">
        <f ca="1">Tbl_MeasureList[[#This Row],[CES ER Low Measure Gas Source Fuel Savings (1,000 cu.ft. gas/year)]]+Tbl_MeasureList[[#This Row],[CES ER Low Measure Gas Site Fuel Savings (1,000 cu.ft gas/year)]]</f>
        <v>-12.657505338663363</v>
      </c>
      <c r="GT33" s="324" t="str">
        <f>IFERROR(Tbl_MeasureList[[#This Row],[ER Total High Measure Electric Annual Consumption Savings (kWh/yr)]]*COAL_BTU_PER_SITE_KWH_CES/Btu_per_MMBtu,"-")</f>
        <v>-</v>
      </c>
      <c r="GU33" s="325" t="str">
        <f>IFERROR(Tbl_MeasureList[[#This Row],[ER Total High Measure Electric Annual Consumption Savings (kWh/yr)]]*COAL_LBS_PER_SITE_KWH_CES,"-")</f>
        <v>-</v>
      </c>
      <c r="GV33" s="326" t="str">
        <f>IFERROR(Tbl_MeasureList[[#This Row],[ER Total High Measure Electric Annual Consumption Savings (kWh/yr)]]*OIL_BTU_PER_SITE_KWH_CES/Btu_per_MMBtu,"-")</f>
        <v>-</v>
      </c>
      <c r="GW33" s="325" t="str">
        <f>IFERROR(Tbl_MeasureList[[#This Row],[ER Total High Measure Electric Annual Consumption Savings (kWh/yr)]]*OIL_GAL_PER_SITE_KWH_CES,"-")</f>
        <v>-</v>
      </c>
      <c r="GX33" s="326" t="str">
        <f>IFERROR(Tbl_MeasureList[[#This Row],[ER Total High Measure Oil Annual Consumption Savings (MMBtu/yr)]]*Btu_per_MMBtu/OIL_BTU_PER_GAL_CES,"-")</f>
        <v>-</v>
      </c>
      <c r="GY33" s="325" t="str">
        <f>IFERROR(Tbl_MeasureList[[#This Row],[CES ER High Measure Oil Source Fuel Savings (gallons oil/year)]]+Tbl_MeasureList[[#This Row],[CES ER High Measure Oil Site Fuel Savings (gallons oil/year)]],"-")</f>
        <v>-</v>
      </c>
      <c r="GZ33" s="326" t="str">
        <f>IFERROR(Tbl_MeasureList[[#This Row],[ER Total High Measure Electric Annual Consumption Savings (kWh/yr)]]*GAS_BTU_PER_SITE_KWH_CES/Btu_per_MMBtu,"-")</f>
        <v>-</v>
      </c>
      <c r="HA33" s="327" t="str">
        <f>IFERROR(Tbl_MeasureList[[#This Row],[ER Total High Measure Electric Annual Consumption Savings (kWh/yr)]]*GAS_CUFT_PER_SITE_KWH_CES/1000,"-")</f>
        <v>-</v>
      </c>
      <c r="HB33" s="328" t="str">
        <f>IFERROR(Tbl_MeasureList[[#This Row],[ER Total High Measure Natural Gas Annual Consumption Savings (therms/yr)]]*Btu_per_MMBtu/(GAS_BTU_PER_CUFT_CES*Therm_per_MMBtu*1000),"-")</f>
        <v>-</v>
      </c>
      <c r="HC33" s="329" t="str">
        <f>IFERROR(Tbl_MeasureList[[#This Row],[CES ER High Measure Gas Source Fuel Savings (1,000 cu.ft. gas/year)]]+Tbl_MeasureList[[#This Row],[CES ER High Measure Gas Site Fuel Savings (1,000 cu.ft gas/year)]],"-")</f>
        <v>-</v>
      </c>
      <c r="HD33" s="315">
        <f ca="1">Tbl_MeasureList[[#This Row],[ROF Low Measure Electric Annual Consumption Savings (kWh/yr)]]*COAL_BTU_PER_SITE_KWH_CES/Btu_per_MMBtu</f>
        <v>-5.351742166487595E-3</v>
      </c>
      <c r="HE33" s="316">
        <f ca="1">Tbl_MeasureList[[#This Row],[ROF Low Measure Electric Annual Consumption Savings (kWh/yr)]]*COAL_LBS_PER_SITE_KWH_CES</f>
        <v>-0.48599184221645431</v>
      </c>
      <c r="HF33" s="317">
        <f ca="1">Tbl_MeasureList[[#This Row],[ROF Low Measure Electric Annual Consumption Savings (kWh/yr)]]*OIL_BTU_PER_SITE_KWH_CES/Btu_per_MMBtu</f>
        <v>-1.6472982388087483E-3</v>
      </c>
      <c r="HG33" s="316">
        <f ca="1">Tbl_MeasureList[[#This Row],[ROF Low Measure Electric Annual Consumption Savings (kWh/yr)]]*OIL_GAL_PER_SITE_KWH_CES</f>
        <v>-1.11135729626022E-2</v>
      </c>
      <c r="HH33" s="317">
        <f ca="1">Tbl_MeasureList[[#This Row],[ROF Low Measure Oil Annual Consumption Savings (MMBtu/yr)]]*Btu_per_MMBtu/OIL_BTU_PER_GAL_CES</f>
        <v>0</v>
      </c>
      <c r="HI33" s="316">
        <f ca="1">Tbl_MeasureList[[#This Row],[CES ROF Low Measure Oil Source Fuel Savings (gallons oil/year)]]+Tbl_MeasureList[[#This Row],[CES ROF Low Measure Oil Site Fuel Savings (gallons oil/year)]]</f>
        <v>-1.11135729626022E-2</v>
      </c>
      <c r="HJ33" s="317">
        <f ca="1">Tbl_MeasureList[[#This Row],[ROF Low Measure Electric Annual Consumption Savings (kWh/yr)]]*GAS_BTU_PER_SITE_KWH_CES/Btu_per_MMBtu</f>
        <v>-4.8724751696827322E-2</v>
      </c>
      <c r="HK33" s="316">
        <f ca="1">Tbl_MeasureList[[#This Row],[ROF Low Measure Electric Annual Consumption Savings (kWh/yr)]]*GAS_CUFT_PER_SITE_KWH_CES/1000</f>
        <v>-4.7305584171677011E-2</v>
      </c>
      <c r="HL33" s="317">
        <f ca="1">Tbl_MeasureList[[#This Row],[ROF Low Measure Natural Gas Annual Consumption Savings (therms/yr)]]*Btu_per_MMBtu/(GAS_BTU_PER_CUFT_CES*Therm_per_MMBtu*1000)</f>
        <v>-12.610199754491685</v>
      </c>
      <c r="HM33" s="318">
        <f ca="1">Tbl_MeasureList[[#This Row],[CES ROF Low Measure Gas Source Fuel Savings (1,000 cu.ft. gas/year)]]+Tbl_MeasureList[[#This Row],[CES ROF Low Measure Gas Site Fuel Savings (1,000 cu.ft gas/year)]]</f>
        <v>-12.657505338663363</v>
      </c>
      <c r="HN33" s="315" t="str">
        <f>IFERROR(Tbl_MeasureList[[#This Row],[ROF High Measure Electric Annual Consumption Savings (kWh/yr)]]*COAL_BTU_PER_SITE_KWH_CES/Btu_per_MMBtu,"-")</f>
        <v>-</v>
      </c>
      <c r="HO33" s="316" t="str">
        <f>IFERROR(Tbl_MeasureList[[#This Row],[ROF High Measure Electric Annual Consumption Savings (kWh/yr)]]*COAL_LBS_PER_SITE_KWH_CES,"-")</f>
        <v>-</v>
      </c>
      <c r="HP33" s="317" t="str">
        <f>IFERROR(Tbl_MeasureList[[#This Row],[ROF High Measure Electric Annual Consumption Savings (kWh/yr)]]*OIL_BTU_PER_SITE_KWH_CES/Btu_per_MMBtu,"-")</f>
        <v>-</v>
      </c>
      <c r="HQ33" s="316" t="str">
        <f>IFERROR(Tbl_MeasureList[[#This Row],[ROF High Measure Electric Annual Consumption Savings (kWh/yr)]]*OIL_GAL_PER_SITE_KWH_CES,"-")</f>
        <v>-</v>
      </c>
      <c r="HR33" s="317" t="str">
        <f>IFERROR(Tbl_MeasureList[[#This Row],[ROF High Measure Oil Annual Consumption Savings (MMBtu/yr)]]*Btu_per_MMBtu/OIL_BTU_PER_GAL_CES,"-")</f>
        <v>-</v>
      </c>
      <c r="HS33" s="316" t="str">
        <f>IFERROR(Tbl_MeasureList[[#This Row],[CES ROF High Measure Oil Source Fuel Savings (gallons oil/year)]]+Tbl_MeasureList[[#This Row],[CES ROF High Measure Oil Site Fuel Savings (gallons oil/year)]],"-")</f>
        <v>-</v>
      </c>
      <c r="HT33" s="317" t="str">
        <f>IFERROR(Tbl_MeasureList[[#This Row],[ROF High Measure Electric Annual Consumption Savings (kWh/yr)]]*GAS_BTU_PER_SITE_KWH_CES/Btu_per_MMBtu,"-")</f>
        <v>-</v>
      </c>
      <c r="HU33" s="316" t="str">
        <f>IFERROR(Tbl_MeasureList[[#This Row],[ROF High Measure Electric Annual Consumption Savings (kWh/yr)]]*GAS_CUFT_PER_SITE_KWH_CES/1000,"-")</f>
        <v>-</v>
      </c>
      <c r="HV33" s="317" t="str">
        <f>IFERROR(Tbl_MeasureList[[#This Row],[ROF High Measure Natural Gas Annual Consumption Savings (therms/yr)]]*Btu_per_MMBtu/(GAS_BTU_PER_CUFT_CES*Therm_per_MMBtu*1000),"-")</f>
        <v>-</v>
      </c>
      <c r="HW33" s="318" t="str">
        <f>IFERROR(Tbl_MeasureList[[#This Row],[CES ROF High Measure Gas Source Fuel Savings (1,000 cu.ft. gas/year)]]+Tbl_MeasureList[[#This Row],[CES ROF High Measure Gas Site Fuel Savings (1,000 cu.ft gas/year)]],"-")</f>
        <v>-</v>
      </c>
      <c r="HX33" s="248">
        <f>Tbl_MeasureList[[#This Row],[Baseline Energy Cost (USD/yr)]]-Tbl_MeasureList[[#This Row],[Code (old fuel) Energy Cost (USD/yr)]]</f>
        <v>55.58057871928645</v>
      </c>
      <c r="HY33" s="201">
        <f>0</f>
        <v>0</v>
      </c>
      <c r="HZ33" s="86">
        <f>Tbl_MeasureList[[#This Row],[Baseline Electric Annual Consumption (kWh/yr)]]-Tbl_MeasureList[[#This Row],[Code (old fuel) Electric Annual Consumption (kWh/yr)]]</f>
        <v>0</v>
      </c>
      <c r="IA33" s="86" t="str">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v>
      </c>
      <c r="IB33" s="86" t="str">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v>
      </c>
      <c r="IC33" s="152">
        <f>Tbl_MeasureList[[#This Row],[Baseline Electric Winter Peak Demand (kW)]]-Tbl_MeasureList[[#This Row],[Code (old fuel) Electric Winter Peak Demand (kW)]]</f>
        <v>0</v>
      </c>
      <c r="ID33" s="152">
        <f>Tbl_MeasureList[[#This Row],[Baseline Electric Summer Peak Demand (kW)]]-Tbl_MeasureList[[#This Row],[Code (old fuel) Electric Summer Peak Demand (kW)]]</f>
        <v>0</v>
      </c>
      <c r="IE33" s="251">
        <f>Tbl_MeasureList[[#This Row],[Baseline Natural Gas Annual Consumption (therms/yr)]]-Tbl_MeasureList[[#This Row],[Code (old fuel) Natural Gas Annual Consumption (therms/yr)]]</f>
        <v>0</v>
      </c>
      <c r="IF33" s="252">
        <f>Tbl_MeasureList[[#This Row],[Baseline Propane Annual Consumption (MMBtu/yr)]]-Tbl_MeasureList[[#This Row],[Code (old fuel) Propane Annual Consumption (MMBtu/yr)]]</f>
        <v>1.5462506841817216</v>
      </c>
      <c r="IG33" s="253">
        <f>Tbl_MeasureList[[#This Row],[Baseline Oil Annual Consumption (MMBtu/yr)]]-Tbl_MeasureList[[#This Row],[Code (old fuel) Oil Annual Consumption (MMBtu/yr)]]</f>
        <v>0</v>
      </c>
      <c r="IH33" s="371">
        <f>Tbl_MeasureList[[#This Row],[Baseline Energy Consumption on MMBtu Basis (MMBtu/yr)]]-Tbl_MeasureList[[#This Row],[Code (old fuel) Energy Consumption on MMBtu Basis (MMBtu/yr)]]</f>
        <v>1.5462506841817216</v>
      </c>
      <c r="II33" s="371">
        <f>Tbl_MeasureList[[#This Row],[Baseline Carbon Emissions, Site (tons CO2/yr)]]-Tbl_MeasureList[[#This Row],[Code (old fuel) Carbon Emissions, Site (tons CO2/yr)]]</f>
        <v>0.1074644225506296</v>
      </c>
      <c r="IJ33" s="279">
        <f>Tbl_MeasureList[[#This Row],[Baseline Carbon Emissions, Source (tons CO2/yr)]]-Tbl_MeasureList[[#This Row],[Code (old fuel) Carbon Emissions, Source (tons CO2/yr)]]</f>
        <v>0.1074644225506296</v>
      </c>
      <c r="IK33" s="273">
        <f ca="1">Tbl_MeasureList[[#This Row],[Code (new fuel) Energy Cost (USD/yr)]]-Tbl_MeasureList[[#This Row],[Low Measure Energy Cost (USD/yr)]]</f>
        <v>18.450332298850583</v>
      </c>
      <c r="IL33"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8117.0505845565913</v>
      </c>
      <c r="IM33" s="85">
        <f ca="1">Tbl_MeasureList[[#This Row],[Code (old fuel) Electric Annual Consumption (kWh/yr)]]-Tbl_MeasureList[[#This Row],[Low Measure Electric Annual Consumption (kWh/yr)]]</f>
        <v>-28.6</v>
      </c>
      <c r="IN33" s="85" t="str">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v>
      </c>
      <c r="IO33" s="85" t="str">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v>
      </c>
      <c r="IP33" s="152">
        <f ca="1">Tbl_MeasureList[[#This Row],[Code (old fuel) Electric Winter Peak Demand (kW)]]-Tbl_MeasureList[[#This Row],[Low Measure Electric Winter Peak Demand (kW)]]</f>
        <v>-1.1290959336754837E-2</v>
      </c>
      <c r="IQ33" s="152">
        <f ca="1">Tbl_MeasureList[[#This Row],[Code (old fuel) Electric Summer Peak Demand (kW)]]-Tbl_MeasureList[[#This Row],[Low Measure Electric Summer Peak Demand (kW)]]</f>
        <v>-5.306750888274773E-3</v>
      </c>
      <c r="IR33" s="204">
        <f ca="1">Tbl_MeasureList[[#This Row],[Code (old fuel) Natural Gas Annual Consumption (therms/yr)]]-Tbl_MeasureList[[#This Row],[Low Measure Natural Gas Annual Consumption (therms/yr)]]</f>
        <v>-129.88505747126436</v>
      </c>
      <c r="IS33" s="153">
        <f ca="1">Tbl_MeasureList[[#This Row],[Code (old fuel) Propane Annual Consumption (MMBtu/yr)]]-Tbl_MeasureList[[#This Row],[Low Measure Propane Annual Consumption (MMBtu/yr)]]</f>
        <v>17.936507936507937</v>
      </c>
      <c r="IT33" s="204">
        <f ca="1">Tbl_MeasureList[[#This Row],[Code (old fuel) Oil Annual Consumption (MMBtu/yr)]]-Tbl_MeasureList[[#This Row],[Low Measure Oil Annual Consumption (MMBtu/yr)]]</f>
        <v>0</v>
      </c>
      <c r="IU33" s="204">
        <f ca="1">Tbl_MeasureList[[#This Row],[Code (old fuel) Energy Consumption on MMBtu Basis (MMBtu/yr)]]-Tbl_MeasureList[[#This Row],[Low Measure Energy Consumption on MMBtu Basis (MMBtu/yr)]]</f>
        <v>4.8504189893815006</v>
      </c>
      <c r="IV33" s="204">
        <f ca="1">Tbl_MeasureList[[#This Row],[Code (old fuel) Carbon Emissions, Site (tons CO2/yr)]]-Tbl_MeasureList[[#This Row],[Low Measure Carbon Emissions, Site (tons CO2/yr)]]</f>
        <v>0.48675971538040519</v>
      </c>
      <c r="IW33" s="260">
        <f ca="1">Tbl_MeasureList[[#This Row],[Code (old fuel) Carbon Emissions, Source (tons CO2/yr)]]-Tbl_MeasureList[[#This Row],[Low Measure Carbon Emissions, Source (tons CO2/yr)]]</f>
        <v>0.47665933938040517</v>
      </c>
      <c r="IX33" s="27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v>
      </c>
      <c r="IY33" s="201"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v>
      </c>
      <c r="IZ33" s="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v>
      </c>
      <c r="JA33" s="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v>
      </c>
      <c r="JB33" s="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v>
      </c>
      <c r="JC33" s="152"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v>
      </c>
      <c r="JD33" s="152"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v>
      </c>
      <c r="JE33" s="204"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v>
      </c>
      <c r="JF33" s="15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v>
      </c>
      <c r="JG33" s="204"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v>
      </c>
      <c r="JH33" s="204"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v>
      </c>
      <c r="JI33" s="204"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v>
      </c>
      <c r="JJ33" s="321"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v>
      </c>
      <c r="JK33" s="432">
        <f>Tbl_MeasureList[[#This Row],[ER (Retire) Electric Annual Consumption Savings (kWh/yr)]]*COAL_BTU_PER_SITE_KWH/Btu_per_MMBtu</f>
        <v>0</v>
      </c>
      <c r="JL33" s="428">
        <f>Tbl_MeasureList[[#This Row],[ER (Retire) Electric Annual Consumption Savings (kWh/yr)]]*COAL_LBS_PER_SITE_KWH</f>
        <v>0</v>
      </c>
      <c r="JM33" s="427">
        <f>Tbl_MeasureList[[#This Row],[ER (Retire) Electric Annual Consumption Savings (kWh/yr)]]*OIL_BTU_PER_SITE_KWH/Btu_per_MMBtu</f>
        <v>0</v>
      </c>
      <c r="JN33" s="428">
        <f>Tbl_MeasureList[[#This Row],[ER (Retire) Electric Annual Consumption Savings (kWh/yr)]]*OIL_GAL_PER_SITE_KWH</f>
        <v>0</v>
      </c>
      <c r="JO33" s="427">
        <f>Tbl_MeasureList[[#This Row],[ER (Retire) Oil Annual Consumption Savings (MMBtu/yr)]]*Btu_per_MMBtu/OIL_BTU_PER_GAL</f>
        <v>0</v>
      </c>
      <c r="JP33" s="428">
        <f ca="1">Tbl_MeasureList[[#This Row],[Current ER (Retire) Oil Source Fuel Savings (gallons oil/year)]]+Tbl_MeasureList[[#This Row],[Current ER Total Low Measure Oil Site Fuel Savings (gallons oil/year)]]</f>
        <v>0</v>
      </c>
      <c r="JQ33" s="427">
        <f>Tbl_MeasureList[[#This Row],[ER (Retire) Electric Annual Consumption Savings (kWh/yr)]]*GAS_BTU_PER_SITE_KWH/Btu_per_MMBtu</f>
        <v>0</v>
      </c>
      <c r="JR33" s="429">
        <f>Tbl_MeasureList[[#This Row],[ER (Retire) Electric Annual Consumption Savings (kWh/yr)]]*GAS_CUFT_PER_SITE_KWH/1000</f>
        <v>0</v>
      </c>
      <c r="JS33" s="430">
        <f>Tbl_MeasureList[[#This Row],[ER (Retire) Natural Gas Annual Consumption Savings (therms/yr)]]*Btu_per_MMBtu/(GAS_BTU_PER_CUFT*Therm_per_MMBtu*1000)</f>
        <v>0</v>
      </c>
      <c r="JT33" s="431">
        <f ca="1">Tbl_MeasureList[[#This Row],[Current ER (Retire) Gas Source Fuel Savings (1,000 cu.ft. gas/year)]]+Tbl_MeasureList[[#This Row],[Current ER Total Low Measure Gas Site Fuel Savings (1,000 cu.ft gas/year)]]</f>
        <v>-12.622454564748724</v>
      </c>
      <c r="JU33" s="432">
        <f ca="1">Tbl_MeasureList[[#This Row],[ER (EE) Low Measure Electric Annual Consumption Savings (kWh/yr)]]*COAL_BTU_PER_SITE_KWH/Btu_per_MMBtu</f>
        <v>-3.1480836273456441E-3</v>
      </c>
      <c r="JV33" s="428">
        <f ca="1">Tbl_MeasureList[[#This Row],[ER (EE) Low Measure Electric Annual Consumption Savings (kWh/yr)]]*COAL_LBS_PER_SITE_KWH</f>
        <v>-0.27614768660926703</v>
      </c>
      <c r="JW33" s="427">
        <f ca="1">Tbl_MeasureList[[#This Row],[ER (EE) Low Measure Electric Annual Consumption Savings (kWh/yr)]]*OIL_BTU_PER_SITE_KWH/Btu_per_MMBtu</f>
        <v>-3.6240561253792461E-3</v>
      </c>
      <c r="JX33" s="428">
        <f ca="1">Tbl_MeasureList[[#This Row],[ER (EE) Low Measure Electric Annual Consumption Savings (kWh/yr)]]*OIL_GAL_PER_SITE_KWH</f>
        <v>-2.6271746894626451E-2</v>
      </c>
      <c r="JY33" s="427">
        <f ca="1">Tbl_MeasureList[[#This Row],[ER (EE) Low Measure Oil Annual Consumption Savings (MMBtu/yr)]]*Btu_per_MMBtu/OIL_BTU_PER_GAL</f>
        <v>0</v>
      </c>
      <c r="JZ33" s="428">
        <f ca="1">Tbl_MeasureList[[#This Row],[Current ER (EE) Low Measure Oil Source Fuel Savings (gallons oil/year)]]+Tbl_MeasureList[[#This Row],[Current ER (EE) Low Measure Oil Site Fuel Savings (gallons oil/year)]]</f>
        <v>-2.6271746894626451E-2</v>
      </c>
      <c r="KA33" s="427">
        <f ca="1">Tbl_MeasureList[[#This Row],[ER (EE) Low Measure Electric Annual Consumption Savings (kWh/yr)]]*GAS_BTU_PER_SITE_KWH/Btu_per_MMBtu</f>
        <v>-0.11703494280120287</v>
      </c>
      <c r="KB33" s="429">
        <f ca="1">Tbl_MeasureList[[#This Row],[ER (EE) Low Measure Electric Annual Consumption Savings (kWh/yr)]]*GAS_CUFT_PER_SITE_KWH/1000</f>
        <v>-0.11373658192536722</v>
      </c>
      <c r="KC33" s="430">
        <f ca="1">Tbl_MeasureList[[#This Row],[ER (EE) Low Measure Natural Gas Annual Consumption Savings (therms/yr)]]*Btu_per_MMBtu/(GAS_BTU_PER_CUFT*Therm_per_MMBtu*1000)</f>
        <v>-12.622454564748724</v>
      </c>
      <c r="KD33" s="431">
        <f ca="1">Tbl_MeasureList[[#This Row],[Current ER (EE) Low Measure Gas Source Fuel Savings (1,000 cu.ft. gas/year)]]+Tbl_MeasureList[[#This Row],[Current ER (EE) Low Measure Gas Site Fuel Savings (1,000 cu.ft gas/year)]]</f>
        <v>-12.736191146674091</v>
      </c>
      <c r="KE33" s="432" t="str">
        <f>IFERROR(Tbl_MeasureList[[#This Row],[ER (EE) High Measure Electric Annual Consumption Savings (kWh/yr)]]*COAL_BTU_PER_SITE_KWH/Btu_per_MMBtu,"-")</f>
        <v>-</v>
      </c>
      <c r="KF33" s="428" t="str">
        <f>IFERROR(Tbl_MeasureList[[#This Row],[ER (EE) High Measure Electric Annual Consumption Savings (kWh/yr)]]*COAL_LBS_PER_SITE_KWH,"-")</f>
        <v>-</v>
      </c>
      <c r="KG33" s="427" t="str">
        <f>IFERROR(Tbl_MeasureList[[#This Row],[ER (EE) High Measure Electric Annual Consumption Savings (kWh/yr)]]*OIL_BTU_PER_SITE_KWH/Btu_per_MMBtu,"-")</f>
        <v>-</v>
      </c>
      <c r="KH33" s="428" t="str">
        <f>IFERROR(Tbl_MeasureList[[#This Row],[ER (EE) High Measure Electric Annual Consumption Savings (kWh/yr)]]*OIL_GAL_PER_SITE_KWH,"-")</f>
        <v>-</v>
      </c>
      <c r="KI33" s="427" t="str">
        <f>IFERROR(Tbl_MeasureList[[#This Row],[ER (EE) High Measure Oil Annual Consumption Savings (MMBtu/yr)]]*Btu_per_MMBtu/OIL_BTU_PER_GAL,"-")</f>
        <v>-</v>
      </c>
      <c r="KJ33" s="428" t="str">
        <f>IFERROR(Tbl_MeasureList[[#This Row],[Current ER (EE) High Measure Oil Source Fuel Savings (gallons oil/year)]]+Tbl_MeasureList[[#This Row],[Current ER (EE) High Measure Oil Site Fuel Savings (gallons oil/year)]],"-")</f>
        <v>-</v>
      </c>
      <c r="KK33" s="427" t="str">
        <f>IFERROR(Tbl_MeasureList[[#This Row],[ER (EE) High Measure Electric Annual Consumption Savings (kWh/yr)]]*GAS_BTU_PER_SITE_KWH/Btu_per_MMBtu,"-")</f>
        <v>-</v>
      </c>
      <c r="KL33" s="429" t="str">
        <f>IFERROR(Tbl_MeasureList[[#This Row],[ER (EE) High Measure Electric Annual Consumption Savings (kWh/yr)]]*GAS_CUFT_PER_SITE_KWH/1000,"-")</f>
        <v>-</v>
      </c>
      <c r="KM33" s="430" t="str">
        <f>IFERROR(Tbl_MeasureList[[#This Row],[ER (EE) High Measure Natural Gas Annual Consumption Savings (therms/yr)]]*Btu_per_MMBtu/(GAS_BTU_PER_CUFT*Therm_per_MMBtu*1000),"-")</f>
        <v>-</v>
      </c>
      <c r="KN33" s="431" t="str">
        <f>IFERROR(Tbl_MeasureList[[#This Row],[Current ER (EE) High Measure Gas Source Fuel Savings (1,000 cu.ft. gas/year)]]+Tbl_MeasureList[[#This Row],[Current ER (EE) High Measure Gas Site Fuel Savings (1,000 cu.ft gas/year)]],"-")</f>
        <v>-</v>
      </c>
    </row>
    <row r="34" spans="2:300" x14ac:dyDescent="0.2">
      <c r="B34" s="16"/>
      <c r="C34" s="2" t="s">
        <v>108</v>
      </c>
      <c r="D34" s="12" t="str">
        <f>INDEX(Tbl_BaselineSummary[Equipment ID],MATCH(Tbl_MeasureList[[#This Row],[Baseline ID]],Tbl_BaselineSummary[Baseline ID],0))</f>
        <v>EQUI014</v>
      </c>
      <c r="E34" s="11" t="str">
        <f>INDEX(Tbl_EquipmentDefinitions[Equipment Name],MATCH('Measure List'!$D34,Tbl_EquipmentDefinitions[Equipment ID],0))</f>
        <v>Tankless Coil WH</v>
      </c>
      <c r="F34" s="3" t="s">
        <v>234</v>
      </c>
      <c r="G34" s="11" t="str">
        <f>INDEX(Tbl_EquipmentDefinitions[Function],MATCH('Measure List'!$D34,Tbl_EquipmentDefinitions[Equipment ID],0))</f>
        <v>HW</v>
      </c>
      <c r="H34" s="3" t="s">
        <v>111</v>
      </c>
      <c r="I34" s="3" t="s">
        <v>71</v>
      </c>
      <c r="J34" s="11" t="str">
        <f>INDEX(Tbl_EquipmentDefinitions[Equipment Name],MATCH('Measure List'!$I34,Tbl_EquipmentDefinitions[Equipment ID],0))</f>
        <v>Gas On-Demand WH</v>
      </c>
      <c r="K34" s="11">
        <f>INDEX(Tbl_EquipmentDefinitions[],MATCH(Tbl_MeasureList[[#This Row],[Replacement ID]],Tbl_EquipmentDefinitions[[Equipment ID]:[Equipment ID]],0),MATCH(Tbl_MeasureList[[#Headers],[New Unit Equipment Life (years)]],Tbl_EquipmentDefinitions[#Headers],0))</f>
        <v>19</v>
      </c>
      <c r="L34" s="11">
        <f>INDEX(Tbl_EquipmentDefinitions[],MATCH(Tbl_MeasureList[[#This Row],[Baseline Equipment ID]],Tbl_EquipmentDefinitions[[Equipment ID]:[Equipment ID]],0),MATCH(Tbl_MeasureList[[#Headers],[Remaining Life for Early Replacement (years)]],Tbl_EquipmentDefinitions[#Headers],0))</f>
        <v>7</v>
      </c>
      <c r="M34" s="12" t="str">
        <f>INDEX(Tbl_EquipmentDefinitions[Function],MATCH('Measure List'!$I34,Tbl_EquipmentDefinitions[Equipment ID],0))</f>
        <v>HW</v>
      </c>
      <c r="N34" s="368" t="s">
        <v>118</v>
      </c>
      <c r="O34" s="14" t="str">
        <f t="shared" si="0"/>
        <v>OK</v>
      </c>
      <c r="P34" s="12" t="str">
        <f ca="1">IFERROR(INDIRECT(Tbl_MeasureList[[#This Row],[Measure ID]]&amp;"!D5"),"No tab")</f>
        <v>3. Ready</v>
      </c>
      <c r="Q34" s="11"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Oil</v>
      </c>
      <c r="R34" s="12"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v>
      </c>
      <c r="S34" s="11"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Natural Gas</v>
      </c>
      <c r="T34" s="247"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v>
      </c>
      <c r="U34" s="248">
        <f>INDEX(Tbl_BaselineSummary[Baseline Annual Energy Cost (USD)],MATCH(Tbl_MeasureList[[#This Row],[Baseline ID]],Tbl_BaselineSummary[Baseline ID],0))</f>
        <v>416.26168673540514</v>
      </c>
      <c r="V34" s="249">
        <f>INDEX(Tbl_BaselineSummary[Baseline Electric Annual Consumption  (kWh)],MATCH(Tbl_MeasureList[[#This Row],[Baseline ID]],Tbl_BaselineSummary[Baseline ID],0))</f>
        <v>0</v>
      </c>
      <c r="W34" s="249" t="str">
        <f>INDEX(Tbl_BaselineSummary[Baseline Electric Winter Consumption (kWh)],MATCH(Tbl_MeasureList[[#This Row],[Baseline ID]],Tbl_BaselineSummary[Baseline ID],0))</f>
        <v>n/a</v>
      </c>
      <c r="X34" s="249" t="str">
        <f>INDEX(Tbl_BaselineSummary[Baseline Electric Summer Consumption (kWh)],MATCH(Tbl_MeasureList[[#This Row],[Baseline ID]],Tbl_BaselineSummary[Baseline ID],0))</f>
        <v>n/a</v>
      </c>
      <c r="Y34" s="250">
        <f>INDEX(Tbl_BaselineSummary[Baseline Electric Baseline Winter Peak Demand (kW)],MATCH(Tbl_MeasureList[[#This Row],[Baseline ID]],Tbl_BaselineSummary[Baseline ID],0))</f>
        <v>0</v>
      </c>
      <c r="Z34" s="452">
        <f>INDEX(Tbl_BaselineSummary[Baseline Electric Baseline Summer Peak Demand (kW)],MATCH(Tbl_MeasureList[[#This Row],[Baseline ID]],Tbl_BaselineSummary[Baseline ID],0))</f>
        <v>0</v>
      </c>
      <c r="AA34" s="458">
        <f>INDEX(Tbl_BaselineSummary[Baseline Natural Gas Annual Consumption  (therms)],MATCH(Tbl_MeasureList[[#This Row],[Baseline ID]],Tbl_BaselineSummary[Baseline ID],0))</f>
        <v>0</v>
      </c>
      <c r="AB34" s="455">
        <f>INDEX(Tbl_BaselineSummary[Baseline Propane Annual Consumption  (MMBtu)],MATCH(Tbl_MeasureList[[#This Row],[Baseline ID]],Tbl_BaselineSummary[Baseline ID],0))</f>
        <v>0</v>
      </c>
      <c r="AC34" s="252">
        <f>INDEX(Tbl_BaselineSummary[Baseline Oil Annual Consumption  (MMBtu)],MATCH(Tbl_MeasureList[[#This Row],[Baseline ID]],Tbl_BaselineSummary[Baseline ID],0))</f>
        <v>18.533333333333335</v>
      </c>
      <c r="AD34" s="371">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18.533333333333335</v>
      </c>
      <c r="AE34" s="460">
        <f>(lbCO2_per_Therm_Gas*Tbl_MeasureList[[#This Row],[Baseline Natural Gas Annual Consumption (therms/yr)]]+lbCO2_per_MMBtu_Prop*Tbl_MeasureList[[#This Row],[Baseline Propane Annual Consumption (MMBtu/yr)]]+lbCO2_per_MMBtu_Oil*Tbl_MeasureList[[#This Row],[Baseline Oil Annual Consumption (MMBtu/yr)]])*Lbs_per_ShortTon</f>
        <v>1.4947133333333336</v>
      </c>
      <c r="AF34" s="463">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1.4947133333333336</v>
      </c>
      <c r="AG34" s="465">
        <f>INDEX(Tbl_BaselineSummary[Code Annual Energy Cost (USD)],MATCH(Tbl_MeasureList[[#This Row],[Baseline ID]],Tbl_BaselineSummary[Baseline ID],0))</f>
        <v>371.66222029946886</v>
      </c>
      <c r="AH34" s="468">
        <f>INDEX(Tbl_BaselineSummary[Deferred Replacement Credit (USD)],MATCH(Tbl_MeasureList[[#This Row],[Baseline ID]],Tbl_BaselineSummary[Baseline ID],0))</f>
        <v>350.93874836025759</v>
      </c>
      <c r="AI34" s="201">
        <f>INDEX(Tbl_BaselineSummary[A/C-only Deferred Replacement Credit (USD)],MATCH(Tbl_MeasureList[[#This Row],[Baseline ID]],Tbl_BaselineSummary[Baseline ID],0))</f>
        <v>0</v>
      </c>
      <c r="AJ34" s="468">
        <f>INDEX(Tbl_BaselineSummary[Code Installed Costs (USD)],MATCH(Tbl_MeasureList[[#This Row],[Baseline ID]],Tbl_BaselineSummary[Baseline ID],0))</f>
        <v>600</v>
      </c>
      <c r="AK34" s="201">
        <f>INDEX(Tbl_BaselineSummary[Code A/C-only Installed Cost (USD)],MATCH(Tbl_MeasureList[[#This Row],[Baseline ID]],Tbl_BaselineSummary[Baseline ID],0))</f>
        <v>0</v>
      </c>
      <c r="AL34" s="86">
        <f>INDEX(Tbl_BaselineSummary[Code Electric Annual Consumption (kWh)],MATCH(Tbl_MeasureList[[#This Row],[Baseline ID]],Tbl_BaselineSummary[Baseline ID],0))</f>
        <v>0</v>
      </c>
      <c r="AM34" s="86" t="str">
        <f>INDEX(Tbl_BaselineSummary[Code Electric Winter Consumption (kWh)],MATCH(Tbl_MeasureList[[#This Row],[Baseline ID]],Tbl_BaselineSummary[Baseline ID],0))</f>
        <v>n/a</v>
      </c>
      <c r="AN34" s="86" t="str">
        <f>INDEX(Tbl_BaselineSummary[Code Electric Summer Consumption (kWh)],MATCH(Tbl_MeasureList[[#This Row],[Baseline ID]],Tbl_BaselineSummary[Baseline ID],0))</f>
        <v>n/a</v>
      </c>
      <c r="AO34" s="152">
        <f>INDEX(Tbl_BaselineSummary[Code Electric Winter Peak Demand (kW)],MATCH(Tbl_MeasureList[[#This Row],[Baseline ID]],Tbl_BaselineSummary[Baseline ID],0))</f>
        <v>0</v>
      </c>
      <c r="AP34" s="470">
        <f>INDEX(Tbl_BaselineSummary[Code Electric Summer Peak Demand (kW)],MATCH(Tbl_MeasureList[[#This Row],[Baseline ID]],Tbl_BaselineSummary[Baseline ID],0))</f>
        <v>0</v>
      </c>
      <c r="AQ34" s="467">
        <f>INDEX(Tbl_BaselineSummary[Code Natural Gas Annual Consumption (therms)],MATCH(Tbl_MeasureList[[#This Row],[Baseline ID]],Tbl_BaselineSummary[Baseline ID],0))</f>
        <v>0</v>
      </c>
      <c r="AR34" s="472">
        <f>INDEX(Tbl_BaselineSummary[Code Propane Annual Consumption (MMBtu)],MATCH(Tbl_MeasureList[[#This Row],[Baseline ID]],Tbl_BaselineSummary[Baseline ID],0))</f>
        <v>0</v>
      </c>
      <c r="AS34" s="467">
        <f>INDEX(Tbl_BaselineSummary[Code Oil Annual Consumption (MMBtu)],MATCH(Tbl_MeasureList[[#This Row],[Baseline ID]],Tbl_BaselineSummary[Baseline ID],0))</f>
        <v>16.547619047619047</v>
      </c>
      <c r="AT34" s="204">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16.547619047619047</v>
      </c>
      <c r="AU34" s="467">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1.3345654761904764</v>
      </c>
      <c r="AV34" s="474">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1.3345654761904764</v>
      </c>
      <c r="AW34" s="248">
        <f ca="1">INDIRECT(Tbl_MeasureList[[#This Row],[Measure ID]]&amp;"!L26")</f>
        <v>286.03451000000001</v>
      </c>
      <c r="AX34" s="477">
        <f ca="1">INDIRECT(Tbl_MeasureList[[#This Row],[Measure ID]]&amp;"!M26")</f>
        <v>8453</v>
      </c>
      <c r="AY34" s="481">
        <f ca="1">INDIRECT(Tbl_MeasureList[[#This Row],[Measure ID]]&amp;"!D26")</f>
        <v>29.2</v>
      </c>
      <c r="AZ34" s="481" t="str">
        <f ca="1">INDIRECT(Tbl_MeasureList[[#This Row],[Measure ID]]&amp;"!J26")</f>
        <v>n/a</v>
      </c>
      <c r="BA34" s="481" t="str">
        <f ca="1">INDIRECT(Tbl_MeasureList[[#This Row],[Measure ID]]&amp;"!I26")</f>
        <v>n/a</v>
      </c>
      <c r="BB34" s="479">
        <f ca="1">INDIRECT(Tbl_MeasureList[[#This Row],[Measure ID]]&amp;"!E26")</f>
        <v>1.1527832609553888E-2</v>
      </c>
      <c r="BC34" s="268">
        <f ca="1">INDIRECT(Tbl_MeasureList[[#This Row],[Measure ID]]&amp;"!H26")</f>
        <v>5.4180813264903269E-3</v>
      </c>
      <c r="BD34" s="253">
        <f ca="1">INDIRECT(Tbl_MeasureList[[#This Row],[Measure ID]]&amp;"!D32")</f>
        <v>173.75</v>
      </c>
      <c r="BE34" s="270">
        <f ca="1">INDIRECT(Tbl_MeasureList[[#This Row],[Measure ID]]&amp;"!D38")</f>
        <v>0</v>
      </c>
      <c r="BF34" s="253">
        <f ca="1">INDIRECT(Tbl_MeasureList[[#This Row],[Measure ID]]&amp;"!D44")</f>
        <v>0</v>
      </c>
      <c r="BG34" s="460">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17.474630399999999</v>
      </c>
      <c r="BH34" s="371">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1.0164374999999999</v>
      </c>
      <c r="BI34" s="272">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1.0267497719999998</v>
      </c>
      <c r="BJ34" s="273">
        <f ca="1">INDIRECT(Tbl_MeasureList[[#This Row],[Measure ID]]&amp;"!L27")</f>
        <v>263.36627540229892</v>
      </c>
      <c r="BK34" s="201">
        <f ca="1">INDIRECT(Tbl_MeasureList[[#This Row],[Measure ID]]&amp;"!M27")</f>
        <v>9196</v>
      </c>
      <c r="BL34" s="85">
        <f ca="1">INDIRECT(Tbl_MeasureList[[#This Row],[Measure ID]]&amp;"!D27")</f>
        <v>28.6</v>
      </c>
      <c r="BM34" s="85" t="str">
        <f ca="1">INDIRECT(Tbl_MeasureList[[#This Row],[Measure ID]]&amp;"!J27")</f>
        <v>n/a</v>
      </c>
      <c r="BN34" s="85" t="str">
        <f ca="1">INDIRECT(Tbl_MeasureList[[#This Row],[Measure ID]]&amp;"!I27")</f>
        <v>n/a</v>
      </c>
      <c r="BO34" s="152">
        <f ca="1">INDIRECT(Tbl_MeasureList[[#This Row],[Measure ID]]&amp;"!E27")</f>
        <v>1.1290959336754837E-2</v>
      </c>
      <c r="BP34" s="470">
        <f ca="1">INDIRECT(Tbl_MeasureList[[#This Row],[Measure ID]]&amp;"!H27")</f>
        <v>5.306750888274773E-3</v>
      </c>
      <c r="BQ34" s="467">
        <f ca="1">INDIRECT(Tbl_MeasureList[[#This Row],[Measure ID]]&amp;"!D33")</f>
        <v>159.77011494252875</v>
      </c>
      <c r="BR34" s="472">
        <f ca="1">INDIRECT(Tbl_MeasureList[[#This Row],[Measure ID]]&amp;"!D39")</f>
        <v>0</v>
      </c>
      <c r="BS34" s="467">
        <f ca="1">INDIRECT(Tbl_MeasureList[[#This Row],[Measure ID]]&amp;"!D45")</f>
        <v>0</v>
      </c>
      <c r="BT34" s="204">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16.074594694252873</v>
      </c>
      <c r="BU34" s="467">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0.93465517241379314</v>
      </c>
      <c r="BV34" s="260">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0.94475554841379317</v>
      </c>
      <c r="BW34" s="248"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v>
      </c>
      <c r="BX34" s="267"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v>
      </c>
      <c r="BY34"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v>
      </c>
      <c r="BZ34"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v>
      </c>
      <c r="CA34"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v>
      </c>
      <c r="CB34" s="268"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v>
      </c>
      <c r="CC34" s="268"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v>
      </c>
      <c r="CD34" s="269"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v>
      </c>
      <c r="CE34" s="270"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v>
      </c>
      <c r="CF34" s="253"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v>
      </c>
      <c r="CG34" s="460" t="str">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v>
      </c>
      <c r="CH34" s="371"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v>
      </c>
      <c r="CI34" s="260"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v>
      </c>
      <c r="CJ34" s="320">
        <f ca="1">-Tbl_MeasureList[[#This Row],[Low Measure Energy Cost (USD/yr)]]+Tbl_MeasureList[[#This Row],[Baseline Energy Cost (USD/yr)]]</f>
        <v>152.89541133310621</v>
      </c>
      <c r="CK34"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8845.0612516397432</v>
      </c>
      <c r="CL34" s="249">
        <f ca="1">-Tbl_MeasureList[[#This Row],[Low Measure Electric Annual Consumption (kWh/yr)]]+Tbl_MeasureList[[#This Row],[Baseline Electric Annual Consumption (kWh/yr)]]</f>
        <v>-28.6</v>
      </c>
      <c r="CM34" s="249" t="str">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v>
      </c>
      <c r="CN34" s="249" t="str">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v>
      </c>
      <c r="CO34" s="268">
        <f ca="1">-Tbl_MeasureList[[#This Row],[Low Measure Electric Winter Peak Demand (kW)]]+Tbl_MeasureList[[#This Row],[Baseline Electric Winter Peak Demand (kW)]]</f>
        <v>-1.1290959336754837E-2</v>
      </c>
      <c r="CP34" s="479">
        <f ca="1">-Tbl_MeasureList[[#This Row],[Low Measure Electric Summer Peak Demand (kW)]]+Tbl_MeasureList[[#This Row],[Baseline Electric Summer Peak Demand (kW)]]</f>
        <v>-5.306750888274773E-3</v>
      </c>
      <c r="CQ34" s="481">
        <f ca="1">-Tbl_MeasureList[[#This Row],[Low Measure Natural Gas Annual Consumption (therms/yr)]]+Tbl_MeasureList[[#This Row],[Baseline Natural Gas Annual Consumption (therms/yr)]]</f>
        <v>-159.77011494252875</v>
      </c>
      <c r="CR34" s="490">
        <f ca="1">-Tbl_MeasureList[[#This Row],[Low Measure Propane Annual Consumption (MMBtu/yr)]]+Tbl_MeasureList[[#This Row],[Baseline Propane Annual Consumption (MMBtu/yr)]]</f>
        <v>0</v>
      </c>
      <c r="CS34" s="252">
        <f ca="1">-Tbl_MeasureList[[#This Row],[Low Measure Oil Annual Consumption (MMBtu/yr)]]+Tbl_MeasureList[[#This Row],[Baseline Oil Annual Consumption (MMBtu/yr)]]</f>
        <v>18.533333333333335</v>
      </c>
      <c r="CT34"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2.4587386390804618</v>
      </c>
      <c r="CU34" s="487">
        <f ca="1">-Tbl_MeasureList[[#This Row],[Low Measure Carbon Emissions, Site (tons CO2/yr)]]+Tbl_MeasureList[[#This Row],[Baseline Carbon Emissions, Site (tons CO2/yr)]]</f>
        <v>0.56005816091954042</v>
      </c>
      <c r="CV34" s="491">
        <f ca="1">-Tbl_MeasureList[[#This Row],[Low Measure Carbon Emissions, Source (tons CO2/yr)]]+Tbl_MeasureList[[#This Row],[Baseline Carbon Emissions, Source (tons CO2/yr)]]</f>
        <v>0.54995778491954039</v>
      </c>
      <c r="CW34" s="48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v>
      </c>
      <c r="CX34" s="477"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v>
      </c>
      <c r="CY34"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v>
      </c>
      <c r="CZ34"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v>
      </c>
      <c r="DA34"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v>
      </c>
      <c r="DB34" s="47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v>
      </c>
      <c r="DC34" s="268"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v>
      </c>
      <c r="DD34" s="26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v>
      </c>
      <c r="DE34" s="270"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v>
      </c>
      <c r="DF34" s="25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v>
      </c>
      <c r="DG34" s="270" t="str">
        <f>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v>
      </c>
      <c r="DH34" s="38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v>
      </c>
      <c r="DI34" s="321"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v>
      </c>
      <c r="DJ34" s="320">
        <f ca="1">-Tbl_MeasureList[[#This Row],[Low Measure Energy Cost (USD/yr)]]+Tbl_MeasureList[[#This Row],[Code (old fuel) Energy Cost (USD/yr)]]</f>
        <v>108.29594489716993</v>
      </c>
      <c r="DK34" s="267">
        <f ca="1">Tbl_MeasureList[[#This Row],[Low Measure Installed Costs (USD)]]-Tbl_MeasureList[[#This Row],[Code (old fuel) Installed Costs (USD)]]</f>
        <v>8596</v>
      </c>
      <c r="DL34" s="249">
        <f ca="1">-Tbl_MeasureList[[#This Row],[Low Measure Electric Annual Consumption (kWh/yr)]]+Tbl_MeasureList[[#This Row],[Code (old fuel) Electric Annual Consumption (kWh/yr)]]</f>
        <v>-28.6</v>
      </c>
      <c r="DM34" s="249" t="str">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v>
      </c>
      <c r="DN34" s="249" t="str">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v>
      </c>
      <c r="DO34" s="268">
        <f ca="1">-Tbl_MeasureList[[#This Row],[Low Measure Electric Winter Peak Demand (kW)]]+Tbl_MeasureList[[#This Row],[Code (old fuel) Electric Winter Peak Demand (kW)]]</f>
        <v>-1.1290959336754837E-2</v>
      </c>
      <c r="DP34" s="479">
        <f ca="1">-Tbl_MeasureList[[#This Row],[Low Measure Electric Summer Peak Demand (kW)]]+Tbl_MeasureList[[#This Row],[Code (old fuel) Electric Summer Peak Demand (kW)]]</f>
        <v>-5.306750888274773E-3</v>
      </c>
      <c r="DQ34" s="481">
        <f ca="1">-Tbl_MeasureList[[#This Row],[Low Measure Natural Gas Annual Consumption (therms/yr)]]+Tbl_MeasureList[[#This Row],[Code (old fuel) Natural Gas Annual Consumption (therms/yr)]]</f>
        <v>-159.77011494252875</v>
      </c>
      <c r="DR34" s="490">
        <f ca="1">-Tbl_MeasureList[[#This Row],[Low Measure Propane Annual Consumption (MMBtu/yr)]]+Tbl_MeasureList[[#This Row],[Code (old fuel) Propane Annual Consumption (MMBtu/yr)]]</f>
        <v>0</v>
      </c>
      <c r="DS34" s="252">
        <f ca="1">-Tbl_MeasureList[[#This Row],[Low Measure Oil Annual Consumption (MMBtu/yr)]]+Tbl_MeasureList[[#This Row],[Code (old fuel) Oil Annual Consumption (MMBtu/yr)]]</f>
        <v>16.547619047619047</v>
      </c>
      <c r="DT34"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0.47302435336617421</v>
      </c>
      <c r="DU34" s="487">
        <f ca="1">-Tbl_MeasureList[[#This Row],[Low Measure Carbon Emissions, Site (tons CO2/yr)]]+Tbl_MeasureList[[#This Row],[Code (old fuel) Carbon Emissions, Site (tons CO2/yr)]]</f>
        <v>0.39991030377668324</v>
      </c>
      <c r="DV34" s="491">
        <f ca="1">-Tbl_MeasureList[[#This Row],[Low Measure Carbon Emissions, Source (tons CO2/yr)]]+Tbl_MeasureList[[#This Row],[Code (old fuel) Carbon Emissions, Source (tons CO2/yr)]]</f>
        <v>0.38980992777668322</v>
      </c>
      <c r="DW34" s="48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(old fuel) Energy Cost (USD/yr)]],
        "-")</f>
        <v>-</v>
      </c>
      <c r="DX34" s="477"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v>
      </c>
      <c r="DY34"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v>
      </c>
      <c r="DZ34"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v>
      </c>
      <c r="EA34"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v>
      </c>
      <c r="EB34" s="47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v>
      </c>
      <c r="EC34" s="268"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v>
      </c>
      <c r="ED34" s="26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v>
      </c>
      <c r="EE34" s="270"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v>
      </c>
      <c r="EF34" s="25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v>
      </c>
      <c r="EG34" s="270" t="str">
        <f>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v>
      </c>
      <c r="EH34" s="38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v>
      </c>
      <c r="EI34" s="321"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v>
      </c>
      <c r="EJ34" s="477">
        <f ca="1">Tbl_MeasureList[[#This Row],[Code (old fuel) Energy Cost (USD/yr)]]-Tbl_MeasureList[[#This Row],[Code (new fuel) Energy Cost (USD/yr)]]</f>
        <v>85.627710299468845</v>
      </c>
      <c r="EK34" s="496">
        <f ca="1">Tbl_MeasureList[[#This Row],[Code (old fuel) Electric Annual Consumption (kWh/yr)]]-Tbl_MeasureList[[#This Row],[Code (new fuel) Electric Annual Consumption (kWh/yr)]]</f>
        <v>-29.2</v>
      </c>
      <c r="EL34" s="496" t="str">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v>
      </c>
      <c r="EM34" s="496" t="str">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v>
      </c>
      <c r="EN34" s="500">
        <f ca="1">Tbl_MeasureList[[#This Row],[Code (old fuel) Electric Winter Peak Demand (kW)]]-Tbl_MeasureList[[#This Row],[Code (new fuel) Electric Winter Peak Demand (kW)]]</f>
        <v>-1.1527832609553888E-2</v>
      </c>
      <c r="EO34" s="493">
        <f ca="1">Tbl_MeasureList[[#This Row],[Code (old fuel) Electric Summer Peak Demand (kW)]]-Tbl_MeasureList[[#This Row],[Code (new fuel) Electric Summer Peak Demand (kW)]]</f>
        <v>-5.4180813264903269E-3</v>
      </c>
      <c r="EP34" s="502">
        <f ca="1">Tbl_MeasureList[[#This Row],[Code (old fuel) Natural Gas Annual Consumption (therms/yr)]]-Tbl_MeasureList[[#This Row],[Code (new fuel) Natural Gas Annual Consumption (therms/yr)]]</f>
        <v>-173.75</v>
      </c>
      <c r="EQ34" s="215">
        <f ca="1">Tbl_MeasureList[[#This Row],[Code (old fuel) Propane Annual Consumption (MMBtu/yr)]]-Tbl_MeasureList[[#This Row],[Code (new fuel) Propane Annual Consumption (MMBtu/yr)]]</f>
        <v>0</v>
      </c>
      <c r="ER34" s="502">
        <f ca="1">Tbl_MeasureList[[#This Row],[Code (old fuel) Oil Annual Consumption (MMBtu/yr)]]-Tbl_MeasureList[[#This Row],[Code (new fuel) Oil Annual Consumption (MMBtu/yr)]]</f>
        <v>16.547619047619047</v>
      </c>
      <c r="ES34" s="215">
        <f ca="1">Tbl_MeasureList[[#This Row],[Code (old fuel) Energy Consumption on MMBtu Basis (MMBtu/yr)]]-Tbl_MeasureList[[#This Row],[Code (new fuel) Energy Consumption on MMBtu Basis (MMBtu/yr)]]</f>
        <v>-0.92701135238095134</v>
      </c>
      <c r="ET34" s="502">
        <f ca="1">Tbl_MeasureList[[#This Row],[Code (old fuel) Carbon Emissions, Site (tons CO2/yr)]]-Tbl_MeasureList[[#This Row],[Code (new fuel) Carbon Emissions, Site (tons CO2/yr)]]</f>
        <v>0.3181279761904765</v>
      </c>
      <c r="EU34" s="498">
        <f ca="1">Tbl_MeasureList[[#This Row],[Code (old fuel) Carbon Emissions, Source (tons CO2/yr)]]-Tbl_MeasureList[[#This Row],[Code (new fuel) Carbon Emissions, Source (tons CO2/yr)]]</f>
        <v>0.30781570419047655</v>
      </c>
      <c r="EV34" s="450">
        <f ca="1">Tbl_MeasureList[[#This Row],[ER Total Low Measure Electric Annual Consumption Savings (kWh/yr)]]*COAL_BTU_PER_SITE_KWH/Btu_per_MMBtu</f>
        <v>-3.1480836273456441E-3</v>
      </c>
      <c r="EW34" s="411">
        <f ca="1">Tbl_MeasureList[[#This Row],[ER Total Low Measure Electric Annual Consumption Savings (kWh/yr)]]*COAL_LBS_PER_SITE_KWH</f>
        <v>-0.27614768660926703</v>
      </c>
      <c r="EX34" s="326">
        <f ca="1">Tbl_MeasureList[[#This Row],[ER Total Low Measure Electric Annual Consumption Savings (kWh/yr)]]*OIL_BTU_PER_SITE_KWH/Btu_per_MMBtu</f>
        <v>-3.6240561253792461E-3</v>
      </c>
      <c r="EY34" s="325">
        <f ca="1">Tbl_MeasureList[[#This Row],[ER Total Low Measure Electric Annual Consumption Savings (kWh/yr)]]*OIL_GAL_PER_SITE_KWH</f>
        <v>-2.6271746894626451E-2</v>
      </c>
      <c r="EZ34" s="326">
        <f ca="1">Tbl_MeasureList[[#This Row],[ER Total Low Measure Oil Annual Consumption Savings (MMBtu/yr)]]*Btu_per_MMBtu/OIL_BTU_PER_GAL</f>
        <v>134.3530634189955</v>
      </c>
      <c r="FA34" s="325">
        <f ca="1">Tbl_MeasureList[[#This Row],[Current ER Total Low Measure Oil Source Fuel Savings (gallons oil/year)]]+Tbl_MeasureList[[#This Row],[Current ER Total Low Measure Oil Site Fuel Savings (gallons oil/year)]]</f>
        <v>134.32679167210088</v>
      </c>
      <c r="FB34" s="326">
        <f ca="1">Tbl_MeasureList[[#This Row],[ER Total Low Measure Electric Annual Consumption Savings (kWh/yr)]]*GAS_BTU_PER_SITE_KWH/Btu_per_MMBtu</f>
        <v>-0.11703494280120287</v>
      </c>
      <c r="FC34" s="327">
        <f ca="1">Tbl_MeasureList[[#This Row],[ER Total Low Measure Electric Annual Consumption Savings (kWh/yr)]]*GAS_CUFT_PER_SITE_KWH/1000</f>
        <v>-0.11373658192536722</v>
      </c>
      <c r="FD34" s="328">
        <f ca="1">Tbl_MeasureList[[#This Row],[ER Total Low Measure Natural Gas Annual Consumption Savings (therms/yr)]]*Btu_per_MMBtu/(GAS_BTU_PER_CUFT*Therm_per_MMBtu*1000)</f>
        <v>-15.526736146018344</v>
      </c>
      <c r="FE34" s="329">
        <f ca="1">Tbl_MeasureList[[#This Row],[Current ER Total Low Measure Gas Source Fuel Savings (1,000 cu.ft. gas/year)]]+Tbl_MeasureList[[#This Row],[Current ER Total Low Measure Gas Site Fuel Savings (1,000 cu.ft gas/year)]]</f>
        <v>-15.640472727943711</v>
      </c>
      <c r="FF34" s="324" t="str">
        <f>IFERROR(Tbl_MeasureList[[#This Row],[ER Total High Measure Electric Annual Consumption Savings (kWh/yr)]]*COAL_BTU_PER_SITE_KWH/Btu_per_MMBtu,"-")</f>
        <v>-</v>
      </c>
      <c r="FG34" s="325" t="str">
        <f>IFERROR(Tbl_MeasureList[[#This Row],[ER Total High Measure Electric Annual Consumption Savings (kWh/yr)]]*COAL_LBS_PER_SITE_KWH,"-")</f>
        <v>-</v>
      </c>
      <c r="FH34" s="326" t="str">
        <f>IFERROR(Tbl_MeasureList[[#This Row],[ER Total High Measure Electric Annual Consumption Savings (kWh/yr)]]*OIL_BTU_PER_SITE_KWH/Btu_per_MMBtu,"-")</f>
        <v>-</v>
      </c>
      <c r="FI34" s="325" t="str">
        <f>IFERROR(Tbl_MeasureList[[#This Row],[ER Total High Measure Electric Annual Consumption Savings (kWh/yr)]]*OIL_GAL_PER_SITE_KWH,"-")</f>
        <v>-</v>
      </c>
      <c r="FJ34" s="326" t="str">
        <f>IFERROR(Tbl_MeasureList[[#This Row],[ER Total High Measure Oil Annual Consumption Savings (MMBtu/yr)]]*Btu_per_MMBtu/OIL_BTU_PER_GAL,"-")</f>
        <v>-</v>
      </c>
      <c r="FK34" s="325" t="str">
        <f>IFERROR(Tbl_MeasureList[[#This Row],[Current ER Total High Measure Oil Source Fuel Savings (gallons oil/year)]]+Tbl_MeasureList[[#This Row],[Current ER Total High Measure Oil Site Fuel Savings (gallons oil/year)]],"-")</f>
        <v>-</v>
      </c>
      <c r="FL34" s="326" t="str">
        <f>IFERROR(Tbl_MeasureList[[#This Row],[ER Total High Measure Electric Annual Consumption Savings (kWh/yr)]]*GAS_BTU_PER_SITE_KWH/Btu_per_MMBtu,"-")</f>
        <v>-</v>
      </c>
      <c r="FM34" s="327" t="str">
        <f>IFERROR(Tbl_MeasureList[[#This Row],[ER Total High Measure Electric Annual Consumption Savings (kWh/yr)]]*GAS_CUFT_PER_SITE_KWH/1000,"-")</f>
        <v>-</v>
      </c>
      <c r="FN34" s="328" t="str">
        <f>IFERROR(Tbl_MeasureList[[#This Row],[ER Total High Measure Natural Gas Annual Consumption Savings (therms/yr)]]*Btu_per_MMBtu/(GAS_BTU_PER_CUFT*Therm_per_MMBtu*1000),"-")</f>
        <v>-</v>
      </c>
      <c r="FO34" s="329" t="str">
        <f>IFERROR(Tbl_MeasureList[[#This Row],[Current ER Total High Measure Gas Source Fuel Savings (1,000 cu.ft. gas/year)]]+Tbl_MeasureList[[#This Row],[Current ER Total High Measure Gas Site Fuel Savings (1,000 cu.ft gas/year)]],"-")</f>
        <v>-</v>
      </c>
      <c r="FP34" s="412">
        <f ca="1">Tbl_MeasureList[[#This Row],[ROF Low Measure Electric Annual Consumption Savings (kWh/yr)]]*COAL_BTU_PER_SITE_KWH/Btu_per_MMBtu</f>
        <v>-3.1480836273456441E-3</v>
      </c>
      <c r="FQ34" s="327">
        <f ca="1">Tbl_MeasureList[[#This Row],[ROF Low Measure Electric Annual Consumption Savings (kWh/yr)]]*COAL_LBS_PER_SITE_KWH</f>
        <v>-0.27614768660926703</v>
      </c>
      <c r="FR34" s="412">
        <f ca="1">Tbl_MeasureList[[#This Row],[ROF Low Measure Electric Annual Consumption Savings (kWh/yr)]]*OIL_BTU_PER_SITE_KWH/Btu_per_MMBtu</f>
        <v>-3.6240561253792461E-3</v>
      </c>
      <c r="FS34" s="327">
        <f ca="1">Tbl_MeasureList[[#This Row],[ROF Low Measure Electric Annual Consumption Savings (kWh/yr)]]*OIL_GAL_PER_SITE_KWH</f>
        <v>-2.6271746894626451E-2</v>
      </c>
      <c r="FT34" s="412">
        <f ca="1">Tbl_MeasureList[[#This Row],[ROF Low Measure Oil Annual Consumption Savings (MMBtu/yr)]]*Btu_per_MMBtu/OIL_BTU_PER_GAL</f>
        <v>119.95809233838882</v>
      </c>
      <c r="FU34" s="327">
        <f ca="1">Tbl_MeasureList[[#This Row],[Current ROF Low Measure Oil Source Fuel Savings (gallons oil/year)]]+Tbl_MeasureList[[#This Row],[Current ROF Low Measure Oil Site Fuel Savings (gallons oil/year)]]</f>
        <v>119.9318205914942</v>
      </c>
      <c r="FV34" s="412">
        <f ca="1">Tbl_MeasureList[[#This Row],[ROF Low Measure Electric Annual Consumption Savings (kWh/yr)]]*GAS_BTU_PER_SITE_KWH/Btu_per_MMBtu</f>
        <v>-0.11703494280120287</v>
      </c>
      <c r="FW34" s="327">
        <f ca="1">Tbl_MeasureList[[#This Row],[ROF Low Measure Electric Annual Consumption Savings (kWh/yr)]]*GAS_CUFT_PER_SITE_KWH/1000</f>
        <v>-0.11373658192536722</v>
      </c>
      <c r="FX34" s="412">
        <f ca="1">Tbl_MeasureList[[#This Row],[ROF Low Measure Natural Gas Annual Consumption Savings (therms/yr)]]*Btu_per_MMBtu/(GAS_BTU_PER_CUFT*Therm_per_MMBtu*1000)</f>
        <v>-15.526736146018344</v>
      </c>
      <c r="FY34" s="327">
        <f ca="1">Tbl_MeasureList[[#This Row],[Current ROF Low Measure Gas Source Fuel Savings (1,000 cu.ft. gas/year)]]+Tbl_MeasureList[[#This Row],[Current ROF Low Measure Gas Site Fuel Savings (1,000 cu.ft gas/year)]]</f>
        <v>-15.640472727943711</v>
      </c>
      <c r="FZ34" s="414" t="str">
        <f>IFERROR(Tbl_MeasureList[[#This Row],[ROF High Measure Electric Annual Consumption Savings (kWh/yr)]]*COAL_BTU_PER_SITE_KWH/Btu_per_MMBtu,"-")</f>
        <v>-</v>
      </c>
      <c r="GA34" s="327" t="str">
        <f>IFERROR(Tbl_MeasureList[[#This Row],[ROF High Measure Electric Annual Consumption Savings (kWh/yr)]]*COAL_LBS_PER_SITE_KWH,"-")</f>
        <v>-</v>
      </c>
      <c r="GB34" s="412" t="str">
        <f>IFERROR(Tbl_MeasureList[[#This Row],[ROF High Measure Electric Annual Consumption Savings (kWh/yr)]]*OIL_BTU_PER_SITE_KWH/Btu_per_MMBtu,"-")</f>
        <v>-</v>
      </c>
      <c r="GC34" s="327" t="str">
        <f>IFERROR(Tbl_MeasureList[[#This Row],[ROF High Measure Electric Annual Consumption Savings (kWh/yr)]]*OIL_GAL_PER_SITE_KWH,"-")</f>
        <v>-</v>
      </c>
      <c r="GD34" s="412" t="str">
        <f>IFERROR(Tbl_MeasureList[[#This Row],[ROF High Measure Oil Annual Consumption Savings (MMBtu/yr)]]*Btu_per_MMBtu/OIL_BTU_PER_GAL,"-")</f>
        <v>-</v>
      </c>
      <c r="GE34" s="327" t="str">
        <f>IFERROR(Tbl_MeasureList[[#This Row],[Current ROF High Measure Oil Source Fuel Savings (gallons oil/year)]]+Tbl_MeasureList[[#This Row],[Current ROF High Measure Oil Site Fuel Savings (gallons oil/year)]],"-")</f>
        <v>-</v>
      </c>
      <c r="GF34" s="412" t="str">
        <f>IFERROR(Tbl_MeasureList[[#This Row],[ROF High Measure Electric Annual Consumption Savings (kWh/yr)]]*GAS_BTU_PER_SITE_KWH/Btu_per_MMBtu,"-")</f>
        <v>-</v>
      </c>
      <c r="GG34" s="327" t="str">
        <f>IFERROR(Tbl_MeasureList[[#This Row],[ROF High Measure Electric Annual Consumption Savings (kWh/yr)]]*GAS_CUFT_PER_SITE_KWH/1000,"-")</f>
        <v>-</v>
      </c>
      <c r="GH34" s="412" t="str">
        <f>IFERROR(Tbl_MeasureList[[#This Row],[ROF High Measure Natural Gas Annual Consumption Savings (therms/yr)]]*Btu_per_MMBtu/(GAS_BTU_PER_CUFT*Therm_per_MMBtu*1000),"-")</f>
        <v>-</v>
      </c>
      <c r="GI34" s="327" t="str">
        <f>IFERROR(Tbl_MeasureList[[#This Row],[Current ROF High Measure Gas Source Fuel Savings (1,000 cu.ft. gas/year)]]+Tbl_MeasureList[[#This Row],[Current ROF High Measure Gas Site Fuel Savings (1,000 cu.ft gas/year)]],"-")</f>
        <v>-</v>
      </c>
      <c r="GJ34" s="324">
        <f ca="1">Tbl_MeasureList[[#This Row],[ER Total Low Measure Electric Annual Consumption Savings (kWh/yr)]]*COAL_BTU_PER_SITE_KWH_CES/Btu_per_MMBtu</f>
        <v>-5.351742166487595E-3</v>
      </c>
      <c r="GK34" s="325">
        <f ca="1">Tbl_MeasureList[[#This Row],[ER Total Low Measure Electric Annual Consumption Savings (kWh/yr)]]*COAL_LBS_PER_SITE_KWH_CES</f>
        <v>-0.48599184221645431</v>
      </c>
      <c r="GL34" s="326">
        <f ca="1">Tbl_MeasureList[[#This Row],[ER Total Low Measure Electric Annual Consumption Savings (kWh/yr)]]*OIL_BTU_PER_SITE_KWH_CES/Btu_per_MMBtu</f>
        <v>-1.6472982388087483E-3</v>
      </c>
      <c r="GM34" s="325">
        <f ca="1">Tbl_MeasureList[[#This Row],[ER Total Low Measure Electric Annual Consumption Savings (kWh/yr)]]*OIL_GAL_PER_SITE_KWH_CES</f>
        <v>-1.11135729626022E-2</v>
      </c>
      <c r="GN34" s="326">
        <f ca="1">Tbl_MeasureList[[#This Row],[ER Total Low Measure Oil Annual Consumption Savings (MMBtu/yr)]]*Btu_per_MMBtu/OIL_BTU_PER_GAL_CES</f>
        <v>125.03598157743237</v>
      </c>
      <c r="GO34" s="325">
        <f ca="1">Tbl_MeasureList[[#This Row],[CES ER Low Measure Oil Source Fuel Savings (gallons oil/year)]]+Tbl_MeasureList[[#This Row],[CES ER Low Measure Oil Site Fuel Savings (gallons oil/year)]]</f>
        <v>125.02486800446977</v>
      </c>
      <c r="GP34" s="326">
        <f ca="1">Tbl_MeasureList[[#This Row],[ER Total Low Measure Electric Annual Consumption Savings (kWh/yr)]]*GAS_BTU_PER_SITE_KWH_CES/Btu_per_MMBtu</f>
        <v>-4.8724751696827322E-2</v>
      </c>
      <c r="GQ34" s="327">
        <f ca="1">Tbl_MeasureList[[#This Row],[ER Total Low Measure Electric Annual Consumption Savings (kWh/yr)]]*GAS_CUFT_PER_SITE_KWH_CES/1000</f>
        <v>-4.7305584171677011E-2</v>
      </c>
      <c r="GR34" s="328">
        <f ca="1">Tbl_MeasureList[[#This Row],[ER Total Low Measure Natural Gas Annual Consumption Savings (therms/yr)]]*Btu_per_MMBtu/(GAS_BTU_PER_CUFT_CES*Therm_per_MMBtu*1000)</f>
        <v>-15.511661644905704</v>
      </c>
      <c r="GS34" s="329">
        <f ca="1">Tbl_MeasureList[[#This Row],[CES ER Low Measure Gas Source Fuel Savings (1,000 cu.ft. gas/year)]]+Tbl_MeasureList[[#This Row],[CES ER Low Measure Gas Site Fuel Savings (1,000 cu.ft gas/year)]]</f>
        <v>-15.558967229077382</v>
      </c>
      <c r="GT34" s="324" t="str">
        <f>IFERROR(Tbl_MeasureList[[#This Row],[ER Total High Measure Electric Annual Consumption Savings (kWh/yr)]]*COAL_BTU_PER_SITE_KWH_CES/Btu_per_MMBtu,"-")</f>
        <v>-</v>
      </c>
      <c r="GU34" s="325" t="str">
        <f>IFERROR(Tbl_MeasureList[[#This Row],[ER Total High Measure Electric Annual Consumption Savings (kWh/yr)]]*COAL_LBS_PER_SITE_KWH_CES,"-")</f>
        <v>-</v>
      </c>
      <c r="GV34" s="326" t="str">
        <f>IFERROR(Tbl_MeasureList[[#This Row],[ER Total High Measure Electric Annual Consumption Savings (kWh/yr)]]*OIL_BTU_PER_SITE_KWH_CES/Btu_per_MMBtu,"-")</f>
        <v>-</v>
      </c>
      <c r="GW34" s="325" t="str">
        <f>IFERROR(Tbl_MeasureList[[#This Row],[ER Total High Measure Electric Annual Consumption Savings (kWh/yr)]]*OIL_GAL_PER_SITE_KWH_CES,"-")</f>
        <v>-</v>
      </c>
      <c r="GX34" s="326" t="str">
        <f>IFERROR(Tbl_MeasureList[[#This Row],[ER Total High Measure Oil Annual Consumption Savings (MMBtu/yr)]]*Btu_per_MMBtu/OIL_BTU_PER_GAL_CES,"-")</f>
        <v>-</v>
      </c>
      <c r="GY34" s="325" t="str">
        <f>IFERROR(Tbl_MeasureList[[#This Row],[CES ER High Measure Oil Source Fuel Savings (gallons oil/year)]]+Tbl_MeasureList[[#This Row],[CES ER High Measure Oil Site Fuel Savings (gallons oil/year)]],"-")</f>
        <v>-</v>
      </c>
      <c r="GZ34" s="326" t="str">
        <f>IFERROR(Tbl_MeasureList[[#This Row],[ER Total High Measure Electric Annual Consumption Savings (kWh/yr)]]*GAS_BTU_PER_SITE_KWH_CES/Btu_per_MMBtu,"-")</f>
        <v>-</v>
      </c>
      <c r="HA34" s="327" t="str">
        <f>IFERROR(Tbl_MeasureList[[#This Row],[ER Total High Measure Electric Annual Consumption Savings (kWh/yr)]]*GAS_CUFT_PER_SITE_KWH_CES/1000,"-")</f>
        <v>-</v>
      </c>
      <c r="HB34" s="328" t="str">
        <f>IFERROR(Tbl_MeasureList[[#This Row],[ER Total High Measure Natural Gas Annual Consumption Savings (therms/yr)]]*Btu_per_MMBtu/(GAS_BTU_PER_CUFT_CES*Therm_per_MMBtu*1000),"-")</f>
        <v>-</v>
      </c>
      <c r="HC34" s="329" t="str">
        <f>IFERROR(Tbl_MeasureList[[#This Row],[CES ER High Measure Gas Source Fuel Savings (1,000 cu.ft. gas/year)]]+Tbl_MeasureList[[#This Row],[CES ER High Measure Gas Site Fuel Savings (1,000 cu.ft gas/year)]],"-")</f>
        <v>-</v>
      </c>
      <c r="HD34" s="315">
        <f ca="1">Tbl_MeasureList[[#This Row],[ROF Low Measure Electric Annual Consumption Savings (kWh/yr)]]*COAL_BTU_PER_SITE_KWH_CES/Btu_per_MMBtu</f>
        <v>-5.351742166487595E-3</v>
      </c>
      <c r="HE34" s="316">
        <f ca="1">Tbl_MeasureList[[#This Row],[ROF Low Measure Electric Annual Consumption Savings (kWh/yr)]]*COAL_LBS_PER_SITE_KWH_CES</f>
        <v>-0.48599184221645431</v>
      </c>
      <c r="HF34" s="317">
        <f ca="1">Tbl_MeasureList[[#This Row],[ROF Low Measure Electric Annual Consumption Savings (kWh/yr)]]*OIL_BTU_PER_SITE_KWH_CES/Btu_per_MMBtu</f>
        <v>-1.6472982388087483E-3</v>
      </c>
      <c r="HG34" s="316">
        <f ca="1">Tbl_MeasureList[[#This Row],[ROF Low Measure Electric Annual Consumption Savings (kWh/yr)]]*OIL_GAL_PER_SITE_KWH_CES</f>
        <v>-1.11135729626022E-2</v>
      </c>
      <c r="HH34" s="317">
        <f ca="1">Tbl_MeasureList[[#This Row],[ROF Low Measure Oil Annual Consumption Savings (MMBtu/yr)]]*Btu_per_MMBtu/OIL_BTU_PER_GAL_CES</f>
        <v>111.63926926556459</v>
      </c>
      <c r="HI34" s="316">
        <f ca="1">Tbl_MeasureList[[#This Row],[CES ROF Low Measure Oil Source Fuel Savings (gallons oil/year)]]+Tbl_MeasureList[[#This Row],[CES ROF Low Measure Oil Site Fuel Savings (gallons oil/year)]]</f>
        <v>111.62815569260199</v>
      </c>
      <c r="HJ34" s="317">
        <f ca="1">Tbl_MeasureList[[#This Row],[ROF Low Measure Electric Annual Consumption Savings (kWh/yr)]]*GAS_BTU_PER_SITE_KWH_CES/Btu_per_MMBtu</f>
        <v>-4.8724751696827322E-2</v>
      </c>
      <c r="HK34" s="316">
        <f ca="1">Tbl_MeasureList[[#This Row],[ROF Low Measure Electric Annual Consumption Savings (kWh/yr)]]*GAS_CUFT_PER_SITE_KWH_CES/1000</f>
        <v>-4.7305584171677011E-2</v>
      </c>
      <c r="HL34" s="317">
        <f ca="1">Tbl_MeasureList[[#This Row],[ROF Low Measure Natural Gas Annual Consumption Savings (therms/yr)]]*Btu_per_MMBtu/(GAS_BTU_PER_CUFT_CES*Therm_per_MMBtu*1000)</f>
        <v>-15.511661644905704</v>
      </c>
      <c r="HM34" s="318">
        <f ca="1">Tbl_MeasureList[[#This Row],[CES ROF Low Measure Gas Source Fuel Savings (1,000 cu.ft. gas/year)]]+Tbl_MeasureList[[#This Row],[CES ROF Low Measure Gas Site Fuel Savings (1,000 cu.ft gas/year)]]</f>
        <v>-15.558967229077382</v>
      </c>
      <c r="HN34" s="315" t="str">
        <f>IFERROR(Tbl_MeasureList[[#This Row],[ROF High Measure Electric Annual Consumption Savings (kWh/yr)]]*COAL_BTU_PER_SITE_KWH_CES/Btu_per_MMBtu,"-")</f>
        <v>-</v>
      </c>
      <c r="HO34" s="316" t="str">
        <f>IFERROR(Tbl_MeasureList[[#This Row],[ROF High Measure Electric Annual Consumption Savings (kWh/yr)]]*COAL_LBS_PER_SITE_KWH_CES,"-")</f>
        <v>-</v>
      </c>
      <c r="HP34" s="317" t="str">
        <f>IFERROR(Tbl_MeasureList[[#This Row],[ROF High Measure Electric Annual Consumption Savings (kWh/yr)]]*OIL_BTU_PER_SITE_KWH_CES/Btu_per_MMBtu,"-")</f>
        <v>-</v>
      </c>
      <c r="HQ34" s="316" t="str">
        <f>IFERROR(Tbl_MeasureList[[#This Row],[ROF High Measure Electric Annual Consumption Savings (kWh/yr)]]*OIL_GAL_PER_SITE_KWH_CES,"-")</f>
        <v>-</v>
      </c>
      <c r="HR34" s="317" t="str">
        <f>IFERROR(Tbl_MeasureList[[#This Row],[ROF High Measure Oil Annual Consumption Savings (MMBtu/yr)]]*Btu_per_MMBtu/OIL_BTU_PER_GAL_CES,"-")</f>
        <v>-</v>
      </c>
      <c r="HS34" s="316" t="str">
        <f>IFERROR(Tbl_MeasureList[[#This Row],[CES ROF High Measure Oil Source Fuel Savings (gallons oil/year)]]+Tbl_MeasureList[[#This Row],[CES ROF High Measure Oil Site Fuel Savings (gallons oil/year)]],"-")</f>
        <v>-</v>
      </c>
      <c r="HT34" s="317" t="str">
        <f>IFERROR(Tbl_MeasureList[[#This Row],[ROF High Measure Electric Annual Consumption Savings (kWh/yr)]]*GAS_BTU_PER_SITE_KWH_CES/Btu_per_MMBtu,"-")</f>
        <v>-</v>
      </c>
      <c r="HU34" s="316" t="str">
        <f>IFERROR(Tbl_MeasureList[[#This Row],[ROF High Measure Electric Annual Consumption Savings (kWh/yr)]]*GAS_CUFT_PER_SITE_KWH_CES/1000,"-")</f>
        <v>-</v>
      </c>
      <c r="HV34" s="317" t="str">
        <f>IFERROR(Tbl_MeasureList[[#This Row],[ROF High Measure Natural Gas Annual Consumption Savings (therms/yr)]]*Btu_per_MMBtu/(GAS_BTU_PER_CUFT_CES*Therm_per_MMBtu*1000),"-")</f>
        <v>-</v>
      </c>
      <c r="HW34" s="318" t="str">
        <f>IFERROR(Tbl_MeasureList[[#This Row],[CES ROF High Measure Gas Source Fuel Savings (1,000 cu.ft. gas/year)]]+Tbl_MeasureList[[#This Row],[CES ROF High Measure Gas Site Fuel Savings (1,000 cu.ft gas/year)]],"-")</f>
        <v>-</v>
      </c>
      <c r="HX34" s="248">
        <f>Tbl_MeasureList[[#This Row],[Baseline Energy Cost (USD/yr)]]-Tbl_MeasureList[[#This Row],[Code (old fuel) Energy Cost (USD/yr)]]</f>
        <v>44.599466435936279</v>
      </c>
      <c r="HY34" s="201">
        <f>0</f>
        <v>0</v>
      </c>
      <c r="HZ34" s="86">
        <f>Tbl_MeasureList[[#This Row],[Baseline Electric Annual Consumption (kWh/yr)]]-Tbl_MeasureList[[#This Row],[Code (old fuel) Electric Annual Consumption (kWh/yr)]]</f>
        <v>0</v>
      </c>
      <c r="IA34" s="86" t="str">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v>
      </c>
      <c r="IB34" s="86" t="str">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v>
      </c>
      <c r="IC34" s="152">
        <f>Tbl_MeasureList[[#This Row],[Baseline Electric Winter Peak Demand (kW)]]-Tbl_MeasureList[[#This Row],[Code (old fuel) Electric Winter Peak Demand (kW)]]</f>
        <v>0</v>
      </c>
      <c r="ID34" s="152">
        <f>Tbl_MeasureList[[#This Row],[Baseline Electric Summer Peak Demand (kW)]]-Tbl_MeasureList[[#This Row],[Code (old fuel) Electric Summer Peak Demand (kW)]]</f>
        <v>0</v>
      </c>
      <c r="IE34" s="251">
        <f>Tbl_MeasureList[[#This Row],[Baseline Natural Gas Annual Consumption (therms/yr)]]-Tbl_MeasureList[[#This Row],[Code (old fuel) Natural Gas Annual Consumption (therms/yr)]]</f>
        <v>0</v>
      </c>
      <c r="IF34" s="252">
        <f>Tbl_MeasureList[[#This Row],[Baseline Propane Annual Consumption (MMBtu/yr)]]-Tbl_MeasureList[[#This Row],[Code (old fuel) Propane Annual Consumption (MMBtu/yr)]]</f>
        <v>0</v>
      </c>
      <c r="IG34" s="253">
        <f>Tbl_MeasureList[[#This Row],[Baseline Oil Annual Consumption (MMBtu/yr)]]-Tbl_MeasureList[[#This Row],[Code (old fuel) Oil Annual Consumption (MMBtu/yr)]]</f>
        <v>1.9857142857142875</v>
      </c>
      <c r="IH34" s="371">
        <f>Tbl_MeasureList[[#This Row],[Baseline Energy Consumption on MMBtu Basis (MMBtu/yr)]]-Tbl_MeasureList[[#This Row],[Code (old fuel) Energy Consumption on MMBtu Basis (MMBtu/yr)]]</f>
        <v>1.9857142857142875</v>
      </c>
      <c r="II34" s="371">
        <f>Tbl_MeasureList[[#This Row],[Baseline Carbon Emissions, Site (tons CO2/yr)]]-Tbl_MeasureList[[#This Row],[Code (old fuel) Carbon Emissions, Site (tons CO2/yr)]]</f>
        <v>0.16014785714285718</v>
      </c>
      <c r="IJ34" s="279">
        <f>Tbl_MeasureList[[#This Row],[Baseline Carbon Emissions, Source (tons CO2/yr)]]-Tbl_MeasureList[[#This Row],[Code (old fuel) Carbon Emissions, Source (tons CO2/yr)]]</f>
        <v>0.16014785714285718</v>
      </c>
      <c r="IK34" s="273">
        <f ca="1">Tbl_MeasureList[[#This Row],[Code (new fuel) Energy Cost (USD/yr)]]-Tbl_MeasureList[[#This Row],[Low Measure Energy Cost (USD/yr)]]</f>
        <v>22.668234597701087</v>
      </c>
      <c r="IL34"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8845.0612516397432</v>
      </c>
      <c r="IM34" s="85">
        <f ca="1">Tbl_MeasureList[[#This Row],[Code (old fuel) Electric Annual Consumption (kWh/yr)]]-Tbl_MeasureList[[#This Row],[Low Measure Electric Annual Consumption (kWh/yr)]]</f>
        <v>-28.6</v>
      </c>
      <c r="IN34" s="85" t="str">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v>
      </c>
      <c r="IO34" s="85" t="str">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v>
      </c>
      <c r="IP34" s="152">
        <f ca="1">Tbl_MeasureList[[#This Row],[Code (old fuel) Electric Winter Peak Demand (kW)]]-Tbl_MeasureList[[#This Row],[Low Measure Electric Winter Peak Demand (kW)]]</f>
        <v>-1.1290959336754837E-2</v>
      </c>
      <c r="IQ34" s="152">
        <f ca="1">Tbl_MeasureList[[#This Row],[Code (old fuel) Electric Summer Peak Demand (kW)]]-Tbl_MeasureList[[#This Row],[Low Measure Electric Summer Peak Demand (kW)]]</f>
        <v>-5.306750888274773E-3</v>
      </c>
      <c r="IR34" s="204">
        <f ca="1">Tbl_MeasureList[[#This Row],[Code (old fuel) Natural Gas Annual Consumption (therms/yr)]]-Tbl_MeasureList[[#This Row],[Low Measure Natural Gas Annual Consumption (therms/yr)]]</f>
        <v>-159.77011494252875</v>
      </c>
      <c r="IS34" s="153">
        <f ca="1">Tbl_MeasureList[[#This Row],[Code (old fuel) Propane Annual Consumption (MMBtu/yr)]]-Tbl_MeasureList[[#This Row],[Low Measure Propane Annual Consumption (MMBtu/yr)]]</f>
        <v>0</v>
      </c>
      <c r="IT34" s="204">
        <f ca="1">Tbl_MeasureList[[#This Row],[Code (old fuel) Oil Annual Consumption (MMBtu/yr)]]-Tbl_MeasureList[[#This Row],[Low Measure Oil Annual Consumption (MMBtu/yr)]]</f>
        <v>16.547619047619047</v>
      </c>
      <c r="IU34" s="204">
        <f ca="1">Tbl_MeasureList[[#This Row],[Code (old fuel) Energy Consumption on MMBtu Basis (MMBtu/yr)]]-Tbl_MeasureList[[#This Row],[Low Measure Energy Consumption on MMBtu Basis (MMBtu/yr)]]</f>
        <v>0.47302435336617421</v>
      </c>
      <c r="IV34" s="204">
        <f ca="1">Tbl_MeasureList[[#This Row],[Code (old fuel) Carbon Emissions, Site (tons CO2/yr)]]-Tbl_MeasureList[[#This Row],[Low Measure Carbon Emissions, Site (tons CO2/yr)]]</f>
        <v>0.39991030377668324</v>
      </c>
      <c r="IW34" s="260">
        <f ca="1">Tbl_MeasureList[[#This Row],[Code (old fuel) Carbon Emissions, Source (tons CO2/yr)]]-Tbl_MeasureList[[#This Row],[Low Measure Carbon Emissions, Source (tons CO2/yr)]]</f>
        <v>0.38980992777668322</v>
      </c>
      <c r="IX34" s="27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v>
      </c>
      <c r="IY34" s="201"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v>
      </c>
      <c r="IZ34" s="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v>
      </c>
      <c r="JA34" s="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v>
      </c>
      <c r="JB34" s="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v>
      </c>
      <c r="JC34" s="152"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v>
      </c>
      <c r="JD34" s="152"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v>
      </c>
      <c r="JE34" s="204"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v>
      </c>
      <c r="JF34" s="15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v>
      </c>
      <c r="JG34" s="204"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v>
      </c>
      <c r="JH34" s="204"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v>
      </c>
      <c r="JI34" s="204"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v>
      </c>
      <c r="JJ34" s="321"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v>
      </c>
      <c r="JK34" s="432">
        <f>Tbl_MeasureList[[#This Row],[ER (Retire) Electric Annual Consumption Savings (kWh/yr)]]*COAL_BTU_PER_SITE_KWH/Btu_per_MMBtu</f>
        <v>0</v>
      </c>
      <c r="JL34" s="428">
        <f>Tbl_MeasureList[[#This Row],[ER (Retire) Electric Annual Consumption Savings (kWh/yr)]]*COAL_LBS_PER_SITE_KWH</f>
        <v>0</v>
      </c>
      <c r="JM34" s="427">
        <f>Tbl_MeasureList[[#This Row],[ER (Retire) Electric Annual Consumption Savings (kWh/yr)]]*OIL_BTU_PER_SITE_KWH/Btu_per_MMBtu</f>
        <v>0</v>
      </c>
      <c r="JN34" s="428">
        <f>Tbl_MeasureList[[#This Row],[ER (Retire) Electric Annual Consumption Savings (kWh/yr)]]*OIL_GAL_PER_SITE_KWH</f>
        <v>0</v>
      </c>
      <c r="JO34" s="427">
        <f>Tbl_MeasureList[[#This Row],[ER (Retire) Oil Annual Consumption Savings (MMBtu/yr)]]*Btu_per_MMBtu/OIL_BTU_PER_GAL</f>
        <v>14.394971080606673</v>
      </c>
      <c r="JP34" s="428">
        <f ca="1">Tbl_MeasureList[[#This Row],[Current ER (Retire) Oil Source Fuel Savings (gallons oil/year)]]+Tbl_MeasureList[[#This Row],[Current ER Total Low Measure Oil Site Fuel Savings (gallons oil/year)]]</f>
        <v>134.3530634189955</v>
      </c>
      <c r="JQ34" s="427">
        <f>Tbl_MeasureList[[#This Row],[ER (Retire) Electric Annual Consumption Savings (kWh/yr)]]*GAS_BTU_PER_SITE_KWH/Btu_per_MMBtu</f>
        <v>0</v>
      </c>
      <c r="JR34" s="429">
        <f>Tbl_MeasureList[[#This Row],[ER (Retire) Electric Annual Consumption Savings (kWh/yr)]]*GAS_CUFT_PER_SITE_KWH/1000</f>
        <v>0</v>
      </c>
      <c r="JS34" s="430">
        <f>Tbl_MeasureList[[#This Row],[ER (Retire) Natural Gas Annual Consumption Savings (therms/yr)]]*Btu_per_MMBtu/(GAS_BTU_PER_CUFT*Therm_per_MMBtu*1000)</f>
        <v>0</v>
      </c>
      <c r="JT34" s="431">
        <f ca="1">Tbl_MeasureList[[#This Row],[Current ER (Retire) Gas Source Fuel Savings (1,000 cu.ft. gas/year)]]+Tbl_MeasureList[[#This Row],[Current ER Total Low Measure Gas Site Fuel Savings (1,000 cu.ft gas/year)]]</f>
        <v>-15.526736146018344</v>
      </c>
      <c r="JU34" s="432">
        <f ca="1">Tbl_MeasureList[[#This Row],[ER (EE) Low Measure Electric Annual Consumption Savings (kWh/yr)]]*COAL_BTU_PER_SITE_KWH/Btu_per_MMBtu</f>
        <v>-3.1480836273456441E-3</v>
      </c>
      <c r="JV34" s="428">
        <f ca="1">Tbl_MeasureList[[#This Row],[ER (EE) Low Measure Electric Annual Consumption Savings (kWh/yr)]]*COAL_LBS_PER_SITE_KWH</f>
        <v>-0.27614768660926703</v>
      </c>
      <c r="JW34" s="427">
        <f ca="1">Tbl_MeasureList[[#This Row],[ER (EE) Low Measure Electric Annual Consumption Savings (kWh/yr)]]*OIL_BTU_PER_SITE_KWH/Btu_per_MMBtu</f>
        <v>-3.6240561253792461E-3</v>
      </c>
      <c r="JX34" s="428">
        <f ca="1">Tbl_MeasureList[[#This Row],[ER (EE) Low Measure Electric Annual Consumption Savings (kWh/yr)]]*OIL_GAL_PER_SITE_KWH</f>
        <v>-2.6271746894626451E-2</v>
      </c>
      <c r="JY34" s="427">
        <f ca="1">Tbl_MeasureList[[#This Row],[ER (EE) Low Measure Oil Annual Consumption Savings (MMBtu/yr)]]*Btu_per_MMBtu/OIL_BTU_PER_GAL</f>
        <v>119.95809233838882</v>
      </c>
      <c r="JZ34" s="428">
        <f ca="1">Tbl_MeasureList[[#This Row],[Current ER (EE) Low Measure Oil Source Fuel Savings (gallons oil/year)]]+Tbl_MeasureList[[#This Row],[Current ER (EE) Low Measure Oil Site Fuel Savings (gallons oil/year)]]</f>
        <v>119.9318205914942</v>
      </c>
      <c r="KA34" s="427">
        <f ca="1">Tbl_MeasureList[[#This Row],[ER (EE) Low Measure Electric Annual Consumption Savings (kWh/yr)]]*GAS_BTU_PER_SITE_KWH/Btu_per_MMBtu</f>
        <v>-0.11703494280120287</v>
      </c>
      <c r="KB34" s="429">
        <f ca="1">Tbl_MeasureList[[#This Row],[ER (EE) Low Measure Electric Annual Consumption Savings (kWh/yr)]]*GAS_CUFT_PER_SITE_KWH/1000</f>
        <v>-0.11373658192536722</v>
      </c>
      <c r="KC34" s="430">
        <f ca="1">Tbl_MeasureList[[#This Row],[ER (EE) Low Measure Natural Gas Annual Consumption Savings (therms/yr)]]*Btu_per_MMBtu/(GAS_BTU_PER_CUFT*Therm_per_MMBtu*1000)</f>
        <v>-15.526736146018344</v>
      </c>
      <c r="KD34" s="431">
        <f ca="1">Tbl_MeasureList[[#This Row],[Current ER (EE) Low Measure Gas Source Fuel Savings (1,000 cu.ft. gas/year)]]+Tbl_MeasureList[[#This Row],[Current ER (EE) Low Measure Gas Site Fuel Savings (1,000 cu.ft gas/year)]]</f>
        <v>-15.640472727943711</v>
      </c>
      <c r="KE34" s="432" t="str">
        <f>IFERROR(Tbl_MeasureList[[#This Row],[ER (EE) High Measure Electric Annual Consumption Savings (kWh/yr)]]*COAL_BTU_PER_SITE_KWH/Btu_per_MMBtu,"-")</f>
        <v>-</v>
      </c>
      <c r="KF34" s="428" t="str">
        <f>IFERROR(Tbl_MeasureList[[#This Row],[ER (EE) High Measure Electric Annual Consumption Savings (kWh/yr)]]*COAL_LBS_PER_SITE_KWH,"-")</f>
        <v>-</v>
      </c>
      <c r="KG34" s="427" t="str">
        <f>IFERROR(Tbl_MeasureList[[#This Row],[ER (EE) High Measure Electric Annual Consumption Savings (kWh/yr)]]*OIL_BTU_PER_SITE_KWH/Btu_per_MMBtu,"-")</f>
        <v>-</v>
      </c>
      <c r="KH34" s="428" t="str">
        <f>IFERROR(Tbl_MeasureList[[#This Row],[ER (EE) High Measure Electric Annual Consumption Savings (kWh/yr)]]*OIL_GAL_PER_SITE_KWH,"-")</f>
        <v>-</v>
      </c>
      <c r="KI34" s="427" t="str">
        <f>IFERROR(Tbl_MeasureList[[#This Row],[ER (EE) High Measure Oil Annual Consumption Savings (MMBtu/yr)]]*Btu_per_MMBtu/OIL_BTU_PER_GAL,"-")</f>
        <v>-</v>
      </c>
      <c r="KJ34" s="428" t="str">
        <f>IFERROR(Tbl_MeasureList[[#This Row],[Current ER (EE) High Measure Oil Source Fuel Savings (gallons oil/year)]]+Tbl_MeasureList[[#This Row],[Current ER (EE) High Measure Oil Site Fuel Savings (gallons oil/year)]],"-")</f>
        <v>-</v>
      </c>
      <c r="KK34" s="427" t="str">
        <f>IFERROR(Tbl_MeasureList[[#This Row],[ER (EE) High Measure Electric Annual Consumption Savings (kWh/yr)]]*GAS_BTU_PER_SITE_KWH/Btu_per_MMBtu,"-")</f>
        <v>-</v>
      </c>
      <c r="KL34" s="429" t="str">
        <f>IFERROR(Tbl_MeasureList[[#This Row],[ER (EE) High Measure Electric Annual Consumption Savings (kWh/yr)]]*GAS_CUFT_PER_SITE_KWH/1000,"-")</f>
        <v>-</v>
      </c>
      <c r="KM34" s="430" t="str">
        <f>IFERROR(Tbl_MeasureList[[#This Row],[ER (EE) High Measure Natural Gas Annual Consumption Savings (therms/yr)]]*Btu_per_MMBtu/(GAS_BTU_PER_CUFT*Therm_per_MMBtu*1000),"-")</f>
        <v>-</v>
      </c>
      <c r="KN34" s="431" t="str">
        <f>IFERROR(Tbl_MeasureList[[#This Row],[Current ER (EE) High Measure Gas Source Fuel Savings (1,000 cu.ft. gas/year)]]+Tbl_MeasureList[[#This Row],[Current ER (EE) High Measure Gas Site Fuel Savings (1,000 cu.ft gas/year)]],"-")</f>
        <v>-</v>
      </c>
    </row>
    <row r="35" spans="2:300" x14ac:dyDescent="0.2">
      <c r="B35" s="16"/>
      <c r="C35" s="2" t="s">
        <v>109</v>
      </c>
      <c r="D35" s="12" t="str">
        <f>INDEX(Tbl_BaselineSummary[Equipment ID],MATCH(Tbl_MeasureList[[#This Row],[Baseline ID]],Tbl_BaselineSummary[Baseline ID],0))</f>
        <v>EQUI029</v>
      </c>
      <c r="E35" s="11" t="str">
        <f>INDEX(Tbl_EquipmentDefinitions[Equipment Name],MATCH('Measure List'!$D35,Tbl_EquipmentDefinitions[Equipment ID],0))</f>
        <v>Propane On-Demand WH</v>
      </c>
      <c r="F35" s="3" t="s">
        <v>243</v>
      </c>
      <c r="G35" s="11" t="str">
        <f>INDEX(Tbl_EquipmentDefinitions[Function],MATCH('Measure List'!$D35,Tbl_EquipmentDefinitions[Equipment ID],0))</f>
        <v>HW</v>
      </c>
      <c r="H35" s="3" t="s">
        <v>111</v>
      </c>
      <c r="I35" s="3" t="s">
        <v>71</v>
      </c>
      <c r="J35" s="11" t="str">
        <f>INDEX(Tbl_EquipmentDefinitions[Equipment Name],MATCH('Measure List'!$I35,Tbl_EquipmentDefinitions[Equipment ID],0))</f>
        <v>Gas On-Demand WH</v>
      </c>
      <c r="K35" s="11">
        <f>INDEX(Tbl_EquipmentDefinitions[],MATCH(Tbl_MeasureList[[#This Row],[Replacement ID]],Tbl_EquipmentDefinitions[[Equipment ID]:[Equipment ID]],0),MATCH(Tbl_MeasureList[[#Headers],[New Unit Equipment Life (years)]],Tbl_EquipmentDefinitions[#Headers],0))</f>
        <v>19</v>
      </c>
      <c r="L35" s="11">
        <f>INDEX(Tbl_EquipmentDefinitions[],MATCH(Tbl_MeasureList[[#This Row],[Baseline Equipment ID]],Tbl_EquipmentDefinitions[[Equipment ID]:[Equipment ID]],0),MATCH(Tbl_MeasureList[[#Headers],[Remaining Life for Early Replacement (years)]],Tbl_EquipmentDefinitions[#Headers],0))</f>
        <v>7</v>
      </c>
      <c r="M35" s="12" t="str">
        <f>INDEX(Tbl_EquipmentDefinitions[Function],MATCH('Measure List'!$I35,Tbl_EquipmentDefinitions[Equipment ID],0))</f>
        <v>HW</v>
      </c>
      <c r="N35" s="368" t="s">
        <v>118</v>
      </c>
      <c r="O35" s="14" t="str">
        <f t="shared" si="0"/>
        <v>OK</v>
      </c>
      <c r="P35" s="12" t="str">
        <f ca="1">IFERROR(INDIRECT(Tbl_MeasureList[[#This Row],[Measure ID]]&amp;"!D5"),"No tab")</f>
        <v>3. Ready</v>
      </c>
      <c r="Q35" s="11"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Propane</v>
      </c>
      <c r="R35" s="12"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v>
      </c>
      <c r="S35" s="11"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Natural Gas</v>
      </c>
      <c r="T35" s="247"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v>
      </c>
      <c r="U35" s="248">
        <f>INDEX(Tbl_BaselineSummary[Baseline Annual Energy Cost (USD)],MATCH(Tbl_MeasureList[[#This Row],[Baseline ID]],Tbl_BaselineSummary[Baseline ID],0))</f>
        <v>576.40694303874102</v>
      </c>
      <c r="V35" s="249">
        <f>INDEX(Tbl_BaselineSummary[Baseline Electric Annual Consumption  (kWh)],MATCH(Tbl_MeasureList[[#This Row],[Baseline ID]],Tbl_BaselineSummary[Baseline ID],0))</f>
        <v>25.9</v>
      </c>
      <c r="W35" s="249" t="str">
        <f>INDEX(Tbl_BaselineSummary[Baseline Electric Winter Consumption (kWh)],MATCH(Tbl_MeasureList[[#This Row],[Baseline ID]],Tbl_BaselineSummary[Baseline ID],0))</f>
        <v>n/a</v>
      </c>
      <c r="X35" s="249" t="str">
        <f>INDEX(Tbl_BaselineSummary[Baseline Electric Summer Consumption (kWh)],MATCH(Tbl_MeasureList[[#This Row],[Baseline ID]],Tbl_BaselineSummary[Baseline ID],0))</f>
        <v>n/a</v>
      </c>
      <c r="Y35" s="250">
        <f>INDEX(Tbl_BaselineSummary[Baseline Electric Baseline Winter Peak Demand (kW)],MATCH(Tbl_MeasureList[[#This Row],[Baseline ID]],Tbl_BaselineSummary[Baseline ID],0))</f>
        <v>1.02250296091591E-2</v>
      </c>
      <c r="Z35" s="452">
        <f>INDEX(Tbl_BaselineSummary[Baseline Electric Baseline Summer Peak Demand (kW)],MATCH(Tbl_MeasureList[[#This Row],[Baseline ID]],Tbl_BaselineSummary[Baseline ID],0))</f>
        <v>4.8057639163047762E-3</v>
      </c>
      <c r="AA35" s="458">
        <f>INDEX(Tbl_BaselineSummary[Baseline Natural Gas Annual Consumption  (therms)],MATCH(Tbl_MeasureList[[#This Row],[Baseline ID]],Tbl_BaselineSummary[Baseline ID],0))</f>
        <v>0</v>
      </c>
      <c r="AB35" s="455">
        <f>INDEX(Tbl_BaselineSummary[Baseline Propane Annual Consumption  (MMBtu)],MATCH(Tbl_MeasureList[[#This Row],[Baseline ID]],Tbl_BaselineSummary[Baseline ID],0))</f>
        <v>15.89310829817159</v>
      </c>
      <c r="AC35" s="252">
        <f>INDEX(Tbl_BaselineSummary[Baseline Oil Annual Consumption  (MMBtu)],MATCH(Tbl_MeasureList[[#This Row],[Baseline ID]],Tbl_BaselineSummary[Baseline ID],0))</f>
        <v>0</v>
      </c>
      <c r="AD35" s="371">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15.98147909817159</v>
      </c>
      <c r="AE35" s="460">
        <f>(lbCO2_per_Therm_Gas*Tbl_MeasureList[[#This Row],[Baseline Natural Gas Annual Consumption (therms/yr)]]+lbCO2_per_MMBtu_Prop*Tbl_MeasureList[[#This Row],[Baseline Propane Annual Consumption (MMBtu/yr)]]+lbCO2_per_MMBtu_Oil*Tbl_MeasureList[[#This Row],[Baseline Oil Annual Consumption (MMBtu/yr)]])*Lbs_per_ShortTon</f>
        <v>1.1045710267229256</v>
      </c>
      <c r="AF35" s="463">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1.1137178707229256</v>
      </c>
      <c r="AG35" s="465">
        <f>INDEX(Tbl_BaselineSummary[Code Annual Energy Cost (USD)],MATCH(Tbl_MeasureList[[#This Row],[Baseline ID]],Tbl_BaselineSummary[Baseline ID],0))</f>
        <v>513.50434660068106</v>
      </c>
      <c r="AH35" s="468">
        <f>INDEX(Tbl_BaselineSummary[Deferred Replacement Credit (USD)],MATCH(Tbl_MeasureList[[#This Row],[Baseline ID]],Tbl_BaselineSummary[Baseline ID],0))</f>
        <v>1680.9966046456341</v>
      </c>
      <c r="AI35" s="201">
        <f>INDEX(Tbl_BaselineSummary[A/C-only Deferred Replacement Credit (USD)],MATCH(Tbl_MeasureList[[#This Row],[Baseline ID]],Tbl_BaselineSummary[Baseline ID],0))</f>
        <v>0</v>
      </c>
      <c r="AJ35" s="468">
        <f>INDEX(Tbl_BaselineSummary[Code Installed Costs (USD)],MATCH(Tbl_MeasureList[[#This Row],[Baseline ID]],Tbl_BaselineSummary[Baseline ID],0))</f>
        <v>2874</v>
      </c>
      <c r="AK35" s="201">
        <f>INDEX(Tbl_BaselineSummary[Code A/C-only Installed Cost (USD)],MATCH(Tbl_MeasureList[[#This Row],[Baseline ID]],Tbl_BaselineSummary[Baseline ID],0))</f>
        <v>0</v>
      </c>
      <c r="AL35" s="86">
        <f>INDEX(Tbl_BaselineSummary[Code Electric Annual Consumption (kWh)],MATCH(Tbl_MeasureList[[#This Row],[Baseline ID]],Tbl_BaselineSummary[Baseline ID],0))</f>
        <v>29.2</v>
      </c>
      <c r="AM35" s="86" t="str">
        <f>INDEX(Tbl_BaselineSummary[Code Electric Winter Consumption (kWh)],MATCH(Tbl_MeasureList[[#This Row],[Baseline ID]],Tbl_BaselineSummary[Baseline ID],0))</f>
        <v>n/a</v>
      </c>
      <c r="AN35" s="86" t="str">
        <f>INDEX(Tbl_BaselineSummary[Code Electric Summer Consumption (kWh)],MATCH(Tbl_MeasureList[[#This Row],[Baseline ID]],Tbl_BaselineSummary[Baseline ID],0))</f>
        <v>n/a</v>
      </c>
      <c r="AO35" s="152">
        <f>INDEX(Tbl_BaselineSummary[Code Electric Winter Peak Demand (kW)],MATCH(Tbl_MeasureList[[#This Row],[Baseline ID]],Tbl_BaselineSummary[Baseline ID],0))</f>
        <v>1.1527832609553888E-2</v>
      </c>
      <c r="AP35" s="470">
        <f>INDEX(Tbl_BaselineSummary[Code Electric Summer Peak Demand (kW)],MATCH(Tbl_MeasureList[[#This Row],[Baseline ID]],Tbl_BaselineSummary[Baseline ID],0))</f>
        <v>5.4180813264903269E-3</v>
      </c>
      <c r="AQ35" s="467">
        <f>INDEX(Tbl_BaselineSummary[Code Natural Gas Annual Consumption (therms)],MATCH(Tbl_MeasureList[[#This Row],[Baseline ID]],Tbl_BaselineSummary[Baseline ID],0))</f>
        <v>0</v>
      </c>
      <c r="AR35" s="472">
        <f>INDEX(Tbl_BaselineSummary[Code Propane Annual Consumption (MMBtu)],MATCH(Tbl_MeasureList[[#This Row],[Baseline ID]],Tbl_BaselineSummary[Baseline ID],0))</f>
        <v>14.125</v>
      </c>
      <c r="AS35" s="467">
        <f>INDEX(Tbl_BaselineSummary[Code Oil Annual Consumption (MMBtu)],MATCH(Tbl_MeasureList[[#This Row],[Baseline ID]],Tbl_BaselineSummary[Baseline ID],0))</f>
        <v>0</v>
      </c>
      <c r="AT35" s="204">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14.224630400000001</v>
      </c>
      <c r="AU35" s="467">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0.98168750000000005</v>
      </c>
      <c r="AV35" s="474">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0.991999772</v>
      </c>
      <c r="AW35" s="248">
        <f ca="1">INDIRECT(Tbl_MeasureList[[#This Row],[Measure ID]]&amp;"!L26")</f>
        <v>233.61201000000003</v>
      </c>
      <c r="AX35" s="477">
        <f ca="1">INDIRECT(Tbl_MeasureList[[#This Row],[Measure ID]]&amp;"!M26")</f>
        <v>8453</v>
      </c>
      <c r="AY35" s="481">
        <f ca="1">INDIRECT(Tbl_MeasureList[[#This Row],[Measure ID]]&amp;"!D26")</f>
        <v>29.2</v>
      </c>
      <c r="AZ35" s="481" t="str">
        <f ca="1">INDIRECT(Tbl_MeasureList[[#This Row],[Measure ID]]&amp;"!J26")</f>
        <v>n/a</v>
      </c>
      <c r="BA35" s="481" t="str">
        <f ca="1">INDIRECT(Tbl_MeasureList[[#This Row],[Measure ID]]&amp;"!I26")</f>
        <v>n/a</v>
      </c>
      <c r="BB35" s="479">
        <f ca="1">INDIRECT(Tbl_MeasureList[[#This Row],[Measure ID]]&amp;"!E26")</f>
        <v>1.1527832609553888E-2</v>
      </c>
      <c r="BC35" s="268">
        <f ca="1">INDIRECT(Tbl_MeasureList[[#This Row],[Measure ID]]&amp;"!H26")</f>
        <v>5.4180813264903269E-3</v>
      </c>
      <c r="BD35" s="253">
        <f ca="1">INDIRECT(Tbl_MeasureList[[#This Row],[Measure ID]]&amp;"!D32")</f>
        <v>141.25</v>
      </c>
      <c r="BE35" s="270">
        <f ca="1">INDIRECT(Tbl_MeasureList[[#This Row],[Measure ID]]&amp;"!D38")</f>
        <v>0</v>
      </c>
      <c r="BF35" s="253">
        <f ca="1">INDIRECT(Tbl_MeasureList[[#This Row],[Measure ID]]&amp;"!D44")</f>
        <v>0</v>
      </c>
      <c r="BG35" s="460">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14.224630400000001</v>
      </c>
      <c r="BH35" s="371">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0.82631250000000001</v>
      </c>
      <c r="BI35" s="272">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0.83662477200000007</v>
      </c>
      <c r="BJ35" s="273">
        <f ca="1">INDIRECT(Tbl_MeasureList[[#This Row],[Measure ID]]&amp;"!L27")</f>
        <v>215.16167770114944</v>
      </c>
      <c r="BK35" s="201">
        <f ca="1">INDIRECT(Tbl_MeasureList[[#This Row],[Measure ID]]&amp;"!M27")</f>
        <v>9196</v>
      </c>
      <c r="BL35" s="85">
        <f ca="1">INDIRECT(Tbl_MeasureList[[#This Row],[Measure ID]]&amp;"!D27")</f>
        <v>28.6</v>
      </c>
      <c r="BM35" s="85" t="str">
        <f ca="1">INDIRECT(Tbl_MeasureList[[#This Row],[Measure ID]]&amp;"!J27")</f>
        <v>n/a</v>
      </c>
      <c r="BN35" s="85" t="str">
        <f ca="1">INDIRECT(Tbl_MeasureList[[#This Row],[Measure ID]]&amp;"!I27")</f>
        <v>n/a</v>
      </c>
      <c r="BO35" s="152">
        <f ca="1">INDIRECT(Tbl_MeasureList[[#This Row],[Measure ID]]&amp;"!E27")</f>
        <v>1.1290959336754837E-2</v>
      </c>
      <c r="BP35" s="470">
        <f ca="1">INDIRECT(Tbl_MeasureList[[#This Row],[Measure ID]]&amp;"!H27")</f>
        <v>5.306750888274773E-3</v>
      </c>
      <c r="BQ35" s="467">
        <f ca="1">INDIRECT(Tbl_MeasureList[[#This Row],[Measure ID]]&amp;"!D33")</f>
        <v>129.88505747126436</v>
      </c>
      <c r="BR35" s="472">
        <f ca="1">INDIRECT(Tbl_MeasureList[[#This Row],[Measure ID]]&amp;"!D39")</f>
        <v>0</v>
      </c>
      <c r="BS35" s="467">
        <f ca="1">INDIRECT(Tbl_MeasureList[[#This Row],[Measure ID]]&amp;"!D45")</f>
        <v>0</v>
      </c>
      <c r="BT35" s="204">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13.086088947126436</v>
      </c>
      <c r="BU35" s="467">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0.7598275862068965</v>
      </c>
      <c r="BV35" s="260">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0.76992796220689652</v>
      </c>
      <c r="BW35" s="248"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v>
      </c>
      <c r="BX35" s="267"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v>
      </c>
      <c r="BY35"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v>
      </c>
      <c r="BZ35"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v>
      </c>
      <c r="CA35"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v>
      </c>
      <c r="CB35" s="268"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v>
      </c>
      <c r="CC35" s="268"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v>
      </c>
      <c r="CD35" s="269"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v>
      </c>
      <c r="CE35" s="270"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v>
      </c>
      <c r="CF35" s="253"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v>
      </c>
      <c r="CG35" s="460" t="str">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v>
      </c>
      <c r="CH35" s="371"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v>
      </c>
      <c r="CI35" s="260"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v>
      </c>
      <c r="CJ35" s="320">
        <f ca="1">-Tbl_MeasureList[[#This Row],[Low Measure Energy Cost (USD/yr)]]+Tbl_MeasureList[[#This Row],[Baseline Energy Cost (USD/yr)]]</f>
        <v>361.2452653375916</v>
      </c>
      <c r="CK35"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7515.0033953543661</v>
      </c>
      <c r="CL35" s="249">
        <f ca="1">-Tbl_MeasureList[[#This Row],[Low Measure Electric Annual Consumption (kWh/yr)]]+Tbl_MeasureList[[#This Row],[Baseline Electric Annual Consumption (kWh/yr)]]</f>
        <v>-2.7000000000000028</v>
      </c>
      <c r="CM35" s="249" t="str">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v>
      </c>
      <c r="CN35" s="249" t="str">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v>
      </c>
      <c r="CO35" s="268">
        <f ca="1">-Tbl_MeasureList[[#This Row],[Low Measure Electric Winter Peak Demand (kW)]]+Tbl_MeasureList[[#This Row],[Baseline Electric Winter Peak Demand (kW)]]</f>
        <v>-1.0659297275957373E-3</v>
      </c>
      <c r="CP35" s="479">
        <f ca="1">-Tbl_MeasureList[[#This Row],[Low Measure Electric Summer Peak Demand (kW)]]+Tbl_MeasureList[[#This Row],[Baseline Electric Summer Peak Demand (kW)]]</f>
        <v>-5.0098697196999682E-4</v>
      </c>
      <c r="CQ35" s="481">
        <f ca="1">-Tbl_MeasureList[[#This Row],[Low Measure Natural Gas Annual Consumption (therms/yr)]]+Tbl_MeasureList[[#This Row],[Baseline Natural Gas Annual Consumption (therms/yr)]]</f>
        <v>-129.88505747126436</v>
      </c>
      <c r="CR35" s="490">
        <f ca="1">-Tbl_MeasureList[[#This Row],[Low Measure Propane Annual Consumption (MMBtu/yr)]]+Tbl_MeasureList[[#This Row],[Baseline Propane Annual Consumption (MMBtu/yr)]]</f>
        <v>15.89310829817159</v>
      </c>
      <c r="CS35" s="252">
        <f ca="1">-Tbl_MeasureList[[#This Row],[Low Measure Oil Annual Consumption (MMBtu/yr)]]+Tbl_MeasureList[[#This Row],[Baseline Oil Annual Consumption (MMBtu/yr)]]</f>
        <v>0</v>
      </c>
      <c r="CT35"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2.8953901510451558</v>
      </c>
      <c r="CU35" s="487">
        <f ca="1">-Tbl_MeasureList[[#This Row],[Low Measure Carbon Emissions, Site (tons CO2/yr)]]+Tbl_MeasureList[[#This Row],[Baseline Carbon Emissions, Site (tons CO2/yr)]]</f>
        <v>0.34474344051602912</v>
      </c>
      <c r="CV35" s="491">
        <f ca="1">-Tbl_MeasureList[[#This Row],[Low Measure Carbon Emissions, Source (tons CO2/yr)]]+Tbl_MeasureList[[#This Row],[Baseline Carbon Emissions, Source (tons CO2/yr)]]</f>
        <v>0.34378990851602909</v>
      </c>
      <c r="CW35" s="48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v>
      </c>
      <c r="CX35" s="477"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v>
      </c>
      <c r="CY35"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v>
      </c>
      <c r="CZ35"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v>
      </c>
      <c r="DA35"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v>
      </c>
      <c r="DB35" s="47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v>
      </c>
      <c r="DC35" s="268"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v>
      </c>
      <c r="DD35" s="26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v>
      </c>
      <c r="DE35" s="270"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v>
      </c>
      <c r="DF35" s="25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v>
      </c>
      <c r="DG35" s="270" t="str">
        <f>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v>
      </c>
      <c r="DH35" s="38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v>
      </c>
      <c r="DI35" s="321"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v>
      </c>
      <c r="DJ35" s="320">
        <f ca="1">-Tbl_MeasureList[[#This Row],[Low Measure Energy Cost (USD/yr)]]+Tbl_MeasureList[[#This Row],[Code (old fuel) Energy Cost (USD/yr)]]</f>
        <v>298.34266889953165</v>
      </c>
      <c r="DK35" s="267">
        <f ca="1">Tbl_MeasureList[[#This Row],[Low Measure Installed Costs (USD)]]-Tbl_MeasureList[[#This Row],[Code (old fuel) Installed Costs (USD)]]</f>
        <v>6322</v>
      </c>
      <c r="DL35" s="249">
        <f ca="1">-Tbl_MeasureList[[#This Row],[Low Measure Electric Annual Consumption (kWh/yr)]]+Tbl_MeasureList[[#This Row],[Code (old fuel) Electric Annual Consumption (kWh/yr)]]</f>
        <v>0.59999999999999787</v>
      </c>
      <c r="DM35" s="249" t="str">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v>
      </c>
      <c r="DN35" s="249" t="str">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v>
      </c>
      <c r="DO35" s="268">
        <f ca="1">-Tbl_MeasureList[[#This Row],[Low Measure Electric Winter Peak Demand (kW)]]+Tbl_MeasureList[[#This Row],[Code (old fuel) Electric Winter Peak Demand (kW)]]</f>
        <v>2.36873272799051E-4</v>
      </c>
      <c r="DP35" s="479">
        <f ca="1">-Tbl_MeasureList[[#This Row],[Low Measure Electric Summer Peak Demand (kW)]]+Tbl_MeasureList[[#This Row],[Code (old fuel) Electric Summer Peak Demand (kW)]]</f>
        <v>1.1133043821555388E-4</v>
      </c>
      <c r="DQ35" s="481">
        <f ca="1">-Tbl_MeasureList[[#This Row],[Low Measure Natural Gas Annual Consumption (therms/yr)]]+Tbl_MeasureList[[#This Row],[Code (old fuel) Natural Gas Annual Consumption (therms/yr)]]</f>
        <v>-129.88505747126436</v>
      </c>
      <c r="DR35" s="490">
        <f ca="1">-Tbl_MeasureList[[#This Row],[Low Measure Propane Annual Consumption (MMBtu/yr)]]+Tbl_MeasureList[[#This Row],[Code (old fuel) Propane Annual Consumption (MMBtu/yr)]]</f>
        <v>14.125</v>
      </c>
      <c r="DS35" s="252">
        <f ca="1">-Tbl_MeasureList[[#This Row],[Low Measure Oil Annual Consumption (MMBtu/yr)]]+Tbl_MeasureList[[#This Row],[Code (old fuel) Oil Annual Consumption (MMBtu/yr)]]</f>
        <v>0</v>
      </c>
      <c r="DT35"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1.1385414528735645</v>
      </c>
      <c r="DU35" s="487">
        <f ca="1">-Tbl_MeasureList[[#This Row],[Low Measure Carbon Emissions, Site (tons CO2/yr)]]+Tbl_MeasureList[[#This Row],[Code (old fuel) Carbon Emissions, Site (tons CO2/yr)]]</f>
        <v>0.22185991379310355</v>
      </c>
      <c r="DV35" s="491">
        <f ca="1">-Tbl_MeasureList[[#This Row],[Low Measure Carbon Emissions, Source (tons CO2/yr)]]+Tbl_MeasureList[[#This Row],[Code (old fuel) Carbon Emissions, Source (tons CO2/yr)]]</f>
        <v>0.22207180979310348</v>
      </c>
      <c r="DW35" s="48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(old fuel) Energy Cost (USD/yr)]],
        "-")</f>
        <v>-</v>
      </c>
      <c r="DX35" s="477"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v>
      </c>
      <c r="DY35"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v>
      </c>
      <c r="DZ35"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v>
      </c>
      <c r="EA35" s="4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v>
      </c>
      <c r="EB35" s="47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v>
      </c>
      <c r="EC35" s="268"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v>
      </c>
      <c r="ED35" s="269"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v>
      </c>
      <c r="EE35" s="270"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v>
      </c>
      <c r="EF35" s="25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v>
      </c>
      <c r="EG35" s="270" t="str">
        <f>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v>
      </c>
      <c r="EH35" s="38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v>
      </c>
      <c r="EI35" s="321"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v>
      </c>
      <c r="EJ35" s="477">
        <f ca="1">Tbl_MeasureList[[#This Row],[Code (old fuel) Energy Cost (USD/yr)]]-Tbl_MeasureList[[#This Row],[Code (new fuel) Energy Cost (USD/yr)]]</f>
        <v>279.89233660068101</v>
      </c>
      <c r="EK35" s="496">
        <f ca="1">Tbl_MeasureList[[#This Row],[Code (old fuel) Electric Annual Consumption (kWh/yr)]]-Tbl_MeasureList[[#This Row],[Code (new fuel) Electric Annual Consumption (kWh/yr)]]</f>
        <v>0</v>
      </c>
      <c r="EL35" s="496" t="str">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v>
      </c>
      <c r="EM35" s="496" t="str">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v>
      </c>
      <c r="EN35" s="500">
        <f ca="1">Tbl_MeasureList[[#This Row],[Code (old fuel) Electric Winter Peak Demand (kW)]]-Tbl_MeasureList[[#This Row],[Code (new fuel) Electric Winter Peak Demand (kW)]]</f>
        <v>0</v>
      </c>
      <c r="EO35" s="493">
        <f ca="1">Tbl_MeasureList[[#This Row],[Code (old fuel) Electric Summer Peak Demand (kW)]]-Tbl_MeasureList[[#This Row],[Code (new fuel) Electric Summer Peak Demand (kW)]]</f>
        <v>0</v>
      </c>
      <c r="EP35" s="502">
        <f ca="1">Tbl_MeasureList[[#This Row],[Code (old fuel) Natural Gas Annual Consumption (therms/yr)]]-Tbl_MeasureList[[#This Row],[Code (new fuel) Natural Gas Annual Consumption (therms/yr)]]</f>
        <v>-141.25</v>
      </c>
      <c r="EQ35" s="215">
        <f ca="1">Tbl_MeasureList[[#This Row],[Code (old fuel) Propane Annual Consumption (MMBtu/yr)]]-Tbl_MeasureList[[#This Row],[Code (new fuel) Propane Annual Consumption (MMBtu/yr)]]</f>
        <v>14.125</v>
      </c>
      <c r="ER35" s="502">
        <f ca="1">Tbl_MeasureList[[#This Row],[Code (old fuel) Oil Annual Consumption (MMBtu/yr)]]-Tbl_MeasureList[[#This Row],[Code (new fuel) Oil Annual Consumption (MMBtu/yr)]]</f>
        <v>0</v>
      </c>
      <c r="ES35" s="215">
        <f ca="1">Tbl_MeasureList[[#This Row],[Code (old fuel) Energy Consumption on MMBtu Basis (MMBtu/yr)]]-Tbl_MeasureList[[#This Row],[Code (new fuel) Energy Consumption on MMBtu Basis (MMBtu/yr)]]</f>
        <v>0</v>
      </c>
      <c r="ET35" s="502">
        <f ca="1">Tbl_MeasureList[[#This Row],[Code (old fuel) Carbon Emissions, Site (tons CO2/yr)]]-Tbl_MeasureList[[#This Row],[Code (new fuel) Carbon Emissions, Site (tons CO2/yr)]]</f>
        <v>0.15537500000000004</v>
      </c>
      <c r="EU35" s="498">
        <f ca="1">Tbl_MeasureList[[#This Row],[Code (old fuel) Carbon Emissions, Source (tons CO2/yr)]]-Tbl_MeasureList[[#This Row],[Code (new fuel) Carbon Emissions, Source (tons CO2/yr)]]</f>
        <v>0.15537499999999993</v>
      </c>
      <c r="EV35" s="450">
        <f ca="1">Tbl_MeasureList[[#This Row],[ER Total Low Measure Electric Annual Consumption Savings (kWh/yr)]]*COAL_BTU_PER_SITE_KWH/Btu_per_MMBtu</f>
        <v>-2.971967060780856E-4</v>
      </c>
      <c r="EW35" s="411">
        <f ca="1">Tbl_MeasureList[[#This Row],[ER Total Low Measure Electric Annual Consumption Savings (kWh/yr)]]*COAL_LBS_PER_SITE_KWH</f>
        <v>-2.606988649807768E-2</v>
      </c>
      <c r="EX35" s="326">
        <f ca="1">Tbl_MeasureList[[#This Row],[ER Total Low Measure Electric Annual Consumption Savings (kWh/yr)]]*OIL_BTU_PER_SITE_KWH/Btu_per_MMBtu</f>
        <v>-3.4213117267566345E-4</v>
      </c>
      <c r="EY35" s="325">
        <f ca="1">Tbl_MeasureList[[#This Row],[ER Total Low Measure Electric Annual Consumption Savings (kWh/yr)]]*OIL_GAL_PER_SITE_KWH</f>
        <v>-2.4801998816605417E-3</v>
      </c>
      <c r="EZ35" s="326">
        <f ca="1">Tbl_MeasureList[[#This Row],[ER Total Low Measure Oil Annual Consumption Savings (MMBtu/yr)]]*Btu_per_MMBtu/OIL_BTU_PER_GAL</f>
        <v>0</v>
      </c>
      <c r="FA35" s="325">
        <f ca="1">Tbl_MeasureList[[#This Row],[Current ER Total Low Measure Oil Source Fuel Savings (gallons oil/year)]]+Tbl_MeasureList[[#This Row],[Current ER Total Low Measure Oil Site Fuel Savings (gallons oil/year)]]</f>
        <v>-2.4801998816605417E-3</v>
      </c>
      <c r="FB35" s="326">
        <f ca="1">Tbl_MeasureList[[#This Row],[ER Total Low Measure Electric Annual Consumption Savings (kWh/yr)]]*GAS_BTU_PER_SITE_KWH/Btu_per_MMBtu</f>
        <v>-1.104875334137231E-2</v>
      </c>
      <c r="FC35" s="327">
        <f ca="1">Tbl_MeasureList[[#This Row],[ER Total Low Measure Electric Annual Consumption Savings (kWh/yr)]]*GAS_CUFT_PER_SITE_KWH/1000</f>
        <v>-1.0737369622324888E-2</v>
      </c>
      <c r="FD35" s="328">
        <f ca="1">Tbl_MeasureList[[#This Row],[ER Total Low Measure Natural Gas Annual Consumption Savings (therms/yr)]]*Btu_per_MMBtu/(GAS_BTU_PER_CUFT*Therm_per_MMBtu*1000)</f>
        <v>-12.622454564748724</v>
      </c>
      <c r="FE35" s="329">
        <f ca="1">Tbl_MeasureList[[#This Row],[Current ER Total Low Measure Gas Source Fuel Savings (1,000 cu.ft. gas/year)]]+Tbl_MeasureList[[#This Row],[Current ER Total Low Measure Gas Site Fuel Savings (1,000 cu.ft gas/year)]]</f>
        <v>-12.633191934371048</v>
      </c>
      <c r="FF35" s="324" t="str">
        <f>IFERROR(Tbl_MeasureList[[#This Row],[ER Total High Measure Electric Annual Consumption Savings (kWh/yr)]]*COAL_BTU_PER_SITE_KWH/Btu_per_MMBtu,"-")</f>
        <v>-</v>
      </c>
      <c r="FG35" s="325" t="str">
        <f>IFERROR(Tbl_MeasureList[[#This Row],[ER Total High Measure Electric Annual Consumption Savings (kWh/yr)]]*COAL_LBS_PER_SITE_KWH,"-")</f>
        <v>-</v>
      </c>
      <c r="FH35" s="326" t="str">
        <f>IFERROR(Tbl_MeasureList[[#This Row],[ER Total High Measure Electric Annual Consumption Savings (kWh/yr)]]*OIL_BTU_PER_SITE_KWH/Btu_per_MMBtu,"-")</f>
        <v>-</v>
      </c>
      <c r="FI35" s="325" t="str">
        <f>IFERROR(Tbl_MeasureList[[#This Row],[ER Total High Measure Electric Annual Consumption Savings (kWh/yr)]]*OIL_GAL_PER_SITE_KWH,"-")</f>
        <v>-</v>
      </c>
      <c r="FJ35" s="326" t="str">
        <f>IFERROR(Tbl_MeasureList[[#This Row],[ER Total High Measure Oil Annual Consumption Savings (MMBtu/yr)]]*Btu_per_MMBtu/OIL_BTU_PER_GAL,"-")</f>
        <v>-</v>
      </c>
      <c r="FK35" s="325" t="str">
        <f>IFERROR(Tbl_MeasureList[[#This Row],[Current ER Total High Measure Oil Source Fuel Savings (gallons oil/year)]]+Tbl_MeasureList[[#This Row],[Current ER Total High Measure Oil Site Fuel Savings (gallons oil/year)]],"-")</f>
        <v>-</v>
      </c>
      <c r="FL35" s="326" t="str">
        <f>IFERROR(Tbl_MeasureList[[#This Row],[ER Total High Measure Electric Annual Consumption Savings (kWh/yr)]]*GAS_BTU_PER_SITE_KWH/Btu_per_MMBtu,"-")</f>
        <v>-</v>
      </c>
      <c r="FM35" s="327" t="str">
        <f>IFERROR(Tbl_MeasureList[[#This Row],[ER Total High Measure Electric Annual Consumption Savings (kWh/yr)]]*GAS_CUFT_PER_SITE_KWH/1000,"-")</f>
        <v>-</v>
      </c>
      <c r="FN35" s="328" t="str">
        <f>IFERROR(Tbl_MeasureList[[#This Row],[ER Total High Measure Natural Gas Annual Consumption Savings (therms/yr)]]*Btu_per_MMBtu/(GAS_BTU_PER_CUFT*Therm_per_MMBtu*1000),"-")</f>
        <v>-</v>
      </c>
      <c r="FO35" s="329" t="str">
        <f>IFERROR(Tbl_MeasureList[[#This Row],[Current ER Total High Measure Gas Source Fuel Savings (1,000 cu.ft. gas/year)]]+Tbl_MeasureList[[#This Row],[Current ER Total High Measure Gas Site Fuel Savings (1,000 cu.ft gas/year)]],"-")</f>
        <v>-</v>
      </c>
      <c r="FP35" s="412">
        <f ca="1">Tbl_MeasureList[[#This Row],[ROF Low Measure Electric Annual Consumption Savings (kWh/yr)]]*COAL_BTU_PER_SITE_KWH/Btu_per_MMBtu</f>
        <v>6.6043712461796487E-5</v>
      </c>
      <c r="FQ35" s="327">
        <f ca="1">Tbl_MeasureList[[#This Row],[ROF Low Measure Electric Annual Consumption Savings (kWh/yr)]]*COAL_LBS_PER_SITE_KWH</f>
        <v>5.7933081106839026E-3</v>
      </c>
      <c r="FR35" s="412">
        <f ca="1">Tbl_MeasureList[[#This Row],[ROF Low Measure Electric Annual Consumption Savings (kWh/yr)]]*OIL_BTU_PER_SITE_KWH/Btu_per_MMBtu</f>
        <v>7.6029149483480403E-5</v>
      </c>
      <c r="FS35" s="327">
        <f ca="1">Tbl_MeasureList[[#This Row],[ROF Low Measure Electric Annual Consumption Savings (kWh/yr)]]*OIL_GAL_PER_SITE_KWH</f>
        <v>5.5115552925789565E-4</v>
      </c>
      <c r="FT35" s="412">
        <f ca="1">Tbl_MeasureList[[#This Row],[ROF Low Measure Oil Annual Consumption Savings (MMBtu/yr)]]*Btu_per_MMBtu/OIL_BTU_PER_GAL</f>
        <v>0</v>
      </c>
      <c r="FU35" s="327">
        <f ca="1">Tbl_MeasureList[[#This Row],[Current ROF Low Measure Oil Source Fuel Savings (gallons oil/year)]]+Tbl_MeasureList[[#This Row],[Current ROF Low Measure Oil Site Fuel Savings (gallons oil/year)]]</f>
        <v>5.5115552925789565E-4</v>
      </c>
      <c r="FV35" s="412">
        <f ca="1">Tbl_MeasureList[[#This Row],[ROF Low Measure Electric Annual Consumption Savings (kWh/yr)]]*GAS_BTU_PER_SITE_KWH/Btu_per_MMBtu</f>
        <v>2.4552785203049467E-3</v>
      </c>
      <c r="FW35" s="327">
        <f ca="1">Tbl_MeasureList[[#This Row],[ROF Low Measure Electric Annual Consumption Savings (kWh/yr)]]*GAS_CUFT_PER_SITE_KWH/1000</f>
        <v>2.3860821382944084E-3</v>
      </c>
      <c r="FX35" s="412">
        <f ca="1">Tbl_MeasureList[[#This Row],[ROF Low Measure Natural Gas Annual Consumption Savings (therms/yr)]]*Btu_per_MMBtu/(GAS_BTU_PER_CUFT*Therm_per_MMBtu*1000)</f>
        <v>-12.622454564748724</v>
      </c>
      <c r="FY35" s="327">
        <f ca="1">Tbl_MeasureList[[#This Row],[Current ROF Low Measure Gas Source Fuel Savings (1,000 cu.ft. gas/year)]]+Tbl_MeasureList[[#This Row],[Current ROF Low Measure Gas Site Fuel Savings (1,000 cu.ft gas/year)]]</f>
        <v>-12.62006848261043</v>
      </c>
      <c r="FZ35" s="414" t="str">
        <f>IFERROR(Tbl_MeasureList[[#This Row],[ROF High Measure Electric Annual Consumption Savings (kWh/yr)]]*COAL_BTU_PER_SITE_KWH/Btu_per_MMBtu,"-")</f>
        <v>-</v>
      </c>
      <c r="GA35" s="327" t="str">
        <f>IFERROR(Tbl_MeasureList[[#This Row],[ROF High Measure Electric Annual Consumption Savings (kWh/yr)]]*COAL_LBS_PER_SITE_KWH,"-")</f>
        <v>-</v>
      </c>
      <c r="GB35" s="412" t="str">
        <f>IFERROR(Tbl_MeasureList[[#This Row],[ROF High Measure Electric Annual Consumption Savings (kWh/yr)]]*OIL_BTU_PER_SITE_KWH/Btu_per_MMBtu,"-")</f>
        <v>-</v>
      </c>
      <c r="GC35" s="327" t="str">
        <f>IFERROR(Tbl_MeasureList[[#This Row],[ROF High Measure Electric Annual Consumption Savings (kWh/yr)]]*OIL_GAL_PER_SITE_KWH,"-")</f>
        <v>-</v>
      </c>
      <c r="GD35" s="412" t="str">
        <f>IFERROR(Tbl_MeasureList[[#This Row],[ROF High Measure Oil Annual Consumption Savings (MMBtu/yr)]]*Btu_per_MMBtu/OIL_BTU_PER_GAL,"-")</f>
        <v>-</v>
      </c>
      <c r="GE35" s="327" t="str">
        <f>IFERROR(Tbl_MeasureList[[#This Row],[Current ROF High Measure Oil Source Fuel Savings (gallons oil/year)]]+Tbl_MeasureList[[#This Row],[Current ROF High Measure Oil Site Fuel Savings (gallons oil/year)]],"-")</f>
        <v>-</v>
      </c>
      <c r="GF35" s="412" t="str">
        <f>IFERROR(Tbl_MeasureList[[#This Row],[ROF High Measure Electric Annual Consumption Savings (kWh/yr)]]*GAS_BTU_PER_SITE_KWH/Btu_per_MMBtu,"-")</f>
        <v>-</v>
      </c>
      <c r="GG35" s="327" t="str">
        <f>IFERROR(Tbl_MeasureList[[#This Row],[ROF High Measure Electric Annual Consumption Savings (kWh/yr)]]*GAS_CUFT_PER_SITE_KWH/1000,"-")</f>
        <v>-</v>
      </c>
      <c r="GH35" s="412" t="str">
        <f>IFERROR(Tbl_MeasureList[[#This Row],[ROF High Measure Natural Gas Annual Consumption Savings (therms/yr)]]*Btu_per_MMBtu/(GAS_BTU_PER_CUFT*Therm_per_MMBtu*1000),"-")</f>
        <v>-</v>
      </c>
      <c r="GI35" s="327" t="str">
        <f>IFERROR(Tbl_MeasureList[[#This Row],[Current ROF High Measure Gas Source Fuel Savings (1,000 cu.ft. gas/year)]]+Tbl_MeasureList[[#This Row],[Current ROF High Measure Gas Site Fuel Savings (1,000 cu.ft gas/year)]],"-")</f>
        <v>-</v>
      </c>
      <c r="GJ35" s="324">
        <f ca="1">Tbl_MeasureList[[#This Row],[ER Total Low Measure Electric Annual Consumption Savings (kWh/yr)]]*COAL_BTU_PER_SITE_KWH_CES/Btu_per_MMBtu</f>
        <v>-5.0523440033274549E-4</v>
      </c>
      <c r="GK35" s="325">
        <f ca="1">Tbl_MeasureList[[#This Row],[ER Total Low Measure Electric Annual Consumption Savings (kWh/yr)]]*COAL_LBS_PER_SITE_KWH_CES</f>
        <v>-4.5880348740714262E-2</v>
      </c>
      <c r="GL35" s="326">
        <f ca="1">Tbl_MeasureList[[#This Row],[ER Total Low Measure Electric Annual Consumption Savings (kWh/yr)]]*OIL_BTU_PER_SITE_KWH_CES/Btu_per_MMBtu</f>
        <v>-1.5551416939802882E-4</v>
      </c>
      <c r="GM35" s="325">
        <f ca="1">Tbl_MeasureList[[#This Row],[ER Total Low Measure Electric Annual Consumption Savings (kWh/yr)]]*OIL_GAL_PER_SITE_KWH_CES</f>
        <v>-1.0491834615044045E-3</v>
      </c>
      <c r="GN35" s="326">
        <f ca="1">Tbl_MeasureList[[#This Row],[ER Total Low Measure Oil Annual Consumption Savings (MMBtu/yr)]]*Btu_per_MMBtu/OIL_BTU_PER_GAL_CES</f>
        <v>0</v>
      </c>
      <c r="GO35" s="325">
        <f ca="1">Tbl_MeasureList[[#This Row],[CES ER Low Measure Oil Source Fuel Savings (gallons oil/year)]]+Tbl_MeasureList[[#This Row],[CES ER Low Measure Oil Site Fuel Savings (gallons oil/year)]]</f>
        <v>-1.0491834615044045E-3</v>
      </c>
      <c r="GP35" s="326">
        <f ca="1">Tbl_MeasureList[[#This Row],[ER Total Low Measure Electric Annual Consumption Savings (kWh/yr)]]*GAS_BTU_PER_SITE_KWH_CES/Btu_per_MMBtu</f>
        <v>-4.5998891462039823E-3</v>
      </c>
      <c r="GQ35" s="327">
        <f ca="1">Tbl_MeasureList[[#This Row],[ER Total Low Measure Electric Annual Consumption Savings (kWh/yr)]]*GAS_CUFT_PER_SITE_KWH_CES/1000</f>
        <v>-4.4659117924310508E-3</v>
      </c>
      <c r="GR35" s="328">
        <f ca="1">Tbl_MeasureList[[#This Row],[ER Total Low Measure Natural Gas Annual Consumption Savings (therms/yr)]]*Btu_per_MMBtu/(GAS_BTU_PER_CUFT_CES*Therm_per_MMBtu*1000)</f>
        <v>-12.610199754491685</v>
      </c>
      <c r="GS35" s="329">
        <f ca="1">Tbl_MeasureList[[#This Row],[CES ER Low Measure Gas Source Fuel Savings (1,000 cu.ft. gas/year)]]+Tbl_MeasureList[[#This Row],[CES ER Low Measure Gas Site Fuel Savings (1,000 cu.ft gas/year)]]</f>
        <v>-12.614665666284116</v>
      </c>
      <c r="GT35" s="324" t="str">
        <f>IFERROR(Tbl_MeasureList[[#This Row],[ER Total High Measure Electric Annual Consumption Savings (kWh/yr)]]*COAL_BTU_PER_SITE_KWH_CES/Btu_per_MMBtu,"-")</f>
        <v>-</v>
      </c>
      <c r="GU35" s="325" t="str">
        <f>IFERROR(Tbl_MeasureList[[#This Row],[ER Total High Measure Electric Annual Consumption Savings (kWh/yr)]]*COAL_LBS_PER_SITE_KWH_CES,"-")</f>
        <v>-</v>
      </c>
      <c r="GV35" s="326" t="str">
        <f>IFERROR(Tbl_MeasureList[[#This Row],[ER Total High Measure Electric Annual Consumption Savings (kWh/yr)]]*OIL_BTU_PER_SITE_KWH_CES/Btu_per_MMBtu,"-")</f>
        <v>-</v>
      </c>
      <c r="GW35" s="325" t="str">
        <f>IFERROR(Tbl_MeasureList[[#This Row],[ER Total High Measure Electric Annual Consumption Savings (kWh/yr)]]*OIL_GAL_PER_SITE_KWH_CES,"-")</f>
        <v>-</v>
      </c>
      <c r="GX35" s="326" t="str">
        <f>IFERROR(Tbl_MeasureList[[#This Row],[ER Total High Measure Oil Annual Consumption Savings (MMBtu/yr)]]*Btu_per_MMBtu/OIL_BTU_PER_GAL_CES,"-")</f>
        <v>-</v>
      </c>
      <c r="GY35" s="325" t="str">
        <f>IFERROR(Tbl_MeasureList[[#This Row],[CES ER High Measure Oil Source Fuel Savings (gallons oil/year)]]+Tbl_MeasureList[[#This Row],[CES ER High Measure Oil Site Fuel Savings (gallons oil/year)]],"-")</f>
        <v>-</v>
      </c>
      <c r="GZ35" s="326" t="str">
        <f>IFERROR(Tbl_MeasureList[[#This Row],[ER Total High Measure Electric Annual Consumption Savings (kWh/yr)]]*GAS_BTU_PER_SITE_KWH_CES/Btu_per_MMBtu,"-")</f>
        <v>-</v>
      </c>
      <c r="HA35" s="327" t="str">
        <f>IFERROR(Tbl_MeasureList[[#This Row],[ER Total High Measure Electric Annual Consumption Savings (kWh/yr)]]*GAS_CUFT_PER_SITE_KWH_CES/1000,"-")</f>
        <v>-</v>
      </c>
      <c r="HB35" s="328" t="str">
        <f>IFERROR(Tbl_MeasureList[[#This Row],[ER Total High Measure Natural Gas Annual Consumption Savings (therms/yr)]]*Btu_per_MMBtu/(GAS_BTU_PER_CUFT_CES*Therm_per_MMBtu*1000),"-")</f>
        <v>-</v>
      </c>
      <c r="HC35" s="329" t="str">
        <f>IFERROR(Tbl_MeasureList[[#This Row],[CES ER High Measure Gas Source Fuel Savings (1,000 cu.ft. gas/year)]]+Tbl_MeasureList[[#This Row],[CES ER High Measure Gas Site Fuel Savings (1,000 cu.ft gas/year)]],"-")</f>
        <v>-</v>
      </c>
      <c r="HD35" s="315">
        <f ca="1">Tbl_MeasureList[[#This Row],[ROF Low Measure Electric Annual Consumption Savings (kWh/yr)]]*COAL_BTU_PER_SITE_KWH_CES/Btu_per_MMBtu</f>
        <v>1.1227431118505402E-4</v>
      </c>
      <c r="HE35" s="316">
        <f ca="1">Tbl_MeasureList[[#This Row],[ROF Low Measure Electric Annual Consumption Savings (kWh/yr)]]*COAL_LBS_PER_SITE_KWH_CES</f>
        <v>1.0195633053492012E-2</v>
      </c>
      <c r="HF35" s="317">
        <f ca="1">Tbl_MeasureList[[#This Row],[ROF Low Measure Electric Annual Consumption Savings (kWh/yr)]]*OIL_BTU_PER_SITE_KWH_CES/Btu_per_MMBtu</f>
        <v>3.4558704310672917E-5</v>
      </c>
      <c r="HG35" s="316">
        <f ca="1">Tbl_MeasureList[[#This Row],[ROF Low Measure Electric Annual Consumption Savings (kWh/yr)]]*OIL_GAL_PER_SITE_KWH_CES</f>
        <v>2.3315188033431103E-4</v>
      </c>
      <c r="HH35" s="317">
        <f ca="1">Tbl_MeasureList[[#This Row],[ROF Low Measure Oil Annual Consumption Savings (MMBtu/yr)]]*Btu_per_MMBtu/OIL_BTU_PER_GAL_CES</f>
        <v>0</v>
      </c>
      <c r="HI35" s="316">
        <f ca="1">Tbl_MeasureList[[#This Row],[CES ROF Low Measure Oil Source Fuel Savings (gallons oil/year)]]+Tbl_MeasureList[[#This Row],[CES ROF Low Measure Oil Site Fuel Savings (gallons oil/year)]]</f>
        <v>2.3315188033431103E-4</v>
      </c>
      <c r="HJ35" s="317">
        <f ca="1">Tbl_MeasureList[[#This Row],[ROF Low Measure Electric Annual Consumption Savings (kWh/yr)]]*GAS_BTU_PER_SITE_KWH_CES/Btu_per_MMBtu</f>
        <v>1.0221975880453248E-3</v>
      </c>
      <c r="HK35" s="316">
        <f ca="1">Tbl_MeasureList[[#This Row],[ROF Low Measure Electric Annual Consumption Savings (kWh/yr)]]*GAS_CUFT_PER_SITE_KWH_CES/1000</f>
        <v>9.9242484276245119E-4</v>
      </c>
      <c r="HL35" s="317">
        <f ca="1">Tbl_MeasureList[[#This Row],[ROF Low Measure Natural Gas Annual Consumption Savings (therms/yr)]]*Btu_per_MMBtu/(GAS_BTU_PER_CUFT_CES*Therm_per_MMBtu*1000)</f>
        <v>-12.610199754491685</v>
      </c>
      <c r="HM35" s="318">
        <f ca="1">Tbl_MeasureList[[#This Row],[CES ROF Low Measure Gas Source Fuel Savings (1,000 cu.ft. gas/year)]]+Tbl_MeasureList[[#This Row],[CES ROF Low Measure Gas Site Fuel Savings (1,000 cu.ft gas/year)]]</f>
        <v>-12.609207329648923</v>
      </c>
      <c r="HN35" s="315" t="str">
        <f>IFERROR(Tbl_MeasureList[[#This Row],[ROF High Measure Electric Annual Consumption Savings (kWh/yr)]]*COAL_BTU_PER_SITE_KWH_CES/Btu_per_MMBtu,"-")</f>
        <v>-</v>
      </c>
      <c r="HO35" s="316" t="str">
        <f>IFERROR(Tbl_MeasureList[[#This Row],[ROF High Measure Electric Annual Consumption Savings (kWh/yr)]]*COAL_LBS_PER_SITE_KWH_CES,"-")</f>
        <v>-</v>
      </c>
      <c r="HP35" s="317" t="str">
        <f>IFERROR(Tbl_MeasureList[[#This Row],[ROF High Measure Electric Annual Consumption Savings (kWh/yr)]]*OIL_BTU_PER_SITE_KWH_CES/Btu_per_MMBtu,"-")</f>
        <v>-</v>
      </c>
      <c r="HQ35" s="316" t="str">
        <f>IFERROR(Tbl_MeasureList[[#This Row],[ROF High Measure Electric Annual Consumption Savings (kWh/yr)]]*OIL_GAL_PER_SITE_KWH_CES,"-")</f>
        <v>-</v>
      </c>
      <c r="HR35" s="317" t="str">
        <f>IFERROR(Tbl_MeasureList[[#This Row],[ROF High Measure Oil Annual Consumption Savings (MMBtu/yr)]]*Btu_per_MMBtu/OIL_BTU_PER_GAL_CES,"-")</f>
        <v>-</v>
      </c>
      <c r="HS35" s="316" t="str">
        <f>IFERROR(Tbl_MeasureList[[#This Row],[CES ROF High Measure Oil Source Fuel Savings (gallons oil/year)]]+Tbl_MeasureList[[#This Row],[CES ROF High Measure Oil Site Fuel Savings (gallons oil/year)]],"-")</f>
        <v>-</v>
      </c>
      <c r="HT35" s="317" t="str">
        <f>IFERROR(Tbl_MeasureList[[#This Row],[ROF High Measure Electric Annual Consumption Savings (kWh/yr)]]*GAS_BTU_PER_SITE_KWH_CES/Btu_per_MMBtu,"-")</f>
        <v>-</v>
      </c>
      <c r="HU35" s="316" t="str">
        <f>IFERROR(Tbl_MeasureList[[#This Row],[ROF High Measure Electric Annual Consumption Savings (kWh/yr)]]*GAS_CUFT_PER_SITE_KWH_CES/1000,"-")</f>
        <v>-</v>
      </c>
      <c r="HV35" s="317" t="str">
        <f>IFERROR(Tbl_MeasureList[[#This Row],[ROF High Measure Natural Gas Annual Consumption Savings (therms/yr)]]*Btu_per_MMBtu/(GAS_BTU_PER_CUFT_CES*Therm_per_MMBtu*1000),"-")</f>
        <v>-</v>
      </c>
      <c r="HW35" s="318" t="str">
        <f>IFERROR(Tbl_MeasureList[[#This Row],[CES ROF High Measure Gas Source Fuel Savings (1,000 cu.ft. gas/year)]]+Tbl_MeasureList[[#This Row],[CES ROF High Measure Gas Site Fuel Savings (1,000 cu.ft gas/year)]],"-")</f>
        <v>-</v>
      </c>
      <c r="HX35" s="248">
        <f>Tbl_MeasureList[[#This Row],[Baseline Energy Cost (USD/yr)]]-Tbl_MeasureList[[#This Row],[Code (old fuel) Energy Cost (USD/yr)]]</f>
        <v>62.902596438059959</v>
      </c>
      <c r="HY35" s="201">
        <f>0</f>
        <v>0</v>
      </c>
      <c r="HZ35" s="86">
        <f>Tbl_MeasureList[[#This Row],[Baseline Electric Annual Consumption (kWh/yr)]]-Tbl_MeasureList[[#This Row],[Code (old fuel) Electric Annual Consumption (kWh/yr)]]</f>
        <v>-3.3000000000000007</v>
      </c>
      <c r="IA35" s="86" t="str">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v>
      </c>
      <c r="IB35" s="86" t="str">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v>
      </c>
      <c r="IC35" s="152">
        <f>Tbl_MeasureList[[#This Row],[Baseline Electric Winter Peak Demand (kW)]]-Tbl_MeasureList[[#This Row],[Code (old fuel) Electric Winter Peak Demand (kW)]]</f>
        <v>-1.3028030003947883E-3</v>
      </c>
      <c r="ID35" s="152">
        <f>Tbl_MeasureList[[#This Row],[Baseline Electric Summer Peak Demand (kW)]]-Tbl_MeasureList[[#This Row],[Code (old fuel) Electric Summer Peak Demand (kW)]]</f>
        <v>-6.123174101855507E-4</v>
      </c>
      <c r="IE35" s="251">
        <f>Tbl_MeasureList[[#This Row],[Baseline Natural Gas Annual Consumption (therms/yr)]]-Tbl_MeasureList[[#This Row],[Code (old fuel) Natural Gas Annual Consumption (therms/yr)]]</f>
        <v>0</v>
      </c>
      <c r="IF35" s="252">
        <f>Tbl_MeasureList[[#This Row],[Baseline Propane Annual Consumption (MMBtu/yr)]]-Tbl_MeasureList[[#This Row],[Code (old fuel) Propane Annual Consumption (MMBtu/yr)]]</f>
        <v>1.7681082981715903</v>
      </c>
      <c r="IG35" s="253">
        <f>Tbl_MeasureList[[#This Row],[Baseline Oil Annual Consumption (MMBtu/yr)]]-Tbl_MeasureList[[#This Row],[Code (old fuel) Oil Annual Consumption (MMBtu/yr)]]</f>
        <v>0</v>
      </c>
      <c r="IH35" s="371">
        <f>Tbl_MeasureList[[#This Row],[Baseline Energy Consumption on MMBtu Basis (MMBtu/yr)]]-Tbl_MeasureList[[#This Row],[Code (old fuel) Energy Consumption on MMBtu Basis (MMBtu/yr)]]</f>
        <v>1.7568486981715896</v>
      </c>
      <c r="II35" s="371">
        <f>Tbl_MeasureList[[#This Row],[Baseline Carbon Emissions, Site (tons CO2/yr)]]-Tbl_MeasureList[[#This Row],[Code (old fuel) Carbon Emissions, Site (tons CO2/yr)]]</f>
        <v>0.12288352672292557</v>
      </c>
      <c r="IJ35" s="279">
        <f>Tbl_MeasureList[[#This Row],[Baseline Carbon Emissions, Source (tons CO2/yr)]]-Tbl_MeasureList[[#This Row],[Code (old fuel) Carbon Emissions, Source (tons CO2/yr)]]</f>
        <v>0.12171809872292561</v>
      </c>
      <c r="IK35" s="273">
        <f ca="1">Tbl_MeasureList[[#This Row],[Code (new fuel) Energy Cost (USD/yr)]]-Tbl_MeasureList[[#This Row],[Low Measure Energy Cost (USD/yr)]]</f>
        <v>18.450332298850583</v>
      </c>
      <c r="IL35"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7515.0033953543661</v>
      </c>
      <c r="IM35" s="85">
        <f ca="1">Tbl_MeasureList[[#This Row],[Code (old fuel) Electric Annual Consumption (kWh/yr)]]-Tbl_MeasureList[[#This Row],[Low Measure Electric Annual Consumption (kWh/yr)]]</f>
        <v>0.59999999999999787</v>
      </c>
      <c r="IN35" s="85" t="str">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v>
      </c>
      <c r="IO35" s="85" t="str">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v>
      </c>
      <c r="IP35" s="152">
        <f ca="1">Tbl_MeasureList[[#This Row],[Code (old fuel) Electric Winter Peak Demand (kW)]]-Tbl_MeasureList[[#This Row],[Low Measure Electric Winter Peak Demand (kW)]]</f>
        <v>2.36873272799051E-4</v>
      </c>
      <c r="IQ35" s="152">
        <f ca="1">Tbl_MeasureList[[#This Row],[Code (old fuel) Electric Summer Peak Demand (kW)]]-Tbl_MeasureList[[#This Row],[Low Measure Electric Summer Peak Demand (kW)]]</f>
        <v>1.1133043821555388E-4</v>
      </c>
      <c r="IR35" s="204">
        <f ca="1">Tbl_MeasureList[[#This Row],[Code (old fuel) Natural Gas Annual Consumption (therms/yr)]]-Tbl_MeasureList[[#This Row],[Low Measure Natural Gas Annual Consumption (therms/yr)]]</f>
        <v>-129.88505747126436</v>
      </c>
      <c r="IS35" s="153">
        <f ca="1">Tbl_MeasureList[[#This Row],[Code (old fuel) Propane Annual Consumption (MMBtu/yr)]]-Tbl_MeasureList[[#This Row],[Low Measure Propane Annual Consumption (MMBtu/yr)]]</f>
        <v>14.125</v>
      </c>
      <c r="IT35" s="204">
        <f ca="1">Tbl_MeasureList[[#This Row],[Code (old fuel) Oil Annual Consumption (MMBtu/yr)]]-Tbl_MeasureList[[#This Row],[Low Measure Oil Annual Consumption (MMBtu/yr)]]</f>
        <v>0</v>
      </c>
      <c r="IU35" s="204">
        <f ca="1">Tbl_MeasureList[[#This Row],[Code (old fuel) Energy Consumption on MMBtu Basis (MMBtu/yr)]]-Tbl_MeasureList[[#This Row],[Low Measure Energy Consumption on MMBtu Basis (MMBtu/yr)]]</f>
        <v>1.1385414528735645</v>
      </c>
      <c r="IV35" s="204">
        <f ca="1">Tbl_MeasureList[[#This Row],[Code (old fuel) Carbon Emissions, Site (tons CO2/yr)]]-Tbl_MeasureList[[#This Row],[Low Measure Carbon Emissions, Site (tons CO2/yr)]]</f>
        <v>0.22185991379310355</v>
      </c>
      <c r="IW35" s="260">
        <f ca="1">Tbl_MeasureList[[#This Row],[Code (old fuel) Carbon Emissions, Source (tons CO2/yr)]]-Tbl_MeasureList[[#This Row],[Low Measure Carbon Emissions, Source (tons CO2/yr)]]</f>
        <v>0.22207180979310348</v>
      </c>
      <c r="IX35" s="27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v>
      </c>
      <c r="IY35" s="201"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v>
      </c>
      <c r="IZ35" s="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v>
      </c>
      <c r="JA35" s="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v>
      </c>
      <c r="JB35" s="85"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v>
      </c>
      <c r="JC35" s="152"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v>
      </c>
      <c r="JD35" s="152"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v>
      </c>
      <c r="JE35" s="204"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v>
      </c>
      <c r="JF35" s="153"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v>
      </c>
      <c r="JG35" s="204"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v>
      </c>
      <c r="JH35" s="204"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v>
      </c>
      <c r="JI35" s="204"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v>
      </c>
      <c r="JJ35" s="321" t="str">
        <f>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v>
      </c>
      <c r="JK35" s="432">
        <f>Tbl_MeasureList[[#This Row],[ER (Retire) Electric Annual Consumption Savings (kWh/yr)]]*COAL_BTU_PER_SITE_KWH/Btu_per_MMBtu</f>
        <v>-3.6324041853988203E-4</v>
      </c>
      <c r="JL35" s="428">
        <f>Tbl_MeasureList[[#This Row],[ER (Retire) Electric Annual Consumption Savings (kWh/yr)]]*COAL_LBS_PER_SITE_KWH</f>
        <v>-3.186319460876158E-2</v>
      </c>
      <c r="JM35" s="427">
        <f>Tbl_MeasureList[[#This Row],[ER (Retire) Electric Annual Consumption Savings (kWh/yr)]]*OIL_BTU_PER_SITE_KWH/Btu_per_MMBtu</f>
        <v>-4.1816032215914387E-4</v>
      </c>
      <c r="JN35" s="428">
        <f>Tbl_MeasureList[[#This Row],[ER (Retire) Electric Annual Consumption Savings (kWh/yr)]]*OIL_GAL_PER_SITE_KWH</f>
        <v>-3.0313554109184372E-3</v>
      </c>
      <c r="JO35" s="427">
        <f>Tbl_MeasureList[[#This Row],[ER (Retire) Oil Annual Consumption Savings (MMBtu/yr)]]*Btu_per_MMBtu/OIL_BTU_PER_GAL</f>
        <v>0</v>
      </c>
      <c r="JP35" s="428">
        <f ca="1">Tbl_MeasureList[[#This Row],[Current ER (Retire) Oil Source Fuel Savings (gallons oil/year)]]+Tbl_MeasureList[[#This Row],[Current ER Total Low Measure Oil Site Fuel Savings (gallons oil/year)]]</f>
        <v>-3.0313554109184372E-3</v>
      </c>
      <c r="JQ35" s="427">
        <f>Tbl_MeasureList[[#This Row],[ER (Retire) Electric Annual Consumption Savings (kWh/yr)]]*GAS_BTU_PER_SITE_KWH/Btu_per_MMBtu</f>
        <v>-1.3504031861677257E-2</v>
      </c>
      <c r="JR35" s="429">
        <f>Tbl_MeasureList[[#This Row],[ER (Retire) Electric Annual Consumption Savings (kWh/yr)]]*GAS_CUFT_PER_SITE_KWH/1000</f>
        <v>-1.3123451760619296E-2</v>
      </c>
      <c r="JS35" s="430">
        <f>Tbl_MeasureList[[#This Row],[ER (Retire) Natural Gas Annual Consumption Savings (therms/yr)]]*Btu_per_MMBtu/(GAS_BTU_PER_CUFT*Therm_per_MMBtu*1000)</f>
        <v>0</v>
      </c>
      <c r="JT35" s="431">
        <f ca="1">Tbl_MeasureList[[#This Row],[Current ER (Retire) Gas Source Fuel Savings (1,000 cu.ft. gas/year)]]+Tbl_MeasureList[[#This Row],[Current ER Total Low Measure Gas Site Fuel Savings (1,000 cu.ft gas/year)]]</f>
        <v>-12.635578016509342</v>
      </c>
      <c r="JU35" s="432">
        <f ca="1">Tbl_MeasureList[[#This Row],[ER (EE) Low Measure Electric Annual Consumption Savings (kWh/yr)]]*COAL_BTU_PER_SITE_KWH/Btu_per_MMBtu</f>
        <v>6.6043712461796487E-5</v>
      </c>
      <c r="JV35" s="428">
        <f ca="1">Tbl_MeasureList[[#This Row],[ER (EE) Low Measure Electric Annual Consumption Savings (kWh/yr)]]*COAL_LBS_PER_SITE_KWH</f>
        <v>5.7933081106839026E-3</v>
      </c>
      <c r="JW35" s="427">
        <f ca="1">Tbl_MeasureList[[#This Row],[ER (EE) Low Measure Electric Annual Consumption Savings (kWh/yr)]]*OIL_BTU_PER_SITE_KWH/Btu_per_MMBtu</f>
        <v>7.6029149483480403E-5</v>
      </c>
      <c r="JX35" s="428">
        <f ca="1">Tbl_MeasureList[[#This Row],[ER (EE) Low Measure Electric Annual Consumption Savings (kWh/yr)]]*OIL_GAL_PER_SITE_KWH</f>
        <v>5.5115552925789565E-4</v>
      </c>
      <c r="JY35" s="427">
        <f ca="1">Tbl_MeasureList[[#This Row],[ER (EE) Low Measure Oil Annual Consumption Savings (MMBtu/yr)]]*Btu_per_MMBtu/OIL_BTU_PER_GAL</f>
        <v>0</v>
      </c>
      <c r="JZ35" s="428">
        <f ca="1">Tbl_MeasureList[[#This Row],[Current ER (EE) Low Measure Oil Source Fuel Savings (gallons oil/year)]]+Tbl_MeasureList[[#This Row],[Current ER (EE) Low Measure Oil Site Fuel Savings (gallons oil/year)]]</f>
        <v>5.5115552925789565E-4</v>
      </c>
      <c r="KA35" s="427">
        <f ca="1">Tbl_MeasureList[[#This Row],[ER (EE) Low Measure Electric Annual Consumption Savings (kWh/yr)]]*GAS_BTU_PER_SITE_KWH/Btu_per_MMBtu</f>
        <v>2.4552785203049467E-3</v>
      </c>
      <c r="KB35" s="429">
        <f ca="1">Tbl_MeasureList[[#This Row],[ER (EE) Low Measure Electric Annual Consumption Savings (kWh/yr)]]*GAS_CUFT_PER_SITE_KWH/1000</f>
        <v>2.3860821382944084E-3</v>
      </c>
      <c r="KC35" s="430">
        <f ca="1">Tbl_MeasureList[[#This Row],[ER (EE) Low Measure Natural Gas Annual Consumption Savings (therms/yr)]]*Btu_per_MMBtu/(GAS_BTU_PER_CUFT*Therm_per_MMBtu*1000)</f>
        <v>-12.622454564748724</v>
      </c>
      <c r="KD35" s="431">
        <f ca="1">Tbl_MeasureList[[#This Row],[Current ER (EE) Low Measure Gas Source Fuel Savings (1,000 cu.ft. gas/year)]]+Tbl_MeasureList[[#This Row],[Current ER (EE) Low Measure Gas Site Fuel Savings (1,000 cu.ft gas/year)]]</f>
        <v>-12.62006848261043</v>
      </c>
      <c r="KE35" s="432" t="str">
        <f>IFERROR(Tbl_MeasureList[[#This Row],[ER (EE) High Measure Electric Annual Consumption Savings (kWh/yr)]]*COAL_BTU_PER_SITE_KWH/Btu_per_MMBtu,"-")</f>
        <v>-</v>
      </c>
      <c r="KF35" s="428" t="str">
        <f>IFERROR(Tbl_MeasureList[[#This Row],[ER (EE) High Measure Electric Annual Consumption Savings (kWh/yr)]]*COAL_LBS_PER_SITE_KWH,"-")</f>
        <v>-</v>
      </c>
      <c r="KG35" s="427" t="str">
        <f>IFERROR(Tbl_MeasureList[[#This Row],[ER (EE) High Measure Electric Annual Consumption Savings (kWh/yr)]]*OIL_BTU_PER_SITE_KWH/Btu_per_MMBtu,"-")</f>
        <v>-</v>
      </c>
      <c r="KH35" s="428" t="str">
        <f>IFERROR(Tbl_MeasureList[[#This Row],[ER (EE) High Measure Electric Annual Consumption Savings (kWh/yr)]]*OIL_GAL_PER_SITE_KWH,"-")</f>
        <v>-</v>
      </c>
      <c r="KI35" s="427" t="str">
        <f>IFERROR(Tbl_MeasureList[[#This Row],[ER (EE) High Measure Oil Annual Consumption Savings (MMBtu/yr)]]*Btu_per_MMBtu/OIL_BTU_PER_GAL,"-")</f>
        <v>-</v>
      </c>
      <c r="KJ35" s="428" t="str">
        <f>IFERROR(Tbl_MeasureList[[#This Row],[Current ER (EE) High Measure Oil Source Fuel Savings (gallons oil/year)]]+Tbl_MeasureList[[#This Row],[Current ER (EE) High Measure Oil Site Fuel Savings (gallons oil/year)]],"-")</f>
        <v>-</v>
      </c>
      <c r="KK35" s="427" t="str">
        <f>IFERROR(Tbl_MeasureList[[#This Row],[ER (EE) High Measure Electric Annual Consumption Savings (kWh/yr)]]*GAS_BTU_PER_SITE_KWH/Btu_per_MMBtu,"-")</f>
        <v>-</v>
      </c>
      <c r="KL35" s="429" t="str">
        <f>IFERROR(Tbl_MeasureList[[#This Row],[ER (EE) High Measure Electric Annual Consumption Savings (kWh/yr)]]*GAS_CUFT_PER_SITE_KWH/1000,"-")</f>
        <v>-</v>
      </c>
      <c r="KM35" s="430" t="str">
        <f>IFERROR(Tbl_MeasureList[[#This Row],[ER (EE) High Measure Natural Gas Annual Consumption Savings (therms/yr)]]*Btu_per_MMBtu/(GAS_BTU_PER_CUFT*Therm_per_MMBtu*1000),"-")</f>
        <v>-</v>
      </c>
      <c r="KN35" s="431" t="str">
        <f>IFERROR(Tbl_MeasureList[[#This Row],[Current ER (EE) High Measure Gas Source Fuel Savings (1,000 cu.ft. gas/year)]]+Tbl_MeasureList[[#This Row],[Current ER (EE) High Measure Gas Site Fuel Savings (1,000 cu.ft gas/year)]],"-")</f>
        <v>-</v>
      </c>
    </row>
    <row r="36" spans="2:300" x14ac:dyDescent="0.2">
      <c r="B36" s="16"/>
      <c r="C36" s="228" t="s">
        <v>841</v>
      </c>
      <c r="D36" s="12" t="str">
        <f>INDEX(Tbl_BaselineSummary[Equipment ID],MATCH(Tbl_MeasureList[[#This Row],[Baseline ID]],Tbl_BaselineSummary[Baseline ID],0))</f>
        <v>EQUI032</v>
      </c>
      <c r="E36" s="342" t="str">
        <f>INDEX(Tbl_EquipmentDefinitions[Equipment Name],MATCH('Measure List'!$D36,Tbl_EquipmentDefinitions[Equipment ID],0))</f>
        <v>Central A/C+Oil Boiler</v>
      </c>
      <c r="F36" s="343" t="s">
        <v>843</v>
      </c>
      <c r="G36" s="342" t="str">
        <f>INDEX(Tbl_EquipmentDefinitions[Function],MATCH('Measure List'!$D36,Tbl_EquipmentDefinitions[Equipment ID],0))</f>
        <v>Cool+Heat</v>
      </c>
      <c r="H36" s="229" t="s">
        <v>111</v>
      </c>
      <c r="I36" s="229" t="s">
        <v>838</v>
      </c>
      <c r="J36" s="342" t="str">
        <f>INDEX(Tbl_EquipmentDefinitions[Equipment Name],MATCH('Measure List'!$I36,Tbl_EquipmentDefinitions[Equipment ID],0))</f>
        <v>Central HP+Oil Boiler</v>
      </c>
      <c r="K36" s="342">
        <f>INDEX(Tbl_EquipmentDefinitions[],MATCH(Tbl_MeasureList[[#This Row],[Replacement ID]],Tbl_EquipmentDefinitions[[Equipment ID]:[Equipment ID]],0),MATCH(Tbl_MeasureList[[#Headers],[New Unit Equipment Life (years)]],Tbl_EquipmentDefinitions[#Headers],0))</f>
        <v>20</v>
      </c>
      <c r="L36" s="342">
        <f>INDEX(Tbl_EquipmentDefinitions[],MATCH(Tbl_MeasureList[[#This Row],[Baseline Equipment ID]],Tbl_EquipmentDefinitions[[Equipment ID]:[Equipment ID]],0),MATCH(Tbl_MeasureList[[#Headers],[Remaining Life for Early Replacement (years)]],Tbl_EquipmentDefinitions[#Headers],0))</f>
        <v>10</v>
      </c>
      <c r="M36" s="344" t="str">
        <f>INDEX(Tbl_EquipmentDefinitions[Function],MATCH('Measure List'!$I36,Tbl_EquipmentDefinitions[Equipment ID],0))</f>
        <v>Cool+Heat</v>
      </c>
      <c r="N36" s="368" t="s">
        <v>750</v>
      </c>
      <c r="O36" s="345" t="str">
        <f t="shared" si="0"/>
        <v>OK</v>
      </c>
      <c r="P36" s="344" t="str">
        <f ca="1">IFERROR(INDIRECT(Tbl_MeasureList[[#This Row],[Measure ID]]&amp;"!D5"),"No tab")</f>
        <v>3. Ready</v>
      </c>
      <c r="Q36" s="342"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Electric</v>
      </c>
      <c r="R36" s="344"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Oil</v>
      </c>
      <c r="S36" s="342"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Electric</v>
      </c>
      <c r="T36" s="344"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Oil</v>
      </c>
      <c r="U36" s="346">
        <f>INDEX(Tbl_BaselineSummary[Baseline Annual Energy Cost (USD)],MATCH(Tbl_MeasureList[[#This Row],[Baseline ID]],Tbl_BaselineSummary[Baseline ID],0))</f>
        <v>2600.9999820291782</v>
      </c>
      <c r="V36" s="347">
        <f>INDEX(Tbl_BaselineSummary[Baseline Electric Annual Consumption  (kWh)],MATCH(Tbl_MeasureList[[#This Row],[Baseline ID]],Tbl_BaselineSummary[Baseline ID],0))</f>
        <v>1537.2800000000002</v>
      </c>
      <c r="W36" s="347">
        <f>INDEX(Tbl_BaselineSummary[Baseline Electric Winter Consumption (kWh)],MATCH(Tbl_MeasureList[[#This Row],[Baseline ID]],Tbl_BaselineSummary[Baseline ID],0))</f>
        <v>230</v>
      </c>
      <c r="X36" s="347">
        <f>INDEX(Tbl_BaselineSummary[Baseline Electric Summer Consumption (kWh)],MATCH(Tbl_MeasureList[[#This Row],[Baseline ID]],Tbl_BaselineSummary[Baseline ID],0))</f>
        <v>1307.2800000000002</v>
      </c>
      <c r="Y36" s="348">
        <f>INDEX(Tbl_BaselineSummary[Baseline Electric Baseline Winter Peak Demand (kW)],MATCH(Tbl_MeasureList[[#This Row],[Baseline ID]],Tbl_BaselineSummary[Baseline ID],0))</f>
        <v>3.5282837967401733E-2</v>
      </c>
      <c r="Z36" s="453">
        <f>INDEX(Tbl_BaselineSummary[Baseline Electric Baseline Summer Peak Demand (kW)],MATCH(Tbl_MeasureList[[#This Row],[Baseline ID]],Tbl_BaselineSummary[Baseline ID],0))</f>
        <v>1.835294117647059</v>
      </c>
      <c r="AA36" s="459">
        <f>INDEX(Tbl_BaselineSummary[Baseline Natural Gas Annual Consumption  (therms)],MATCH(Tbl_MeasureList[[#This Row],[Baseline ID]],Tbl_BaselineSummary[Baseline ID],0))</f>
        <v>0</v>
      </c>
      <c r="AB36" s="456">
        <f>INDEX(Tbl_BaselineSummary[Baseline Propane Annual Consumption  (MMBtu)],MATCH(Tbl_MeasureList[[#This Row],[Baseline ID]],Tbl_BaselineSummary[Baseline ID],0))</f>
        <v>0</v>
      </c>
      <c r="AC36" s="350">
        <f>INDEX(Tbl_BaselineSummary[Baseline Oil Annual Consumption  (MMBtu)],MATCH(Tbl_MeasureList[[#This Row],[Baseline ID]],Tbl_BaselineSummary[Baseline ID],0))</f>
        <v>102.26666666666667</v>
      </c>
      <c r="AD36" s="373">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107.51186602666667</v>
      </c>
      <c r="AE36" s="461">
        <f>(lbCO2_per_Therm_Gas*Tbl_MeasureList[[#This Row],[Baseline Natural Gas Annual Consumption (therms/yr)]]+lbCO2_per_MMBtu_Prop*Tbl_MeasureList[[#This Row],[Baseline Propane Annual Consumption (MMBtu/yr)]]+lbCO2_per_MMBtu_Oil*Tbl_MeasureList[[#This Row],[Baseline Oil Annual Consumption (MMBtu/yr)]])*Lbs_per_ShortTon</f>
        <v>8.2478066666666674</v>
      </c>
      <c r="AF36" s="464">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8.7907124714666676</v>
      </c>
      <c r="AG36" s="466">
        <f>INDEX(Tbl_BaselineSummary[Code Annual Energy Cost (USD)],MATCH(Tbl_MeasureList[[#This Row],[Baseline ID]],Tbl_BaselineSummary[Baseline ID],0))</f>
        <v>2295.2284639546233</v>
      </c>
      <c r="AH36" s="469">
        <f>INDEX(Tbl_BaselineSummary[Deferred Replacement Credit (USD)],MATCH(Tbl_MeasureList[[#This Row],[Baseline ID]],Tbl_BaselineSummary[Baseline ID],0))</f>
        <v>7514.8545914856777</v>
      </c>
      <c r="AI36" s="354">
        <f>INDEX(Tbl_BaselineSummary[A/C-only Deferred Replacement Credit (USD)],MATCH(Tbl_MeasureList[[#This Row],[Baseline ID]],Tbl_BaselineSummary[Baseline ID],0))</f>
        <v>6760.0638096312941</v>
      </c>
      <c r="AJ36" s="469">
        <f>INDEX(Tbl_BaselineSummary[Code Installed Costs (USD)],MATCH(Tbl_MeasureList[[#This Row],[Baseline ID]],Tbl_BaselineSummary[Baseline ID],0))</f>
        <v>17458.400000000001</v>
      </c>
      <c r="AK36" s="354">
        <f>INDEX(Tbl_BaselineSummary[Code A/C-only Installed Cost (USD)],MATCH(Tbl_MeasureList[[#This Row],[Baseline ID]],Tbl_BaselineSummary[Baseline ID],0))</f>
        <v>10592.4</v>
      </c>
      <c r="AL36" s="347">
        <f>INDEX(Tbl_BaselineSummary[Code Electric Annual Consumption (kWh)],MATCH(Tbl_MeasureList[[#This Row],[Baseline ID]],Tbl_BaselineSummary[Baseline ID],0))</f>
        <v>1235.6000000000001</v>
      </c>
      <c r="AM36" s="347">
        <f>INDEX(Tbl_BaselineSummary[Code Electric Winter Consumption (kWh)],MATCH(Tbl_MeasureList[[#This Row],[Baseline ID]],Tbl_BaselineSummary[Baseline ID],0))</f>
        <v>230</v>
      </c>
      <c r="AN36" s="347">
        <f>INDEX(Tbl_BaselineSummary[Code Electric Summer Consumption (kWh)],MATCH(Tbl_MeasureList[[#This Row],[Baseline ID]],Tbl_BaselineSummary[Baseline ID],0))</f>
        <v>1005.6000000000001</v>
      </c>
      <c r="AO36" s="355">
        <f>INDEX(Tbl_BaselineSummary[Code Electric Winter Peak Demand (kW)],MATCH(Tbl_MeasureList[[#This Row],[Baseline ID]],Tbl_BaselineSummary[Baseline ID],0))</f>
        <v>3.5282837967401733E-2</v>
      </c>
      <c r="AP36" s="471">
        <f>INDEX(Tbl_BaselineSummary[Code Electric Summer Peak Demand (kW)],MATCH(Tbl_MeasureList[[#This Row],[Baseline ID]],Tbl_BaselineSummary[Baseline ID],0))</f>
        <v>1.4181818181818182</v>
      </c>
      <c r="AQ36" s="350">
        <f>INDEX(Tbl_BaselineSummary[Code Natural Gas Annual Consumption (therms)],MATCH(Tbl_MeasureList[[#This Row],[Baseline ID]],Tbl_BaselineSummary[Baseline ID],0))</f>
        <v>0</v>
      </c>
      <c r="AR36" s="473">
        <f>INDEX(Tbl_BaselineSummary[Code Propane Annual Consumption (MMBtu)],MATCH(Tbl_MeasureList[[#This Row],[Baseline ID]],Tbl_BaselineSummary[Baseline ID],0))</f>
        <v>0</v>
      </c>
      <c r="AS36" s="350">
        <f>INDEX(Tbl_BaselineSummary[Code Oil Annual Consumption (MMBtu)],MATCH(Tbl_MeasureList[[#This Row],[Baseline ID]],Tbl_BaselineSummary[Baseline ID],0))</f>
        <v>91.30952380952381</v>
      </c>
      <c r="AT36" s="351">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95.525391009523815</v>
      </c>
      <c r="AU36" s="350">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7.3641130952380953</v>
      </c>
      <c r="AV36" s="475">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7.8004775912380957</v>
      </c>
      <c r="AW36" s="346">
        <f ca="1">INDIRECT(Tbl_MeasureList[[#This Row],[Measure ID]]&amp;"!L26")</f>
        <v>2289.210802147606</v>
      </c>
      <c r="AX36" s="469">
        <f ca="1">INDIRECT(Tbl_MeasureList[[#This Row],[Measure ID]]&amp;"!M26")</f>
        <v>11242.5</v>
      </c>
      <c r="AY36" s="482">
        <f ca="1">INDIRECT(Tbl_MeasureList[[#This Row],[Measure ID]]&amp;"!D26")</f>
        <v>6526.7416155832198</v>
      </c>
      <c r="AZ36" s="482">
        <f ca="1">INDIRECT(Tbl_MeasureList[[#This Row],[Measure ID]]&amp;"!J26")</f>
        <v>5592.9701870117915</v>
      </c>
      <c r="BA36" s="482">
        <f ca="1">INDIRECT(Tbl_MeasureList[[#This Row],[Measure ID]]&amp;"!I26")</f>
        <v>933.7714285714286</v>
      </c>
      <c r="BB36" s="471">
        <f ca="1">INDIRECT(Tbl_MeasureList[[#This Row],[Measure ID]]&amp;"!E26")</f>
        <v>1.1341463414634148</v>
      </c>
      <c r="BC36" s="355">
        <f ca="1">INDIRECT(Tbl_MeasureList[[#This Row],[Measure ID]]&amp;"!H26")</f>
        <v>1.2820512820512822</v>
      </c>
      <c r="BD36" s="351">
        <f ca="1">INDIRECT(Tbl_MeasureList[[#This Row],[Measure ID]]&amp;"!D32")</f>
        <v>0</v>
      </c>
      <c r="BE36" s="356">
        <f ca="1">INDIRECT(Tbl_MeasureList[[#This Row],[Measure ID]]&amp;"!D38")</f>
        <v>0</v>
      </c>
      <c r="BF36" s="351">
        <f ca="1">INDIRECT(Tbl_MeasureList[[#This Row],[Measure ID]]&amp;"!D44")</f>
        <v>44.444081401305816</v>
      </c>
      <c r="BG36" s="461">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66.713323793675755</v>
      </c>
      <c r="BH36" s="373">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3.5844151650153147</v>
      </c>
      <c r="BI36" s="359">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5.889399233974685</v>
      </c>
      <c r="BJ36" s="353">
        <f ca="1">INDIRECT(Tbl_MeasureList[[#This Row],[Measure ID]]&amp;"!L27")</f>
        <v>2227.6997004076179</v>
      </c>
      <c r="BK36" s="354">
        <f ca="1">INDIRECT(Tbl_MeasureList[[#This Row],[Measure ID]]&amp;"!M27")</f>
        <v>12112.5</v>
      </c>
      <c r="BL36" s="358">
        <f ca="1">INDIRECT(Tbl_MeasureList[[#This Row],[Measure ID]]&amp;"!D27")</f>
        <v>6215.765368161643</v>
      </c>
      <c r="BM36" s="358">
        <f ca="1">INDIRECT(Tbl_MeasureList[[#This Row],[Measure ID]]&amp;"!J27")</f>
        <v>5398.7153681616428</v>
      </c>
      <c r="BN36" s="358">
        <f ca="1">INDIRECT(Tbl_MeasureList[[#This Row],[Measure ID]]&amp;"!I27")</f>
        <v>817.05000000000007</v>
      </c>
      <c r="BO36" s="355">
        <f ca="1">INDIRECT(Tbl_MeasureList[[#This Row],[Measure ID]]&amp;"!E27")</f>
        <v>1.0941176470588236</v>
      </c>
      <c r="BP36" s="471">
        <f ca="1">INDIRECT(Tbl_MeasureList[[#This Row],[Measure ID]]&amp;"!H27")</f>
        <v>1.2820512820512822</v>
      </c>
      <c r="BQ36" s="350">
        <f ca="1">INDIRECT(Tbl_MeasureList[[#This Row],[Measure ID]]&amp;"!D33")</f>
        <v>0</v>
      </c>
      <c r="BR36" s="473">
        <f ca="1">INDIRECT(Tbl_MeasureList[[#This Row],[Measure ID]]&amp;"!D39")</f>
        <v>0</v>
      </c>
      <c r="BS36" s="350">
        <f ca="1">INDIRECT(Tbl_MeasureList[[#This Row],[Measure ID]]&amp;"!D45")</f>
        <v>44.444081401305816</v>
      </c>
      <c r="BT36" s="351">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65.652272837473333</v>
      </c>
      <c r="BU36" s="350">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3.5844151650153147</v>
      </c>
      <c r="BV36" s="357">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5.7795748624352798</v>
      </c>
      <c r="BW36" s="34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2089.4021665949772</v>
      </c>
      <c r="BX36" s="35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12982.5</v>
      </c>
      <c r="BY36" s="48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5516.5867341240255</v>
      </c>
      <c r="BZ36" s="48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4790.3200674573591</v>
      </c>
      <c r="CA36" s="48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726.26666666666677</v>
      </c>
      <c r="CB36" s="35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1.6875000000000004</v>
      </c>
      <c r="CC36" s="35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1.2820512820512822</v>
      </c>
      <c r="CD36" s="35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0</v>
      </c>
      <c r="CE36" s="35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0</v>
      </c>
      <c r="CF36" s="35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44.444081401305816</v>
      </c>
      <c r="CG36" s="461">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63.266675338136992</v>
      </c>
      <c r="CH36" s="37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3.5844151650153147</v>
      </c>
      <c r="CI36" s="35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5.5326529360385557</v>
      </c>
      <c r="CJ36" s="320">
        <f ca="1">-Tbl_MeasureList[[#This Row],[Low Measure Energy Cost (USD/yr)]]+Tbl_MeasureList[[#This Row],[Baseline Energy Cost (USD/yr)]]</f>
        <v>373.30028162156032</v>
      </c>
      <c r="CK36"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5352.4361903687059</v>
      </c>
      <c r="CL36" s="249">
        <f ca="1">-Tbl_MeasureList[[#This Row],[Low Measure Electric Annual Consumption (kWh/yr)]]+Tbl_MeasureList[[#This Row],[Baseline Electric Annual Consumption (kWh/yr)]]</f>
        <v>-4678.4853681616423</v>
      </c>
      <c r="CM36" s="249">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-5168.7153681616428</v>
      </c>
      <c r="CN36" s="249">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490.23000000000013</v>
      </c>
      <c r="CO36" s="268">
        <f ca="1">-Tbl_MeasureList[[#This Row],[Low Measure Electric Winter Peak Demand (kW)]]+Tbl_MeasureList[[#This Row],[Baseline Electric Winter Peak Demand (kW)]]</f>
        <v>-1.0588348090914219</v>
      </c>
      <c r="CP36" s="479">
        <f ca="1">-Tbl_MeasureList[[#This Row],[Low Measure Electric Summer Peak Demand (kW)]]+Tbl_MeasureList[[#This Row],[Baseline Electric Summer Peak Demand (kW)]]</f>
        <v>0.55324283559577681</v>
      </c>
      <c r="CQ36" s="481">
        <f ca="1">-Tbl_MeasureList[[#This Row],[Low Measure Natural Gas Annual Consumption (therms/yr)]]+Tbl_MeasureList[[#This Row],[Baseline Natural Gas Annual Consumption (therms/yr)]]</f>
        <v>0</v>
      </c>
      <c r="CR36" s="490">
        <f ca="1">-Tbl_MeasureList[[#This Row],[Low Measure Propane Annual Consumption (MMBtu/yr)]]+Tbl_MeasureList[[#This Row],[Baseline Propane Annual Consumption (MMBtu/yr)]]</f>
        <v>0</v>
      </c>
      <c r="CS36" s="252">
        <f ca="1">-Tbl_MeasureList[[#This Row],[Low Measure Oil Annual Consumption (MMBtu/yr)]]+Tbl_MeasureList[[#This Row],[Baseline Oil Annual Consumption (MMBtu/yr)]]</f>
        <v>57.82258526536085</v>
      </c>
      <c r="CT36"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41.859593189193326</v>
      </c>
      <c r="CU36" s="487">
        <f ca="1">-Tbl_MeasureList[[#This Row],[Low Measure Carbon Emissions, Site (tons CO2/yr)]]+Tbl_MeasureList[[#This Row],[Baseline Carbon Emissions, Site (tons CO2/yr)]]</f>
        <v>4.6633915016513523</v>
      </c>
      <c r="CV36" s="491">
        <f ca="1">-Tbl_MeasureList[[#This Row],[Low Measure Carbon Emissions, Source (tons CO2/yr)]]+Tbl_MeasureList[[#This Row],[Baseline Carbon Emissions, Source (tons CO2/yr)]]</f>
        <v>3.0111376090313877</v>
      </c>
      <c r="CW36"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511.59781543420104</v>
      </c>
      <c r="CX36"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6222.4361903687059</v>
      </c>
      <c r="CY36"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-3979.3067341240253</v>
      </c>
      <c r="CZ36"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-4560.3200674573591</v>
      </c>
      <c r="DA36"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581.01333333333343</v>
      </c>
      <c r="DB36"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-1.6522171620325987</v>
      </c>
      <c r="DC36"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0.55324283559577681</v>
      </c>
      <c r="DD36"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0</v>
      </c>
      <c r="DE36"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0</v>
      </c>
      <c r="DF36"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57.82258526536085</v>
      </c>
      <c r="DG36" s="270">
        <f ca="1">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44.245190688529675</v>
      </c>
      <c r="DH36"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4.6633915016513523</v>
      </c>
      <c r="DI36"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3.2580595354281119</v>
      </c>
      <c r="DJ36" s="320">
        <f ca="1">-Tbl_MeasureList[[#This Row],[Low Measure Energy Cost (USD/yr)]]+Tbl_MeasureList[[#This Row],[Code (old fuel) Energy Cost (USD/yr)]]</f>
        <v>67.528763547005383</v>
      </c>
      <c r="DK36" s="267">
        <f ca="1">Tbl_MeasureList[[#This Row],[Low Measure Installed Costs (USD)]]-Tbl_MeasureList[[#This Row],[Code (old fuel) Installed Costs (USD)]]</f>
        <v>-5345.9000000000015</v>
      </c>
      <c r="DL36" s="249">
        <f ca="1">-Tbl_MeasureList[[#This Row],[Low Measure Electric Annual Consumption (kWh/yr)]]+Tbl_MeasureList[[#This Row],[Code (old fuel) Electric Annual Consumption (kWh/yr)]]</f>
        <v>-4980.1653681616426</v>
      </c>
      <c r="DM36" s="249">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-5168.7153681616428</v>
      </c>
      <c r="DN36" s="249">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188.55000000000007</v>
      </c>
      <c r="DO36" s="268">
        <f ca="1">-Tbl_MeasureList[[#This Row],[Low Measure Electric Winter Peak Demand (kW)]]+Tbl_MeasureList[[#This Row],[Code (old fuel) Electric Winter Peak Demand (kW)]]</f>
        <v>-1.0588348090914219</v>
      </c>
      <c r="DP36" s="479">
        <f ca="1">-Tbl_MeasureList[[#This Row],[Low Measure Electric Summer Peak Demand (kW)]]+Tbl_MeasureList[[#This Row],[Code (old fuel) Electric Summer Peak Demand (kW)]]</f>
        <v>0.13613053613053605</v>
      </c>
      <c r="DQ36" s="481">
        <f ca="1">-Tbl_MeasureList[[#This Row],[Low Measure Natural Gas Annual Consumption (therms/yr)]]+Tbl_MeasureList[[#This Row],[Code (old fuel) Natural Gas Annual Consumption (therms/yr)]]</f>
        <v>0</v>
      </c>
      <c r="DR36" s="490">
        <f ca="1">-Tbl_MeasureList[[#This Row],[Low Measure Propane Annual Consumption (MMBtu/yr)]]+Tbl_MeasureList[[#This Row],[Code (old fuel) Propane Annual Consumption (MMBtu/yr)]]</f>
        <v>0</v>
      </c>
      <c r="DS36" s="252">
        <f ca="1">-Tbl_MeasureList[[#This Row],[Low Measure Oil Annual Consumption (MMBtu/yr)]]+Tbl_MeasureList[[#This Row],[Code (old fuel) Oil Annual Consumption (MMBtu/yr)]]</f>
        <v>46.865442408217994</v>
      </c>
      <c r="DT36"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29.873118172050468</v>
      </c>
      <c r="DU36" s="487">
        <f ca="1">-Tbl_MeasureList[[#This Row],[Low Measure Carbon Emissions, Site (tons CO2/yr)]]+Tbl_MeasureList[[#This Row],[Code (old fuel) Carbon Emissions, Site (tons CO2/yr)]]</f>
        <v>3.7796979302227807</v>
      </c>
      <c r="DV36" s="491">
        <f ca="1">-Tbl_MeasureList[[#This Row],[Low Measure Carbon Emissions, Source (tons CO2/yr)]]+Tbl_MeasureList[[#This Row],[Code (old fuel) Carbon Emissions, Source (tons CO2/yr)]]</f>
        <v>2.0209027288028159</v>
      </c>
      <c r="DW36"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(old fuel) Energy Cost (USD/yr)]],
        "-")</f>
        <v>205.82629735964611</v>
      </c>
      <c r="DX36"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-4475.9000000000015</v>
      </c>
      <c r="DY36"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-4280.9867341240251</v>
      </c>
      <c r="DZ36"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-4560.3200674573591</v>
      </c>
      <c r="EA36"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279.33333333333337</v>
      </c>
      <c r="EB36"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-1.6522171620325987</v>
      </c>
      <c r="EC36"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0.13613053613053605</v>
      </c>
      <c r="ED36"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0</v>
      </c>
      <c r="EE36"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0</v>
      </c>
      <c r="EF36"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46.865442408217994</v>
      </c>
      <c r="EG36" s="270">
        <f ca="1">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32.258715671386824</v>
      </c>
      <c r="EH36"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3.7796979302227807</v>
      </c>
      <c r="EI36"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2.26782465519954</v>
      </c>
      <c r="EJ36" s="477">
        <f ca="1">Tbl_MeasureList[[#This Row],[Code (old fuel) Energy Cost (USD/yr)]]-Tbl_MeasureList[[#This Row],[Code (new fuel) Energy Cost (USD/yr)]]</f>
        <v>6.0176618070172481</v>
      </c>
      <c r="EK36" s="496">
        <f ca="1">Tbl_MeasureList[[#This Row],[Code (old fuel) Electric Annual Consumption (kWh/yr)]]-Tbl_MeasureList[[#This Row],[Code (new fuel) Electric Annual Consumption (kWh/yr)]]</f>
        <v>-5291.1416155832194</v>
      </c>
      <c r="EL36" s="496">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-5362.9701870117915</v>
      </c>
      <c r="EM36" s="496">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71.828571428571536</v>
      </c>
      <c r="EN36" s="500">
        <f ca="1">Tbl_MeasureList[[#This Row],[Code (old fuel) Electric Winter Peak Demand (kW)]]-Tbl_MeasureList[[#This Row],[Code (new fuel) Electric Winter Peak Demand (kW)]]</f>
        <v>-1.098863503496013</v>
      </c>
      <c r="EO36" s="493">
        <f ca="1">Tbl_MeasureList[[#This Row],[Code (old fuel) Electric Summer Peak Demand (kW)]]-Tbl_MeasureList[[#This Row],[Code (new fuel) Electric Summer Peak Demand (kW)]]</f>
        <v>0.13613053613053605</v>
      </c>
      <c r="EP36" s="502">
        <f ca="1">Tbl_MeasureList[[#This Row],[Code (old fuel) Natural Gas Annual Consumption (therms/yr)]]-Tbl_MeasureList[[#This Row],[Code (new fuel) Natural Gas Annual Consumption (therms/yr)]]</f>
        <v>0</v>
      </c>
      <c r="EQ36" s="215">
        <f ca="1">Tbl_MeasureList[[#This Row],[Code (old fuel) Propane Annual Consumption (MMBtu/yr)]]-Tbl_MeasureList[[#This Row],[Code (new fuel) Propane Annual Consumption (MMBtu/yr)]]</f>
        <v>0</v>
      </c>
      <c r="ER36" s="502">
        <f ca="1">Tbl_MeasureList[[#This Row],[Code (old fuel) Oil Annual Consumption (MMBtu/yr)]]-Tbl_MeasureList[[#This Row],[Code (new fuel) Oil Annual Consumption (MMBtu/yr)]]</f>
        <v>46.865442408217994</v>
      </c>
      <c r="ES36" s="215">
        <f ca="1">Tbl_MeasureList[[#This Row],[Code (old fuel) Energy Consumption on MMBtu Basis (MMBtu/yr)]]-Tbl_MeasureList[[#This Row],[Code (new fuel) Energy Consumption on MMBtu Basis (MMBtu/yr)]]</f>
        <v>28.81206721584806</v>
      </c>
      <c r="ET36" s="502">
        <f ca="1">Tbl_MeasureList[[#This Row],[Code (old fuel) Carbon Emissions, Site (tons CO2/yr)]]-Tbl_MeasureList[[#This Row],[Code (new fuel) Carbon Emissions, Site (tons CO2/yr)]]</f>
        <v>3.7796979302227807</v>
      </c>
      <c r="EU36" s="498">
        <f ca="1">Tbl_MeasureList[[#This Row],[Code (old fuel) Carbon Emissions, Source (tons CO2/yr)]]-Tbl_MeasureList[[#This Row],[Code (new fuel) Carbon Emissions, Source (tons CO2/yr)]]</f>
        <v>1.9110783572634107</v>
      </c>
      <c r="EV36" s="450">
        <f ca="1">Tbl_MeasureList[[#This Row],[ER Total Low Measure Electric Annual Consumption Savings (kWh/yr)]]*COAL_BTU_PER_SITE_KWH/Btu_per_MMBtu</f>
        <v>-0.51497423735265113</v>
      </c>
      <c r="EW36" s="411">
        <f ca="1">Tbl_MeasureList[[#This Row],[ER Total Low Measure Electric Annual Consumption Savings (kWh/yr)]]*COAL_LBS_PER_SITE_KWH</f>
        <v>-45.173178715144836</v>
      </c>
      <c r="EX36" s="326">
        <f ca="1">Tbl_MeasureList[[#This Row],[ER Total Low Measure Electric Annual Consumption Savings (kWh/yr)]]*OIL_BTU_PER_SITE_KWH/Btu_per_MMBtu</f>
        <v>-0.5928354390203977</v>
      </c>
      <c r="EY36" s="325">
        <f ca="1">Tbl_MeasureList[[#This Row],[ER Total Low Measure Electric Annual Consumption Savings (kWh/yr)]]*OIL_GAL_PER_SITE_KWH</f>
        <v>-4.2976217986907663</v>
      </c>
      <c r="EZ36" s="326">
        <f ca="1">Tbl_MeasureList[[#This Row],[ER Total Low Measure Oil Annual Consumption Savings (MMBtu/yr)]]*Btu_per_MMBtu/OIL_BTU_PER_GAL</f>
        <v>419.17130207953056</v>
      </c>
      <c r="FA36" s="325">
        <f ca="1">Tbl_MeasureList[[#This Row],[Current ER Total Low Measure Oil Source Fuel Savings (gallons oil/year)]]+Tbl_MeasureList[[#This Row],[Current ER Total Low Measure Oil Site Fuel Savings (gallons oil/year)]]</f>
        <v>414.87368028083978</v>
      </c>
      <c r="FB36" s="326">
        <f ca="1">Tbl_MeasureList[[#This Row],[ER Total Low Measure Electric Annual Consumption Savings (kWh/yr)]]*GAS_BTU_PER_SITE_KWH/Btu_per_MMBtu</f>
        <v>-19.144974386680502</v>
      </c>
      <c r="FC36" s="327">
        <f ca="1">Tbl_MeasureList[[#This Row],[ER Total Low Measure Electric Annual Consumption Savings (kWh/yr)]]*GAS_CUFT_PER_SITE_KWH/1000</f>
        <v>-18.605417285403789</v>
      </c>
      <c r="FD36" s="328">
        <f ca="1">Tbl_MeasureList[[#This Row],[ER Total Low Measure Natural Gas Annual Consumption Savings (therms/yr)]]*Btu_per_MMBtu/(GAS_BTU_PER_CUFT*Therm_per_MMBtu*1000)</f>
        <v>0</v>
      </c>
      <c r="FE36" s="329">
        <f ca="1">Tbl_MeasureList[[#This Row],[Current ER Total Low Measure Gas Source Fuel Savings (1,000 cu.ft. gas/year)]]+Tbl_MeasureList[[#This Row],[Current ER Total Low Measure Gas Site Fuel Savings (1,000 cu.ft gas/year)]]</f>
        <v>-18.605417285403789</v>
      </c>
      <c r="FF36" s="324">
        <f ca="1">IFERROR(Tbl_MeasureList[[#This Row],[ER Total High Measure Electric Annual Consumption Savings (kWh/yr)]]*COAL_BTU_PER_SITE_KWH/Btu_per_MMBtu,"-")</f>
        <v>-0.43801364957629751</v>
      </c>
      <c r="FG36" s="325">
        <f ca="1">IFERROR(Tbl_MeasureList[[#This Row],[ER Total High Measure Electric Annual Consumption Savings (kWh/yr)]]*COAL_LBS_PER_SITE_KWH,"-")</f>
        <v>-38.422249962833114</v>
      </c>
      <c r="FH36" s="326">
        <f ca="1">IFERROR(Tbl_MeasureList[[#This Row],[ER Total High Measure Electric Annual Consumption Savings (kWh/yr)]]*OIL_BTU_PER_SITE_KWH/Btu_per_MMBtu,"-")</f>
        <v>-0.50423884421556142</v>
      </c>
      <c r="FI36" s="325">
        <f ca="1">IFERROR(Tbl_MeasureList[[#This Row],[ER Total High Measure Electric Annual Consumption Savings (kWh/yr)]]*OIL_GAL_PER_SITE_KWH,"-")</f>
        <v>-3.655361515209405</v>
      </c>
      <c r="FJ36" s="326">
        <f ca="1">IFERROR(Tbl_MeasureList[[#This Row],[ER Total High Measure Oil Annual Consumption Savings (MMBtu/yr)]]*Btu_per_MMBtu/OIL_BTU_PER_GAL,"-")</f>
        <v>419.17130207953056</v>
      </c>
      <c r="FK36" s="325">
        <f ca="1">IFERROR(Tbl_MeasureList[[#This Row],[Current ER Total High Measure Oil Source Fuel Savings (gallons oil/year)]]+Tbl_MeasureList[[#This Row],[Current ER Total High Measure Oil Site Fuel Savings (gallons oil/year)]],"-")</f>
        <v>415.51594056432117</v>
      </c>
      <c r="FL36" s="326">
        <f ca="1">IFERROR(Tbl_MeasureList[[#This Row],[ER Total High Measure Electric Annual Consumption Savings (kWh/yr)]]*GAS_BTU_PER_SITE_KWH/Btu_per_MMBtu,"-")</f>
        <v>-16.283843916665969</v>
      </c>
      <c r="FM36" s="327">
        <f ca="1">IFERROR(Tbl_MeasureList[[#This Row],[ER Total High Measure Electric Annual Consumption Savings (kWh/yr)]]*GAS_CUFT_PER_SITE_KWH/1000,"-")</f>
        <v>-15.824921201813378</v>
      </c>
      <c r="FN36" s="328">
        <f ca="1">IFERROR(Tbl_MeasureList[[#This Row],[ER Total High Measure Natural Gas Annual Consumption Savings (therms/yr)]]*Btu_per_MMBtu/(GAS_BTU_PER_CUFT*Therm_per_MMBtu*1000),"-")</f>
        <v>0</v>
      </c>
      <c r="FO36" s="329">
        <f ca="1">IFERROR(Tbl_MeasureList[[#This Row],[Current ER Total High Measure Gas Source Fuel Savings (1,000 cu.ft. gas/year)]]+Tbl_MeasureList[[#This Row],[Current ER Total High Measure Gas Site Fuel Savings (1,000 cu.ft gas/year)]],"-")</f>
        <v>-15.824921201813378</v>
      </c>
      <c r="FP36" s="412">
        <f ca="1">Tbl_MeasureList[[#This Row],[ROF Low Measure Electric Annual Consumption Savings (kWh/yr)]]*COAL_BTU_PER_SITE_KWH/Btu_per_MMBtu</f>
        <v>-0.5481810159784426</v>
      </c>
      <c r="FQ36" s="327">
        <f ca="1">Tbl_MeasureList[[#This Row],[ROF Low Measure Electric Annual Consumption Savings (kWh/yr)]]*COAL_LBS_PER_SITE_KWH</f>
        <v>-48.086054033196717</v>
      </c>
      <c r="FR36" s="412">
        <f ca="1">Tbl_MeasureList[[#This Row],[ROF Low Measure Electric Annual Consumption Savings (kWh/yr)]]*OIL_BTU_PER_SITE_KWH/Btu_per_MMBtu</f>
        <v>-0.63106289538069182</v>
      </c>
      <c r="FS36" s="327">
        <f ca="1">Tbl_MeasureList[[#This Row],[ROF Low Measure Electric Annual Consumption Savings (kWh/yr)]]*OIL_GAL_PER_SITE_KWH</f>
        <v>-4.5747427988016369</v>
      </c>
      <c r="FT36" s="412">
        <f ca="1">Tbl_MeasureList[[#This Row],[ROF Low Measure Oil Annual Consumption Savings (MMBtu/yr)]]*Btu_per_MMBtu/OIL_BTU_PER_GAL</f>
        <v>339.74005877862913</v>
      </c>
      <c r="FU36" s="327">
        <f ca="1">Tbl_MeasureList[[#This Row],[Current ROF Low Measure Oil Source Fuel Savings (gallons oil/year)]]+Tbl_MeasureList[[#This Row],[Current ROF Low Measure Oil Site Fuel Savings (gallons oil/year)]]</f>
        <v>335.16531597982748</v>
      </c>
      <c r="FV36" s="412">
        <f ca="1">Tbl_MeasureList[[#This Row],[ROF Low Measure Electric Annual Consumption Savings (kWh/yr)]]*GAS_BTU_PER_SITE_KWH/Btu_per_MMBtu</f>
        <v>-20.379488426689832</v>
      </c>
      <c r="FW36" s="327">
        <f ca="1">Tbl_MeasureList[[#This Row],[ROF Low Measure Electric Annual Consumption Savings (kWh/yr)]]*GAS_CUFT_PER_SITE_KWH/1000</f>
        <v>-19.805139384538222</v>
      </c>
      <c r="FX36" s="412">
        <f ca="1">Tbl_MeasureList[[#This Row],[ROF Low Measure Natural Gas Annual Consumption Savings (therms/yr)]]*Btu_per_MMBtu/(GAS_BTU_PER_CUFT*Therm_per_MMBtu*1000)</f>
        <v>0</v>
      </c>
      <c r="FY36" s="327">
        <f ca="1">Tbl_MeasureList[[#This Row],[Current ROF Low Measure Gas Source Fuel Savings (1,000 cu.ft. gas/year)]]+Tbl_MeasureList[[#This Row],[Current ROF Low Measure Gas Site Fuel Savings (1,000 cu.ft gas/year)]]</f>
        <v>-19.805139384538222</v>
      </c>
      <c r="FZ36" s="414">
        <f ca="1">IFERROR(Tbl_MeasureList[[#This Row],[ROF High Measure Electric Annual Consumption Savings (kWh/yr)]]*COAL_BTU_PER_SITE_KWH/Btu_per_MMBtu,"-")</f>
        <v>-0.47122042820208893</v>
      </c>
      <c r="GA36" s="327">
        <f ca="1">IFERROR(Tbl_MeasureList[[#This Row],[ROF High Measure Electric Annual Consumption Savings (kWh/yr)]]*COAL_LBS_PER_SITE_KWH,"-")</f>
        <v>-41.335125280884988</v>
      </c>
      <c r="GB36" s="412">
        <f ca="1">IFERROR(Tbl_MeasureList[[#This Row],[ROF High Measure Electric Annual Consumption Savings (kWh/yr)]]*OIL_BTU_PER_SITE_KWH/Btu_per_MMBtu,"-")</f>
        <v>-0.54246630057585543</v>
      </c>
      <c r="GC36" s="327">
        <f ca="1">IFERROR(Tbl_MeasureList[[#This Row],[ROF High Measure Electric Annual Consumption Savings (kWh/yr)]]*OIL_GAL_PER_SITE_KWH,"-")</f>
        <v>-3.9324825153202756</v>
      </c>
      <c r="GD36" s="412">
        <f ca="1">IFERROR(Tbl_MeasureList[[#This Row],[ROF High Measure Oil Annual Consumption Savings (MMBtu/yr)]]*Btu_per_MMBtu/OIL_BTU_PER_GAL,"-")</f>
        <v>339.74005877862913</v>
      </c>
      <c r="GE36" s="327">
        <f ca="1">IFERROR(Tbl_MeasureList[[#This Row],[Current ROF High Measure Oil Source Fuel Savings (gallons oil/year)]]+Tbl_MeasureList[[#This Row],[Current ROF High Measure Oil Site Fuel Savings (gallons oil/year)]],"-")</f>
        <v>335.80757626330887</v>
      </c>
      <c r="GF36" s="412">
        <f ca="1">IFERROR(Tbl_MeasureList[[#This Row],[ROF High Measure Electric Annual Consumption Savings (kWh/yr)]]*GAS_BTU_PER_SITE_KWH/Btu_per_MMBtu,"-")</f>
        <v>-17.518357956675299</v>
      </c>
      <c r="GG36" s="327">
        <f ca="1">IFERROR(Tbl_MeasureList[[#This Row],[ROF High Measure Electric Annual Consumption Savings (kWh/yr)]]*GAS_CUFT_PER_SITE_KWH/1000,"-")</f>
        <v>-17.024643300947808</v>
      </c>
      <c r="GH36" s="412">
        <f ca="1">IFERROR(Tbl_MeasureList[[#This Row],[ROF High Measure Natural Gas Annual Consumption Savings (therms/yr)]]*Btu_per_MMBtu/(GAS_BTU_PER_CUFT*Therm_per_MMBtu*1000),"-")</f>
        <v>0</v>
      </c>
      <c r="GI36" s="327">
        <f ca="1">IFERROR(Tbl_MeasureList[[#This Row],[Current ROF High Measure Gas Source Fuel Savings (1,000 cu.ft. gas/year)]]+Tbl_MeasureList[[#This Row],[Current ROF High Measure Gas Site Fuel Savings (1,000 cu.ft gas/year)]],"-")</f>
        <v>-17.024643300947808</v>
      </c>
      <c r="GJ36" s="324">
        <f ca="1">Tbl_MeasureList[[#This Row],[ER Total Low Measure Electric Annual Consumption Savings (kWh/yr)]]*COAL_BTU_PER_SITE_KWH_CES/Btu_per_MMBtu</f>
        <v>-0.87545620349950692</v>
      </c>
      <c r="GK36" s="325">
        <f ca="1">Tbl_MeasureList[[#This Row],[ER Total Low Measure Electric Annual Consumption Savings (kWh/yr)]]*COAL_LBS_PER_SITE_KWH_CES</f>
        <v>-79.500200099846253</v>
      </c>
      <c r="GL36" s="326">
        <f ca="1">Tbl_MeasureList[[#This Row],[ER Total Low Measure Electric Annual Consumption Savings (kWh/yr)]]*OIL_BTU_PER_SITE_KWH_CES/Btu_per_MMBtu</f>
        <v>-0.26947065410018084</v>
      </c>
      <c r="GM36" s="325">
        <f ca="1">Tbl_MeasureList[[#This Row],[ER Total Low Measure Electric Annual Consumption Savings (kWh/yr)]]*OIL_GAL_PER_SITE_KWH_CES</f>
        <v>-1.8179961011724204</v>
      </c>
      <c r="GN36" s="326">
        <f ca="1">Tbl_MeasureList[[#This Row],[ER Total Low Measure Oil Annual Consumption Savings (MMBtu/yr)]]*Btu_per_MMBtu/OIL_BTU_PER_GAL_CES</f>
        <v>390.1027179495955</v>
      </c>
      <c r="GO36" s="325">
        <f ca="1">Tbl_MeasureList[[#This Row],[CES ER Low Measure Oil Source Fuel Savings (gallons oil/year)]]+Tbl_MeasureList[[#This Row],[CES ER Low Measure Oil Site Fuel Savings (gallons oil/year)]]</f>
        <v>388.28472184842309</v>
      </c>
      <c r="GP36" s="326">
        <f ca="1">Tbl_MeasureList[[#This Row],[ER Total Low Measure Electric Annual Consumption Savings (kWh/yr)]]*GAS_BTU_PER_SITE_KWH_CES/Btu_per_MMBtu</f>
        <v>-7.9705607650669839</v>
      </c>
      <c r="GQ36" s="327">
        <f ca="1">Tbl_MeasureList[[#This Row],[ER Total Low Measure Electric Annual Consumption Savings (kWh/yr)]]*GAS_CUFT_PER_SITE_KWH_CES/1000</f>
        <v>-7.7384085097737714</v>
      </c>
      <c r="GR36" s="328">
        <f ca="1">Tbl_MeasureList[[#This Row],[ER Total Low Measure Natural Gas Annual Consumption Savings (therms/yr)]]*Btu_per_MMBtu/(GAS_BTU_PER_CUFT_CES*Therm_per_MMBtu*1000)</f>
        <v>0</v>
      </c>
      <c r="GS36" s="329">
        <f ca="1">Tbl_MeasureList[[#This Row],[CES ER Low Measure Gas Source Fuel Savings (1,000 cu.ft. gas/year)]]+Tbl_MeasureList[[#This Row],[CES ER Low Measure Gas Site Fuel Savings (1,000 cu.ft gas/year)]]</f>
        <v>-7.7384085097737714</v>
      </c>
      <c r="GT36" s="324">
        <f ca="1">IFERROR(Tbl_MeasureList[[#This Row],[ER Total High Measure Electric Annual Consumption Savings (kWh/yr)]]*COAL_BTU_PER_SITE_KWH_CES/Btu_per_MMBtu,"-")</f>
        <v>-0.74462320427970574</v>
      </c>
      <c r="GU36" s="325">
        <f ca="1">IFERROR(Tbl_MeasureList[[#This Row],[ER Total High Measure Electric Annual Consumption Savings (kWh/yr)]]*COAL_LBS_PER_SITE_KWH_CES,"-")</f>
        <v>-67.619252114030672</v>
      </c>
      <c r="GV36" s="326">
        <f ca="1">IFERROR(Tbl_MeasureList[[#This Row],[ER Total High Measure Electric Annual Consumption Savings (kWh/yr)]]*OIL_BTU_PER_SITE_KWH_CES/Btu_per_MMBtu,"-")</f>
        <v>-0.22919947464343701</v>
      </c>
      <c r="GW36" s="325">
        <f ca="1">IFERROR(Tbl_MeasureList[[#This Row],[ER Total High Measure Electric Annual Consumption Savings (kWh/yr)]]*OIL_GAL_PER_SITE_KWH_CES,"-")</f>
        <v>-1.5463047458133434</v>
      </c>
      <c r="GX36" s="326">
        <f ca="1">IFERROR(Tbl_MeasureList[[#This Row],[ER Total High Measure Oil Annual Consumption Savings (MMBtu/yr)]]*Btu_per_MMBtu/OIL_BTU_PER_GAL_CES,"-")</f>
        <v>390.1027179495955</v>
      </c>
      <c r="GY36" s="325">
        <f ca="1">IFERROR(Tbl_MeasureList[[#This Row],[CES ER High Measure Oil Source Fuel Savings (gallons oil/year)]]+Tbl_MeasureList[[#This Row],[CES ER High Measure Oil Site Fuel Savings (gallons oil/year)]],"-")</f>
        <v>388.55641320378214</v>
      </c>
      <c r="GZ36" s="326">
        <f ca="1">IFERROR(Tbl_MeasureList[[#This Row],[ER Total High Measure Electric Annual Consumption Savings (kWh/yr)]]*GAS_BTU_PER_SITE_KWH_CES/Btu_per_MMBtu,"-")</f>
        <v>-6.7793962428568522</v>
      </c>
      <c r="HA36" s="327">
        <f ca="1">IFERROR(Tbl_MeasureList[[#This Row],[ER Total High Measure Electric Annual Consumption Savings (kWh/yr)]]*GAS_CUFT_PER_SITE_KWH_CES/1000,"-")</f>
        <v>-6.5819380998610217</v>
      </c>
      <c r="HB36" s="328">
        <f ca="1">IFERROR(Tbl_MeasureList[[#This Row],[ER Total High Measure Natural Gas Annual Consumption Savings (therms/yr)]]*Btu_per_MMBtu/(GAS_BTU_PER_CUFT_CES*Therm_per_MMBtu*1000),"-")</f>
        <v>0</v>
      </c>
      <c r="HC36" s="329">
        <f ca="1">IFERROR(Tbl_MeasureList[[#This Row],[CES ER High Measure Gas Source Fuel Savings (1,000 cu.ft. gas/year)]]+Tbl_MeasureList[[#This Row],[CES ER High Measure Gas Site Fuel Savings (1,000 cu.ft gas/year)]],"-")</f>
        <v>-6.5819380998610217</v>
      </c>
      <c r="HD36" s="315">
        <f ca="1">Tbl_MeasureList[[#This Row],[ROF Low Measure Electric Annual Consumption Savings (kWh/yr)]]*COAL_BTU_PER_SITE_KWH_CES/Btu_per_MMBtu</f>
        <v>-0.93190772716335235</v>
      </c>
      <c r="HE36" s="316">
        <f ca="1">Tbl_MeasureList[[#This Row],[ROF Low Measure Electric Annual Consumption Savings (kWh/yr)]]*COAL_LBS_PER_SITE_KWH_CES</f>
        <v>-84.626564399142055</v>
      </c>
      <c r="HF36" s="317">
        <f ca="1">Tbl_MeasureList[[#This Row],[ROF Low Measure Electric Annual Consumption Savings (kWh/yr)]]*OIL_BTU_PER_SITE_KWH_CES/Btu_per_MMBtu</f>
        <v>-0.28684677062758723</v>
      </c>
      <c r="HG36" s="316">
        <f ca="1">Tbl_MeasureList[[#This Row],[ROF Low Measure Electric Annual Consumption Savings (kWh/yr)]]*OIL_GAL_PER_SITE_KWH_CES</f>
        <v>-1.9352248666045124</v>
      </c>
      <c r="HH36" s="317">
        <f ca="1">Tbl_MeasureList[[#This Row],[ROF Low Measure Oil Annual Consumption Savings (MMBtu/yr)]]*Btu_per_MMBtu/OIL_BTU_PER_GAL_CES</f>
        <v>316.17985217115984</v>
      </c>
      <c r="HI36" s="316">
        <f ca="1">Tbl_MeasureList[[#This Row],[CES ROF Low Measure Oil Source Fuel Savings (gallons oil/year)]]+Tbl_MeasureList[[#This Row],[CES ROF Low Measure Oil Site Fuel Savings (gallons oil/year)]]</f>
        <v>314.24462730455531</v>
      </c>
      <c r="HJ36" s="317">
        <f ca="1">Tbl_MeasureList[[#This Row],[ROF Low Measure Electric Annual Consumption Savings (kWh/yr)]]*GAS_BTU_PER_SITE_KWH_CES/Btu_per_MMBtu</f>
        <v>-8.4845217123361749</v>
      </c>
      <c r="HK36" s="316">
        <f ca="1">Tbl_MeasureList[[#This Row],[ROF Low Measure Electric Annual Consumption Savings (kWh/yr)]]*GAS_CUFT_PER_SITE_KWH_CES/1000</f>
        <v>-8.2373997207147358</v>
      </c>
      <c r="HL36" s="317">
        <f ca="1">Tbl_MeasureList[[#This Row],[ROF Low Measure Natural Gas Annual Consumption Savings (therms/yr)]]*Btu_per_MMBtu/(GAS_BTU_PER_CUFT_CES*Therm_per_MMBtu*1000)</f>
        <v>0</v>
      </c>
      <c r="HM36" s="318">
        <f ca="1">Tbl_MeasureList[[#This Row],[CES ROF Low Measure Gas Source Fuel Savings (1,000 cu.ft. gas/year)]]+Tbl_MeasureList[[#This Row],[CES ROF Low Measure Gas Site Fuel Savings (1,000 cu.ft gas/year)]]</f>
        <v>-8.2373997207147358</v>
      </c>
      <c r="HN36" s="315">
        <f ca="1">IFERROR(Tbl_MeasureList[[#This Row],[ROF High Measure Electric Annual Consumption Savings (kWh/yr)]]*COAL_BTU_PER_SITE_KWH_CES/Btu_per_MMBtu,"-")</f>
        <v>-0.80107472794355106</v>
      </c>
      <c r="HO36" s="316">
        <f ca="1">IFERROR(Tbl_MeasureList[[#This Row],[ROF High Measure Electric Annual Consumption Savings (kWh/yr)]]*COAL_LBS_PER_SITE_KWH_CES,"-")</f>
        <v>-72.745616413326474</v>
      </c>
      <c r="HP36" s="317">
        <f ca="1">IFERROR(Tbl_MeasureList[[#This Row],[ROF High Measure Electric Annual Consumption Savings (kWh/yr)]]*OIL_BTU_PER_SITE_KWH_CES/Btu_per_MMBtu,"-")</f>
        <v>-0.24657559117084341</v>
      </c>
      <c r="HQ36" s="316">
        <f ca="1">IFERROR(Tbl_MeasureList[[#This Row],[ROF High Measure Electric Annual Consumption Savings (kWh/yr)]]*OIL_GAL_PER_SITE_KWH_CES,"-")</f>
        <v>-1.6635335112454355</v>
      </c>
      <c r="HR36" s="317">
        <f ca="1">IFERROR(Tbl_MeasureList[[#This Row],[ROF High Measure Oil Annual Consumption Savings (MMBtu/yr)]]*Btu_per_MMBtu/OIL_BTU_PER_GAL_CES,"-")</f>
        <v>316.17985217115984</v>
      </c>
      <c r="HS36" s="316">
        <f ca="1">IFERROR(Tbl_MeasureList[[#This Row],[CES ROF High Measure Oil Source Fuel Savings (gallons oil/year)]]+Tbl_MeasureList[[#This Row],[CES ROF High Measure Oil Site Fuel Savings (gallons oil/year)]],"-")</f>
        <v>314.51631865991442</v>
      </c>
      <c r="HT36" s="317">
        <f ca="1">IFERROR(Tbl_MeasureList[[#This Row],[ROF High Measure Electric Annual Consumption Savings (kWh/yr)]]*GAS_BTU_PER_SITE_KWH_CES/Btu_per_MMBtu,"-")</f>
        <v>-7.2933571901260432</v>
      </c>
      <c r="HU36" s="316">
        <f ca="1">IFERROR(Tbl_MeasureList[[#This Row],[ROF High Measure Electric Annual Consumption Savings (kWh/yr)]]*GAS_CUFT_PER_SITE_KWH_CES/1000,"-")</f>
        <v>-7.0809293108019835</v>
      </c>
      <c r="HV36" s="317">
        <f ca="1">IFERROR(Tbl_MeasureList[[#This Row],[ROF High Measure Natural Gas Annual Consumption Savings (therms/yr)]]*Btu_per_MMBtu/(GAS_BTU_PER_CUFT_CES*Therm_per_MMBtu*1000),"-")</f>
        <v>0</v>
      </c>
      <c r="HW36" s="318">
        <f ca="1">IFERROR(Tbl_MeasureList[[#This Row],[CES ROF High Measure Gas Source Fuel Savings (1,000 cu.ft. gas/year)]]+Tbl_MeasureList[[#This Row],[CES ROF High Measure Gas Site Fuel Savings (1,000 cu.ft gas/year)]],"-")</f>
        <v>-7.0809293108019835</v>
      </c>
      <c r="HX36" s="346">
        <f>Tbl_MeasureList[[#This Row],[Baseline Energy Cost (USD/yr)]]-Tbl_MeasureList[[#This Row],[Code (old fuel) Energy Cost (USD/yr)]]</f>
        <v>305.77151807455493</v>
      </c>
      <c r="HY36" s="354">
        <f>0</f>
        <v>0</v>
      </c>
      <c r="HZ36" s="347">
        <f>Tbl_MeasureList[[#This Row],[Baseline Electric Annual Consumption (kWh/yr)]]-Tbl_MeasureList[[#This Row],[Code (old fuel) Electric Annual Consumption (kWh/yr)]]</f>
        <v>301.68000000000006</v>
      </c>
      <c r="IA36" s="347">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0</v>
      </c>
      <c r="IB36" s="347">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301.68000000000006</v>
      </c>
      <c r="IC36" s="355">
        <f>Tbl_MeasureList[[#This Row],[Baseline Electric Winter Peak Demand (kW)]]-Tbl_MeasureList[[#This Row],[Code (old fuel) Electric Winter Peak Demand (kW)]]</f>
        <v>0</v>
      </c>
      <c r="ID36" s="355">
        <f>Tbl_MeasureList[[#This Row],[Baseline Electric Summer Peak Demand (kW)]]-Tbl_MeasureList[[#This Row],[Code (old fuel) Electric Summer Peak Demand (kW)]]</f>
        <v>0.41711229946524075</v>
      </c>
      <c r="IE36" s="349">
        <f>Tbl_MeasureList[[#This Row],[Baseline Natural Gas Annual Consumption (therms/yr)]]-Tbl_MeasureList[[#This Row],[Code (old fuel) Natural Gas Annual Consumption (therms/yr)]]</f>
        <v>0</v>
      </c>
      <c r="IF36" s="350">
        <f>Tbl_MeasureList[[#This Row],[Baseline Propane Annual Consumption (MMBtu/yr)]]-Tbl_MeasureList[[#This Row],[Code (old fuel) Propane Annual Consumption (MMBtu/yr)]]</f>
        <v>0</v>
      </c>
      <c r="IG36" s="351">
        <f>Tbl_MeasureList[[#This Row],[Baseline Oil Annual Consumption (MMBtu/yr)]]-Tbl_MeasureList[[#This Row],[Code (old fuel) Oil Annual Consumption (MMBtu/yr)]]</f>
        <v>10.957142857142856</v>
      </c>
      <c r="IH36" s="373">
        <f>Tbl_MeasureList[[#This Row],[Baseline Energy Consumption on MMBtu Basis (MMBtu/yr)]]-Tbl_MeasureList[[#This Row],[Code (old fuel) Energy Consumption on MMBtu Basis (MMBtu/yr)]]</f>
        <v>11.986475017142851</v>
      </c>
      <c r="II36" s="373">
        <f>Tbl_MeasureList[[#This Row],[Baseline Carbon Emissions, Site (tons CO2/yr)]]-Tbl_MeasureList[[#This Row],[Code (old fuel) Carbon Emissions, Site (tons CO2/yr)]]</f>
        <v>0.88369357142857208</v>
      </c>
      <c r="IJ36" s="352">
        <f>Tbl_MeasureList[[#This Row],[Baseline Carbon Emissions, Source (tons CO2/yr)]]-Tbl_MeasureList[[#This Row],[Code (old fuel) Carbon Emissions, Source (tons CO2/yr)]]</f>
        <v>0.99023488022857187</v>
      </c>
      <c r="IK36" s="353">
        <f ca="1">Tbl_MeasureList[[#This Row],[Code (new fuel) Energy Cost (USD/yr)]]-Tbl_MeasureList[[#This Row],[Low Measure Energy Cost (USD/yr)]]</f>
        <v>61.511101739988135</v>
      </c>
      <c r="IL36"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5352.4361903687059</v>
      </c>
      <c r="IM36" s="358">
        <f ca="1">Tbl_MeasureList[[#This Row],[Code (old fuel) Electric Annual Consumption (kWh/yr)]]-Tbl_MeasureList[[#This Row],[Low Measure Electric Annual Consumption (kWh/yr)]]</f>
        <v>-4980.1653681616426</v>
      </c>
      <c r="IN36" s="358">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-5168.7153681616428</v>
      </c>
      <c r="IO36" s="358">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188.55000000000007</v>
      </c>
      <c r="IP36" s="355">
        <f ca="1">Tbl_MeasureList[[#This Row],[Code (old fuel) Electric Winter Peak Demand (kW)]]-Tbl_MeasureList[[#This Row],[Low Measure Electric Winter Peak Demand (kW)]]</f>
        <v>-1.0588348090914219</v>
      </c>
      <c r="IQ36" s="355">
        <f ca="1">Tbl_MeasureList[[#This Row],[Code (old fuel) Electric Summer Peak Demand (kW)]]-Tbl_MeasureList[[#This Row],[Low Measure Electric Summer Peak Demand (kW)]]</f>
        <v>0.13613053613053605</v>
      </c>
      <c r="IR36" s="351">
        <f ca="1">Tbl_MeasureList[[#This Row],[Code (old fuel) Natural Gas Annual Consumption (therms/yr)]]-Tbl_MeasureList[[#This Row],[Low Measure Natural Gas Annual Consumption (therms/yr)]]</f>
        <v>0</v>
      </c>
      <c r="IS36" s="356">
        <f ca="1">Tbl_MeasureList[[#This Row],[Code (old fuel) Propane Annual Consumption (MMBtu/yr)]]-Tbl_MeasureList[[#This Row],[Low Measure Propane Annual Consumption (MMBtu/yr)]]</f>
        <v>0</v>
      </c>
      <c r="IT36" s="351">
        <f ca="1">Tbl_MeasureList[[#This Row],[Code (old fuel) Oil Annual Consumption (MMBtu/yr)]]-Tbl_MeasureList[[#This Row],[Low Measure Oil Annual Consumption (MMBtu/yr)]]</f>
        <v>46.865442408217994</v>
      </c>
      <c r="IU36" s="351">
        <f ca="1">Tbl_MeasureList[[#This Row],[Code (old fuel) Energy Consumption on MMBtu Basis (MMBtu/yr)]]-Tbl_MeasureList[[#This Row],[Low Measure Energy Consumption on MMBtu Basis (MMBtu/yr)]]</f>
        <v>29.873118172050482</v>
      </c>
      <c r="IV36" s="351">
        <f ca="1">Tbl_MeasureList[[#This Row],[Code (old fuel) Carbon Emissions, Site (tons CO2/yr)]]-Tbl_MeasureList[[#This Row],[Low Measure Carbon Emissions, Site (tons CO2/yr)]]</f>
        <v>3.7796979302227807</v>
      </c>
      <c r="IW36" s="357">
        <f ca="1">Tbl_MeasureList[[#This Row],[Code (old fuel) Carbon Emissions, Source (tons CO2/yr)]]-Tbl_MeasureList[[#This Row],[Low Measure Carbon Emissions, Source (tons CO2/yr)]]</f>
        <v>2.0209027288028159</v>
      </c>
      <c r="IX36" s="3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205.82629735964611</v>
      </c>
      <c r="IY36" s="20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6222.4361903687059</v>
      </c>
      <c r="IZ36" s="35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-4280.9867341240251</v>
      </c>
      <c r="JA36" s="35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-4560.3200674573591</v>
      </c>
      <c r="JB36" s="35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279.33333333333337</v>
      </c>
      <c r="JC36" s="35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-1.6522171620325987</v>
      </c>
      <c r="JD36" s="35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0.13613053613053605</v>
      </c>
      <c r="JE36" s="35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0</v>
      </c>
      <c r="JF36" s="35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0</v>
      </c>
      <c r="JG36" s="35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46.865442408217994</v>
      </c>
      <c r="JH36" s="35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32.258715671386824</v>
      </c>
      <c r="JI36" s="35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3.7796979302227807</v>
      </c>
      <c r="JJ36" s="50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2.26782465519954</v>
      </c>
      <c r="JK36" s="432">
        <f>Tbl_MeasureList[[#This Row],[ER (Retire) Electric Annual Consumption Savings (kWh/yr)]]*COAL_BTU_PER_SITE_KWH/Btu_per_MMBtu</f>
        <v>3.3206778625791397E-2</v>
      </c>
      <c r="JL36" s="428">
        <f>Tbl_MeasureList[[#This Row],[ER (Retire) Electric Annual Consumption Savings (kWh/yr)]]*COAL_LBS_PER_SITE_KWH</f>
        <v>2.9128753180518769</v>
      </c>
      <c r="JM36" s="427">
        <f>Tbl_MeasureList[[#This Row],[ER (Retire) Electric Annual Consumption Savings (kWh/yr)]]*OIL_BTU_PER_SITE_KWH/Btu_per_MMBtu</f>
        <v>3.82274563602941E-2</v>
      </c>
      <c r="JN36" s="428">
        <f>Tbl_MeasureList[[#This Row],[ER (Retire) Electric Annual Consumption Savings (kWh/yr)]]*OIL_GAL_PER_SITE_KWH</f>
        <v>0.27712100011087093</v>
      </c>
      <c r="JO36" s="427">
        <f>Tbl_MeasureList[[#This Row],[ER (Retire) Oil Annual Consumption Savings (MMBtu/yr)]]*Btu_per_MMBtu/OIL_BTU_PER_GAL</f>
        <v>79.431243300901485</v>
      </c>
      <c r="JP36" s="428">
        <f ca="1">Tbl_MeasureList[[#This Row],[Current ER (Retire) Oil Source Fuel Savings (gallons oil/year)]]+Tbl_MeasureList[[#This Row],[Current ER Total Low Measure Oil Site Fuel Savings (gallons oil/year)]]</f>
        <v>419.44842307964143</v>
      </c>
      <c r="JQ36" s="427">
        <f>Tbl_MeasureList[[#This Row],[ER (Retire) Electric Annual Consumption Savings (kWh/yr)]]*GAS_BTU_PER_SITE_KWH/Btu_per_MMBtu</f>
        <v>1.2345140400093317</v>
      </c>
      <c r="JR36" s="429">
        <f>Tbl_MeasureList[[#This Row],[ER (Retire) Electric Annual Consumption Savings (kWh/yr)]]*GAS_CUFT_PER_SITE_KWH/1000</f>
        <v>1.1997220991344331</v>
      </c>
      <c r="JS36" s="430">
        <f>Tbl_MeasureList[[#This Row],[ER (Retire) Natural Gas Annual Consumption Savings (therms/yr)]]*Btu_per_MMBtu/(GAS_BTU_PER_CUFT*Therm_per_MMBtu*1000)</f>
        <v>0</v>
      </c>
      <c r="JT36" s="431">
        <f ca="1">Tbl_MeasureList[[#This Row],[Current ER (Retire) Gas Source Fuel Savings (1,000 cu.ft. gas/year)]]+Tbl_MeasureList[[#This Row],[Current ER Total Low Measure Gas Site Fuel Savings (1,000 cu.ft gas/year)]]</f>
        <v>1.1997220991344331</v>
      </c>
      <c r="JU36" s="432">
        <f ca="1">Tbl_MeasureList[[#This Row],[ER (EE) Low Measure Electric Annual Consumption Savings (kWh/yr)]]*COAL_BTU_PER_SITE_KWH/Btu_per_MMBtu</f>
        <v>-0.5481810159784426</v>
      </c>
      <c r="JV36" s="428">
        <f ca="1">Tbl_MeasureList[[#This Row],[ER (EE) Low Measure Electric Annual Consumption Savings (kWh/yr)]]*COAL_LBS_PER_SITE_KWH</f>
        <v>-48.086054033196717</v>
      </c>
      <c r="JW36" s="427">
        <f ca="1">Tbl_MeasureList[[#This Row],[ER (EE) Low Measure Electric Annual Consumption Savings (kWh/yr)]]*OIL_BTU_PER_SITE_KWH/Btu_per_MMBtu</f>
        <v>-0.63106289538069182</v>
      </c>
      <c r="JX36" s="428">
        <f ca="1">Tbl_MeasureList[[#This Row],[ER (EE) Low Measure Electric Annual Consumption Savings (kWh/yr)]]*OIL_GAL_PER_SITE_KWH</f>
        <v>-4.5747427988016369</v>
      </c>
      <c r="JY36" s="427">
        <f ca="1">Tbl_MeasureList[[#This Row],[ER (EE) Low Measure Oil Annual Consumption Savings (MMBtu/yr)]]*Btu_per_MMBtu/OIL_BTU_PER_GAL</f>
        <v>339.74005877862913</v>
      </c>
      <c r="JZ36" s="428">
        <f ca="1">Tbl_MeasureList[[#This Row],[Current ER (EE) Low Measure Oil Source Fuel Savings (gallons oil/year)]]+Tbl_MeasureList[[#This Row],[Current ER (EE) Low Measure Oil Site Fuel Savings (gallons oil/year)]]</f>
        <v>335.16531597982748</v>
      </c>
      <c r="KA36" s="427">
        <f ca="1">Tbl_MeasureList[[#This Row],[ER (EE) Low Measure Electric Annual Consumption Savings (kWh/yr)]]*GAS_BTU_PER_SITE_KWH/Btu_per_MMBtu</f>
        <v>-20.379488426689832</v>
      </c>
      <c r="KB36" s="429">
        <f ca="1">Tbl_MeasureList[[#This Row],[ER (EE) Low Measure Electric Annual Consumption Savings (kWh/yr)]]*GAS_CUFT_PER_SITE_KWH/1000</f>
        <v>-19.805139384538222</v>
      </c>
      <c r="KC36" s="430">
        <f ca="1">Tbl_MeasureList[[#This Row],[ER (EE) Low Measure Natural Gas Annual Consumption Savings (therms/yr)]]*Btu_per_MMBtu/(GAS_BTU_PER_CUFT*Therm_per_MMBtu*1000)</f>
        <v>0</v>
      </c>
      <c r="KD36" s="431">
        <f ca="1">Tbl_MeasureList[[#This Row],[Current ER (EE) Low Measure Gas Source Fuel Savings (1,000 cu.ft. gas/year)]]+Tbl_MeasureList[[#This Row],[Current ER (EE) Low Measure Gas Site Fuel Savings (1,000 cu.ft gas/year)]]</f>
        <v>-19.805139384538222</v>
      </c>
      <c r="KE36" s="432">
        <f ca="1">IFERROR(Tbl_MeasureList[[#This Row],[ER (EE) High Measure Electric Annual Consumption Savings (kWh/yr)]]*COAL_BTU_PER_SITE_KWH/Btu_per_MMBtu,"-")</f>
        <v>-0.47122042820208893</v>
      </c>
      <c r="KF36" s="428">
        <f ca="1">IFERROR(Tbl_MeasureList[[#This Row],[ER (EE) High Measure Electric Annual Consumption Savings (kWh/yr)]]*COAL_LBS_PER_SITE_KWH,"-")</f>
        <v>-41.335125280884988</v>
      </c>
      <c r="KG36" s="427">
        <f ca="1">IFERROR(Tbl_MeasureList[[#This Row],[ER (EE) High Measure Electric Annual Consumption Savings (kWh/yr)]]*OIL_BTU_PER_SITE_KWH/Btu_per_MMBtu,"-")</f>
        <v>-0.54246630057585543</v>
      </c>
      <c r="KH36" s="428">
        <f ca="1">IFERROR(Tbl_MeasureList[[#This Row],[ER (EE) High Measure Electric Annual Consumption Savings (kWh/yr)]]*OIL_GAL_PER_SITE_KWH,"-")</f>
        <v>-3.9324825153202756</v>
      </c>
      <c r="KI36" s="427">
        <f ca="1">IFERROR(Tbl_MeasureList[[#This Row],[ER (EE) High Measure Oil Annual Consumption Savings (MMBtu/yr)]]*Btu_per_MMBtu/OIL_BTU_PER_GAL,"-")</f>
        <v>339.74005877862913</v>
      </c>
      <c r="KJ36" s="428">
        <f ca="1">IFERROR(Tbl_MeasureList[[#This Row],[Current ER (EE) High Measure Oil Source Fuel Savings (gallons oil/year)]]+Tbl_MeasureList[[#This Row],[Current ER (EE) High Measure Oil Site Fuel Savings (gallons oil/year)]],"-")</f>
        <v>335.80757626330887</v>
      </c>
      <c r="KK36" s="427">
        <f ca="1">IFERROR(Tbl_MeasureList[[#This Row],[ER (EE) High Measure Electric Annual Consumption Savings (kWh/yr)]]*GAS_BTU_PER_SITE_KWH/Btu_per_MMBtu,"-")</f>
        <v>-17.518357956675299</v>
      </c>
      <c r="KL36" s="429">
        <f ca="1">IFERROR(Tbl_MeasureList[[#This Row],[ER (EE) High Measure Electric Annual Consumption Savings (kWh/yr)]]*GAS_CUFT_PER_SITE_KWH/1000,"-")</f>
        <v>-17.024643300947808</v>
      </c>
      <c r="KM36" s="430">
        <f ca="1">IFERROR(Tbl_MeasureList[[#This Row],[ER (EE) High Measure Natural Gas Annual Consumption Savings (therms/yr)]]*Btu_per_MMBtu/(GAS_BTU_PER_CUFT*Therm_per_MMBtu*1000),"-")</f>
        <v>0</v>
      </c>
      <c r="KN36" s="431">
        <f ca="1">IFERROR(Tbl_MeasureList[[#This Row],[Current ER (EE) High Measure Gas Source Fuel Savings (1,000 cu.ft. gas/year)]]+Tbl_MeasureList[[#This Row],[Current ER (EE) High Measure Gas Site Fuel Savings (1,000 cu.ft gas/year)]],"-")</f>
        <v>-17.024643300947808</v>
      </c>
    </row>
    <row r="37" spans="2:300" x14ac:dyDescent="0.2">
      <c r="B37" s="16"/>
      <c r="C37" s="228" t="s">
        <v>842</v>
      </c>
      <c r="D37" s="12" t="str">
        <f>INDEX(Tbl_BaselineSummary[Equipment ID],MATCH(Tbl_MeasureList[[#This Row],[Baseline ID]],Tbl_BaselineSummary[Baseline ID],0))</f>
        <v>EQUI034</v>
      </c>
      <c r="E37" s="342" t="str">
        <f>INDEX(Tbl_EquipmentDefinitions[Equipment Name],MATCH('Measure List'!$D37,Tbl_EquipmentDefinitions[Equipment ID],0))</f>
        <v>Central A/C+Propane Boiler</v>
      </c>
      <c r="F37" s="343" t="s">
        <v>844</v>
      </c>
      <c r="G37" s="342" t="str">
        <f>INDEX(Tbl_EquipmentDefinitions[Function],MATCH('Measure List'!$D37,Tbl_EquipmentDefinitions[Equipment ID],0))</f>
        <v>Cool+Heat</v>
      </c>
      <c r="H37" s="229" t="s">
        <v>111</v>
      </c>
      <c r="I37" s="229" t="s">
        <v>840</v>
      </c>
      <c r="J37" s="342" t="str">
        <f>INDEX(Tbl_EquipmentDefinitions[Equipment Name],MATCH('Measure List'!$I37,Tbl_EquipmentDefinitions[Equipment ID],0))</f>
        <v>Central HP+Propane Boiler</v>
      </c>
      <c r="K37" s="342">
        <f>INDEX(Tbl_EquipmentDefinitions[],MATCH(Tbl_MeasureList[[#This Row],[Replacement ID]],Tbl_EquipmentDefinitions[[Equipment ID]:[Equipment ID]],0),MATCH(Tbl_MeasureList[[#Headers],[New Unit Equipment Life (years)]],Tbl_EquipmentDefinitions[#Headers],0))</f>
        <v>20</v>
      </c>
      <c r="L37" s="342">
        <f>INDEX(Tbl_EquipmentDefinitions[],MATCH(Tbl_MeasureList[[#This Row],[Baseline Equipment ID]],Tbl_EquipmentDefinitions[[Equipment ID]:[Equipment ID]],0),MATCH(Tbl_MeasureList[[#Headers],[Remaining Life for Early Replacement (years)]],Tbl_EquipmentDefinitions[#Headers],0))</f>
        <v>10</v>
      </c>
      <c r="M37" s="344" t="str">
        <f>INDEX(Tbl_EquipmentDefinitions[Function],MATCH('Measure List'!$I37,Tbl_EquipmentDefinitions[Equipment ID],0))</f>
        <v>Cool+Heat</v>
      </c>
      <c r="N37" s="368" t="s">
        <v>750</v>
      </c>
      <c r="O37" s="345" t="str">
        <f t="shared" si="0"/>
        <v>OK</v>
      </c>
      <c r="P37" s="344" t="str">
        <f ca="1">IFERROR(INDIRECT(Tbl_MeasureList[[#This Row],[Measure ID]]&amp;"!D5"),"No tab")</f>
        <v>3. Ready</v>
      </c>
      <c r="Q37" s="342"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Electric</v>
      </c>
      <c r="R37" s="344"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Propane</v>
      </c>
      <c r="S37" s="342"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Electric</v>
      </c>
      <c r="T37" s="344"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Propane</v>
      </c>
      <c r="U37" s="346">
        <f>INDEX(Tbl_BaselineSummary[Baseline Annual Energy Cost (USD)],MATCH(Tbl_MeasureList[[#This Row],[Baseline ID]],Tbl_BaselineSummary[Baseline ID],0))</f>
        <v>3973.5614599667006</v>
      </c>
      <c r="V37" s="347">
        <f>INDEX(Tbl_BaselineSummary[Baseline Electric Annual Consumption  (kWh)],MATCH(Tbl_MeasureList[[#This Row],[Baseline ID]],Tbl_BaselineSummary[Baseline ID],0))</f>
        <v>1504.2800000000002</v>
      </c>
      <c r="W37" s="347">
        <f>INDEX(Tbl_BaselineSummary[Baseline Electric Winter Consumption (kWh)],MATCH(Tbl_MeasureList[[#This Row],[Baseline ID]],Tbl_BaselineSummary[Baseline ID],0))</f>
        <v>197</v>
      </c>
      <c r="X37" s="347">
        <f>INDEX(Tbl_BaselineSummary[Baseline Electric Summer Consumption (kWh)],MATCH(Tbl_MeasureList[[#This Row],[Baseline ID]],Tbl_BaselineSummary[Baseline ID],0))</f>
        <v>1307.2800000000002</v>
      </c>
      <c r="Y37" s="348">
        <f>INDEX(Tbl_BaselineSummary[Baseline Electric Baseline Winter Peak Demand (kW)],MATCH(Tbl_MeasureList[[#This Row],[Baseline ID]],Tbl_BaselineSummary[Baseline ID],0))</f>
        <v>3.0220517737296261E-2</v>
      </c>
      <c r="Z37" s="453">
        <f>INDEX(Tbl_BaselineSummary[Baseline Electric Baseline Summer Peak Demand (kW)],MATCH(Tbl_MeasureList[[#This Row],[Baseline ID]],Tbl_BaselineSummary[Baseline ID],0))</f>
        <v>1.835294117647059</v>
      </c>
      <c r="AA37" s="459">
        <f>INDEX(Tbl_BaselineSummary[Baseline Natural Gas Annual Consumption  (therms)],MATCH(Tbl_MeasureList[[#This Row],[Baseline ID]],Tbl_BaselineSummary[Baseline ID],0))</f>
        <v>0</v>
      </c>
      <c r="AB37" s="456">
        <f>INDEX(Tbl_BaselineSummary[Baseline Propane Annual Consumption  (MMBtu)],MATCH(Tbl_MeasureList[[#This Row],[Baseline ID]],Tbl_BaselineSummary[Baseline ID],0))</f>
        <v>102.26666666666667</v>
      </c>
      <c r="AC37" s="350">
        <f>INDEX(Tbl_BaselineSummary[Baseline Oil Annual Consumption  (MMBtu)],MATCH(Tbl_MeasureList[[#This Row],[Baseline ID]],Tbl_BaselineSummary[Baseline ID],0))</f>
        <v>0</v>
      </c>
      <c r="AD37" s="373">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107.39927002666667</v>
      </c>
      <c r="AE37" s="461">
        <f>(lbCO2_per_Therm_Gas*Tbl_MeasureList[[#This Row],[Baseline Natural Gas Annual Consumption (therms/yr)]]+lbCO2_per_MMBtu_Prop*Tbl_MeasureList[[#This Row],[Baseline Propane Annual Consumption (MMBtu/yr)]]+lbCO2_per_MMBtu_Oil*Tbl_MeasureList[[#This Row],[Baseline Oil Annual Consumption (MMBtu/yr)]])*Lbs_per_ShortTon</f>
        <v>7.1075333333333326</v>
      </c>
      <c r="AF37" s="464">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7.6387848581333326</v>
      </c>
      <c r="AG37" s="466">
        <f>INDEX(Tbl_BaselineSummary[Code Annual Energy Cost (USD)],MATCH(Tbl_MeasureList[[#This Row],[Baseline ID]],Tbl_BaselineSummary[Baseline ID],0))</f>
        <v>3714.5592194388719</v>
      </c>
      <c r="AH37" s="469">
        <f>INDEX(Tbl_BaselineSummary[Deferred Replacement Credit (USD)],MATCH(Tbl_MeasureList[[#This Row],[Baseline ID]],Tbl_BaselineSummary[Baseline ID],0))</f>
        <v>7398.2044062285731</v>
      </c>
      <c r="AI37" s="354">
        <f>INDEX(Tbl_BaselineSummary[A/C-only Deferred Replacement Credit (USD)],MATCH(Tbl_MeasureList[[#This Row],[Baseline ID]],Tbl_BaselineSummary[Baseline ID],0))</f>
        <v>6760.0638096312941</v>
      </c>
      <c r="AJ37" s="469">
        <f>INDEX(Tbl_BaselineSummary[Code Installed Costs (USD)],MATCH(Tbl_MeasureList[[#This Row],[Baseline ID]],Tbl_BaselineSummary[Baseline ID],0))</f>
        <v>17187.400000000001</v>
      </c>
      <c r="AK37" s="354">
        <f>INDEX(Tbl_BaselineSummary[Code A/C-only Installed Cost (USD)],MATCH(Tbl_MeasureList[[#This Row],[Baseline ID]],Tbl_BaselineSummary[Baseline ID],0))</f>
        <v>10592.4</v>
      </c>
      <c r="AL37" s="347">
        <f>INDEX(Tbl_BaselineSummary[Code Electric Annual Consumption (kWh)],MATCH(Tbl_MeasureList[[#This Row],[Baseline ID]],Tbl_BaselineSummary[Baseline ID],0))</f>
        <v>1202.6000000000001</v>
      </c>
      <c r="AM37" s="347">
        <f>INDEX(Tbl_BaselineSummary[Code Electric Winter Consumption (kWh)],MATCH(Tbl_MeasureList[[#This Row],[Baseline ID]],Tbl_BaselineSummary[Baseline ID],0))</f>
        <v>197</v>
      </c>
      <c r="AN37" s="347">
        <f>INDEX(Tbl_BaselineSummary[Code Electric Summer Consumption (kWh)],MATCH(Tbl_MeasureList[[#This Row],[Baseline ID]],Tbl_BaselineSummary[Baseline ID],0))</f>
        <v>1005.6000000000001</v>
      </c>
      <c r="AO37" s="355">
        <f>INDEX(Tbl_BaselineSummary[Code Electric Winter Peak Demand (kW)],MATCH(Tbl_MeasureList[[#This Row],[Baseline ID]],Tbl_BaselineSummary[Baseline ID],0))</f>
        <v>3.0220517737296261E-2</v>
      </c>
      <c r="AP37" s="471">
        <f>INDEX(Tbl_BaselineSummary[Code Electric Summer Peak Demand (kW)],MATCH(Tbl_MeasureList[[#This Row],[Baseline ID]],Tbl_BaselineSummary[Baseline ID],0))</f>
        <v>1.4181818181818182</v>
      </c>
      <c r="AQ37" s="350">
        <f>INDEX(Tbl_BaselineSummary[Code Natural Gas Annual Consumption (therms)],MATCH(Tbl_MeasureList[[#This Row],[Baseline ID]],Tbl_BaselineSummary[Baseline ID],0))</f>
        <v>0</v>
      </c>
      <c r="AR37" s="473">
        <f>INDEX(Tbl_BaselineSummary[Code Propane Annual Consumption (MMBtu)],MATCH(Tbl_MeasureList[[#This Row],[Baseline ID]],Tbl_BaselineSummary[Baseline ID],0))</f>
        <v>96.721311475409834</v>
      </c>
      <c r="AS37" s="350">
        <f>INDEX(Tbl_BaselineSummary[Code Oil Annual Consumption (MMBtu)],MATCH(Tbl_MeasureList[[#This Row],[Baseline ID]],Tbl_BaselineSummary[Baseline ID],0))</f>
        <v>0</v>
      </c>
      <c r="AT37" s="351">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100.82458267540983</v>
      </c>
      <c r="AU37" s="350">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6.722131147540984</v>
      </c>
      <c r="AV37" s="475">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7.1468413635409842</v>
      </c>
      <c r="AW37" s="346">
        <f ca="1">INDIRECT(Tbl_MeasureList[[#This Row],[Measure ID]]&amp;"!L26")</f>
        <v>2511.6825931766671</v>
      </c>
      <c r="AX37" s="469">
        <f ca="1">INDIRECT(Tbl_MeasureList[[#This Row],[Measure ID]]&amp;"!M26")</f>
        <v>11242.5</v>
      </c>
      <c r="AY37" s="482">
        <f ca="1">INDIRECT(Tbl_MeasureList[[#This Row],[Measure ID]]&amp;"!D26")</f>
        <v>8867.8930335714904</v>
      </c>
      <c r="AZ37" s="482">
        <f ca="1">INDIRECT(Tbl_MeasureList[[#This Row],[Measure ID]]&amp;"!J26")</f>
        <v>7934.1216050000621</v>
      </c>
      <c r="BA37" s="482">
        <f ca="1">INDIRECT(Tbl_MeasureList[[#This Row],[Measure ID]]&amp;"!I26")</f>
        <v>933.7714285714286</v>
      </c>
      <c r="BB37" s="471">
        <f ca="1">INDIRECT(Tbl_MeasureList[[#This Row],[Measure ID]]&amp;"!E26")</f>
        <v>1.1341463414634148</v>
      </c>
      <c r="BC37" s="355">
        <f ca="1">INDIRECT(Tbl_MeasureList[[#This Row],[Measure ID]]&amp;"!H26")</f>
        <v>1.2820512820512822</v>
      </c>
      <c r="BD37" s="351">
        <f ca="1">INDIRECT(Tbl_MeasureList[[#This Row],[Measure ID]]&amp;"!D32")</f>
        <v>0</v>
      </c>
      <c r="BE37" s="356">
        <f ca="1">INDIRECT(Tbl_MeasureList[[#This Row],[Measure ID]]&amp;"!D38")</f>
        <v>21.076789582493124</v>
      </c>
      <c r="BF37" s="351">
        <f ca="1">INDIRECT(Tbl_MeasureList[[#This Row],[Measure ID]]&amp;"!D44")</f>
        <v>0</v>
      </c>
      <c r="BG37" s="461">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51.334040613039051</v>
      </c>
      <c r="BH37" s="373">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1.4648368759832722</v>
      </c>
      <c r="BI37" s="359">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4.5966219797193801</v>
      </c>
      <c r="BJ37" s="353">
        <f ca="1">INDIRECT(Tbl_MeasureList[[#This Row],[Measure ID]]&amp;"!L27")</f>
        <v>2433.4235218833437</v>
      </c>
      <c r="BK37" s="354">
        <f ca="1">INDIRECT(Tbl_MeasureList[[#This Row],[Measure ID]]&amp;"!M27")</f>
        <v>12112.5</v>
      </c>
      <c r="BL37" s="358">
        <f ca="1">INDIRECT(Tbl_MeasureList[[#This Row],[Measure ID]]&amp;"!D27")</f>
        <v>8472.2455548388152</v>
      </c>
      <c r="BM37" s="358">
        <f ca="1">INDIRECT(Tbl_MeasureList[[#This Row],[Measure ID]]&amp;"!J27")</f>
        <v>7655.195554838816</v>
      </c>
      <c r="BN37" s="358">
        <f ca="1">INDIRECT(Tbl_MeasureList[[#This Row],[Measure ID]]&amp;"!I27")</f>
        <v>817.05000000000007</v>
      </c>
      <c r="BO37" s="355">
        <f ca="1">INDIRECT(Tbl_MeasureList[[#This Row],[Measure ID]]&amp;"!E27")</f>
        <v>1.0941176470588236</v>
      </c>
      <c r="BP37" s="471">
        <f ca="1">INDIRECT(Tbl_MeasureList[[#This Row],[Measure ID]]&amp;"!H27")</f>
        <v>1.2820512820512822</v>
      </c>
      <c r="BQ37" s="350">
        <f ca="1">INDIRECT(Tbl_MeasureList[[#This Row],[Measure ID]]&amp;"!D33")</f>
        <v>0</v>
      </c>
      <c r="BR37" s="473">
        <f ca="1">INDIRECT(Tbl_MeasureList[[#This Row],[Measure ID]]&amp;"!D39")</f>
        <v>21.076789582493124</v>
      </c>
      <c r="BS37" s="350">
        <f ca="1">INDIRECT(Tbl_MeasureList[[#This Row],[Measure ID]]&amp;"!D45")</f>
        <v>0</v>
      </c>
      <c r="BT37" s="351">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49.98409141560316</v>
      </c>
      <c r="BU37" s="350">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1.4648368759832722</v>
      </c>
      <c r="BV37" s="357">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4.4568951161301484</v>
      </c>
      <c r="BW37" s="34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2242.6722778724111</v>
      </c>
      <c r="BX37" s="35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12982.5</v>
      </c>
      <c r="BY37" s="48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7507.8813282921392</v>
      </c>
      <c r="BZ37" s="48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6781.6146616254728</v>
      </c>
      <c r="CA37" s="48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726.26666666666677</v>
      </c>
      <c r="CB37" s="35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1.6875000000000004</v>
      </c>
      <c r="CC37" s="35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1.2820512820512822</v>
      </c>
      <c r="CD37" s="35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0</v>
      </c>
      <c r="CE37" s="35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21.076789582493124</v>
      </c>
      <c r="CF37" s="35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0</v>
      </c>
      <c r="CG37" s="461">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46.693680674625902</v>
      </c>
      <c r="CH37" s="37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1.4648368759832722</v>
      </c>
      <c r="CI37" s="35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4.1163202458829247</v>
      </c>
      <c r="CJ37" s="320">
        <f ca="1">-Tbl_MeasureList[[#This Row],[Low Measure Energy Cost (USD/yr)]]+Tbl_MeasureList[[#This Row],[Baseline Energy Cost (USD/yr)]]</f>
        <v>1540.1379380833569</v>
      </c>
      <c r="CK37"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5352.4361903687059</v>
      </c>
      <c r="CL37" s="249">
        <f ca="1">-Tbl_MeasureList[[#This Row],[Low Measure Electric Annual Consumption (kWh/yr)]]+Tbl_MeasureList[[#This Row],[Baseline Electric Annual Consumption (kWh/yr)]]</f>
        <v>-6967.9655548388146</v>
      </c>
      <c r="CM37" s="249">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-7458.195554838816</v>
      </c>
      <c r="CN37" s="249">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490.23000000000013</v>
      </c>
      <c r="CO37" s="268">
        <f ca="1">-Tbl_MeasureList[[#This Row],[Low Measure Electric Winter Peak Demand (kW)]]+Tbl_MeasureList[[#This Row],[Baseline Electric Winter Peak Demand (kW)]]</f>
        <v>-1.0638971293215274</v>
      </c>
      <c r="CP37" s="479">
        <f ca="1">-Tbl_MeasureList[[#This Row],[Low Measure Electric Summer Peak Demand (kW)]]+Tbl_MeasureList[[#This Row],[Baseline Electric Summer Peak Demand (kW)]]</f>
        <v>0.55324283559577681</v>
      </c>
      <c r="CQ37" s="481">
        <f ca="1">-Tbl_MeasureList[[#This Row],[Low Measure Natural Gas Annual Consumption (therms/yr)]]+Tbl_MeasureList[[#This Row],[Baseline Natural Gas Annual Consumption (therms/yr)]]</f>
        <v>0</v>
      </c>
      <c r="CR37" s="490">
        <f ca="1">-Tbl_MeasureList[[#This Row],[Low Measure Propane Annual Consumption (MMBtu/yr)]]+Tbl_MeasureList[[#This Row],[Baseline Propane Annual Consumption (MMBtu/yr)]]</f>
        <v>81.189877084173546</v>
      </c>
      <c r="CS37" s="252">
        <f ca="1">-Tbl_MeasureList[[#This Row],[Low Measure Oil Annual Consumption (MMBtu/yr)]]+Tbl_MeasureList[[#This Row],[Baseline Oil Annual Consumption (MMBtu/yr)]]</f>
        <v>0</v>
      </c>
      <c r="CT37"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57.41517861106351</v>
      </c>
      <c r="CU37" s="487">
        <f ca="1">-Tbl_MeasureList[[#This Row],[Low Measure Carbon Emissions, Site (tons CO2/yr)]]+Tbl_MeasureList[[#This Row],[Baseline Carbon Emissions, Site (tons CO2/yr)]]</f>
        <v>5.6426964573500609</v>
      </c>
      <c r="CV37" s="491">
        <f ca="1">-Tbl_MeasureList[[#This Row],[Low Measure Carbon Emissions, Source (tons CO2/yr)]]+Tbl_MeasureList[[#This Row],[Baseline Carbon Emissions, Source (tons CO2/yr)]]</f>
        <v>3.1818897420031842</v>
      </c>
      <c r="CW37"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1730.8891820942895</v>
      </c>
      <c r="CX37"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6222.4361903687059</v>
      </c>
      <c r="CY37"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-6003.6013282921394</v>
      </c>
      <c r="CZ37"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-6584.6146616254728</v>
      </c>
      <c r="DA37"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581.01333333333343</v>
      </c>
      <c r="DB37"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-1.6572794822627042</v>
      </c>
      <c r="DC37"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0.55324283559577681</v>
      </c>
      <c r="DD37"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0</v>
      </c>
      <c r="DE37"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81.189877084173546</v>
      </c>
      <c r="DF37"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0</v>
      </c>
      <c r="DG37" s="270">
        <f ca="1">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60.705589352040761</v>
      </c>
      <c r="DH37"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5.6426964573500609</v>
      </c>
      <c r="DI37"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3.522464612250408</v>
      </c>
      <c r="DJ37" s="320">
        <f ca="1">-Tbl_MeasureList[[#This Row],[Low Measure Energy Cost (USD/yr)]]+Tbl_MeasureList[[#This Row],[Code (old fuel) Energy Cost (USD/yr)]]</f>
        <v>1281.1356975555282</v>
      </c>
      <c r="DK37" s="267">
        <f ca="1">Tbl_MeasureList[[#This Row],[Low Measure Installed Costs (USD)]]-Tbl_MeasureList[[#This Row],[Code (old fuel) Installed Costs (USD)]]</f>
        <v>-5074.9000000000015</v>
      </c>
      <c r="DL37" s="249">
        <f ca="1">-Tbl_MeasureList[[#This Row],[Low Measure Electric Annual Consumption (kWh/yr)]]+Tbl_MeasureList[[#This Row],[Code (old fuel) Electric Annual Consumption (kWh/yr)]]</f>
        <v>-7269.6455548388149</v>
      </c>
      <c r="DM37" s="249">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-7458.195554838816</v>
      </c>
      <c r="DN37" s="249">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188.55000000000007</v>
      </c>
      <c r="DO37" s="268">
        <f ca="1">-Tbl_MeasureList[[#This Row],[Low Measure Electric Winter Peak Demand (kW)]]+Tbl_MeasureList[[#This Row],[Code (old fuel) Electric Winter Peak Demand (kW)]]</f>
        <v>-1.0638971293215274</v>
      </c>
      <c r="DP37" s="479">
        <f ca="1">-Tbl_MeasureList[[#This Row],[Low Measure Electric Summer Peak Demand (kW)]]+Tbl_MeasureList[[#This Row],[Code (old fuel) Electric Summer Peak Demand (kW)]]</f>
        <v>0.13613053613053605</v>
      </c>
      <c r="DQ37" s="481">
        <f ca="1">-Tbl_MeasureList[[#This Row],[Low Measure Natural Gas Annual Consumption (therms/yr)]]+Tbl_MeasureList[[#This Row],[Code (old fuel) Natural Gas Annual Consumption (therms/yr)]]</f>
        <v>0</v>
      </c>
      <c r="DR37" s="490">
        <f ca="1">-Tbl_MeasureList[[#This Row],[Low Measure Propane Annual Consumption (MMBtu/yr)]]+Tbl_MeasureList[[#This Row],[Code (old fuel) Propane Annual Consumption (MMBtu/yr)]]</f>
        <v>75.644521892916714</v>
      </c>
      <c r="DS37" s="252">
        <f ca="1">-Tbl_MeasureList[[#This Row],[Low Measure Oil Annual Consumption (MMBtu/yr)]]+Tbl_MeasureList[[#This Row],[Code (old fuel) Oil Annual Consumption (MMBtu/yr)]]</f>
        <v>0</v>
      </c>
      <c r="DT37"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50.840491259806676</v>
      </c>
      <c r="DU37" s="487">
        <f ca="1">-Tbl_MeasureList[[#This Row],[Low Measure Carbon Emissions, Site (tons CO2/yr)]]+Tbl_MeasureList[[#This Row],[Code (old fuel) Carbon Emissions, Site (tons CO2/yr)]]</f>
        <v>5.2572942715577113</v>
      </c>
      <c r="DV37" s="491">
        <f ca="1">-Tbl_MeasureList[[#This Row],[Low Measure Carbon Emissions, Source (tons CO2/yr)]]+Tbl_MeasureList[[#This Row],[Code (old fuel) Carbon Emissions, Source (tons CO2/yr)]]</f>
        <v>2.6899462474108358</v>
      </c>
      <c r="DW37"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(old fuel) Energy Cost (USD/yr)]],
        "-")</f>
        <v>1471.8869415664608</v>
      </c>
      <c r="DX37"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-4204.9000000000015</v>
      </c>
      <c r="DY37"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-6305.2813282921388</v>
      </c>
      <c r="DZ37"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-6584.6146616254728</v>
      </c>
      <c r="EA37"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279.33333333333337</v>
      </c>
      <c r="EB37"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-1.6572794822627042</v>
      </c>
      <c r="EC37"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0.13613053613053605</v>
      </c>
      <c r="ED37"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0</v>
      </c>
      <c r="EE37"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75.644521892916714</v>
      </c>
      <c r="EF37"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0</v>
      </c>
      <c r="EG37" s="270">
        <f ca="1">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54.130902000783934</v>
      </c>
      <c r="EH37"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5.2572942715577113</v>
      </c>
      <c r="EI37"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3.0305211176580595</v>
      </c>
      <c r="EJ37" s="477">
        <f ca="1">Tbl_MeasureList[[#This Row],[Code (old fuel) Energy Cost (USD/yr)]]-Tbl_MeasureList[[#This Row],[Code (new fuel) Energy Cost (USD/yr)]]</f>
        <v>1202.8766262622048</v>
      </c>
      <c r="EK37" s="496">
        <f ca="1">Tbl_MeasureList[[#This Row],[Code (old fuel) Electric Annual Consumption (kWh/yr)]]-Tbl_MeasureList[[#This Row],[Code (new fuel) Electric Annual Consumption (kWh/yr)]]</f>
        <v>-7665.29303357149</v>
      </c>
      <c r="EL37" s="496">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-7737.1216050000621</v>
      </c>
      <c r="EM37" s="496">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71.828571428571536</v>
      </c>
      <c r="EN37" s="500">
        <f ca="1">Tbl_MeasureList[[#This Row],[Code (old fuel) Electric Winter Peak Demand (kW)]]-Tbl_MeasureList[[#This Row],[Code (new fuel) Electric Winter Peak Demand (kW)]]</f>
        <v>-1.1039258237261185</v>
      </c>
      <c r="EO37" s="493">
        <f ca="1">Tbl_MeasureList[[#This Row],[Code (old fuel) Electric Summer Peak Demand (kW)]]-Tbl_MeasureList[[#This Row],[Code (new fuel) Electric Summer Peak Demand (kW)]]</f>
        <v>0.13613053613053605</v>
      </c>
      <c r="EP37" s="502">
        <f ca="1">Tbl_MeasureList[[#This Row],[Code (old fuel) Natural Gas Annual Consumption (therms/yr)]]-Tbl_MeasureList[[#This Row],[Code (new fuel) Natural Gas Annual Consumption (therms/yr)]]</f>
        <v>0</v>
      </c>
      <c r="EQ37" s="215">
        <f ca="1">Tbl_MeasureList[[#This Row],[Code (old fuel) Propane Annual Consumption (MMBtu/yr)]]-Tbl_MeasureList[[#This Row],[Code (new fuel) Propane Annual Consumption (MMBtu/yr)]]</f>
        <v>75.644521892916714</v>
      </c>
      <c r="ER37" s="502">
        <f ca="1">Tbl_MeasureList[[#This Row],[Code (old fuel) Oil Annual Consumption (MMBtu/yr)]]-Tbl_MeasureList[[#This Row],[Code (new fuel) Oil Annual Consumption (MMBtu/yr)]]</f>
        <v>0</v>
      </c>
      <c r="ES37" s="215">
        <f ca="1">Tbl_MeasureList[[#This Row],[Code (old fuel) Energy Consumption on MMBtu Basis (MMBtu/yr)]]-Tbl_MeasureList[[#This Row],[Code (new fuel) Energy Consumption on MMBtu Basis (MMBtu/yr)]]</f>
        <v>49.490542062370778</v>
      </c>
      <c r="ET37" s="502">
        <f ca="1">Tbl_MeasureList[[#This Row],[Code (old fuel) Carbon Emissions, Site (tons CO2/yr)]]-Tbl_MeasureList[[#This Row],[Code (new fuel) Carbon Emissions, Site (tons CO2/yr)]]</f>
        <v>5.2572942715577113</v>
      </c>
      <c r="EU37" s="498">
        <f ca="1">Tbl_MeasureList[[#This Row],[Code (old fuel) Carbon Emissions, Source (tons CO2/yr)]]-Tbl_MeasureList[[#This Row],[Code (new fuel) Carbon Emissions, Source (tons CO2/yr)]]</f>
        <v>2.5502193838216041</v>
      </c>
      <c r="EV37" s="450">
        <f ca="1">Tbl_MeasureList[[#This Row],[ER Total Low Measure Electric Annual Consumption Savings (kWh/yr)]]*COAL_BTU_PER_SITE_KWH/Btu_per_MMBtu</f>
        <v>-0.76698385591246421</v>
      </c>
      <c r="EW37" s="411">
        <f ca="1">Tbl_MeasureList[[#This Row],[ER Total Low Measure Electric Annual Consumption Savings (kWh/yr)]]*COAL_LBS_PER_SITE_KWH</f>
        <v>-67.27928560635651</v>
      </c>
      <c r="EX37" s="326">
        <f ca="1">Tbl_MeasureList[[#This Row],[ER Total Low Measure Electric Annual Consumption Savings (kWh/yr)]]*OIL_BTU_PER_SITE_KWH/Btu_per_MMBtu</f>
        <v>-0.88294749127430772</v>
      </c>
      <c r="EY37" s="325">
        <f ca="1">Tbl_MeasureList[[#This Row],[ER Total Low Measure Electric Annual Consumption Savings (kWh/yr)]]*OIL_GAL_PER_SITE_KWH</f>
        <v>-6.4007212387133112</v>
      </c>
      <c r="EZ37" s="326">
        <f ca="1">Tbl_MeasureList[[#This Row],[ER Total Low Measure Oil Annual Consumption Savings (MMBtu/yr)]]*Btu_per_MMBtu/OIL_BTU_PER_GAL</f>
        <v>0</v>
      </c>
      <c r="FA37" s="325">
        <f ca="1">Tbl_MeasureList[[#This Row],[Current ER Total Low Measure Oil Source Fuel Savings (gallons oil/year)]]+Tbl_MeasureList[[#This Row],[Current ER Total Low Measure Oil Site Fuel Savings (gallons oil/year)]]</f>
        <v>-6.4007212387133112</v>
      </c>
      <c r="FB37" s="326">
        <f ca="1">Tbl_MeasureList[[#This Row],[ER Total Low Measure Electric Annual Consumption Savings (kWh/yr)]]*GAS_BTU_PER_SITE_KWH/Btu_per_MMBtu</f>
        <v>-28.513826928367568</v>
      </c>
      <c r="FC37" s="327">
        <f ca="1">Tbl_MeasureList[[#This Row],[ER Total Low Measure Electric Annual Consumption Savings (kWh/yr)]]*GAS_CUFT_PER_SITE_KWH/1000</f>
        <v>-27.710230251086067</v>
      </c>
      <c r="FD37" s="328">
        <f ca="1">Tbl_MeasureList[[#This Row],[ER Total Low Measure Natural Gas Annual Consumption Savings (therms/yr)]]*Btu_per_MMBtu/(GAS_BTU_PER_CUFT*Therm_per_MMBtu*1000)</f>
        <v>0</v>
      </c>
      <c r="FE37" s="329">
        <f ca="1">Tbl_MeasureList[[#This Row],[Current ER Total Low Measure Gas Source Fuel Savings (1,000 cu.ft. gas/year)]]+Tbl_MeasureList[[#This Row],[Current ER Total Low Measure Gas Site Fuel Savings (1,000 cu.ft gas/year)]]</f>
        <v>-27.710230251086067</v>
      </c>
      <c r="FF37" s="324">
        <f ca="1">IFERROR(Tbl_MeasureList[[#This Row],[ER Total High Measure Electric Annual Consumption Savings (kWh/yr)]]*COAL_BTU_PER_SITE_KWH/Btu_per_MMBtu,"-")</f>
        <v>-0.66083353310164494</v>
      </c>
      <c r="FG37" s="325">
        <f ca="1">IFERROR(Tbl_MeasureList[[#This Row],[ER Total High Measure Electric Annual Consumption Savings (kWh/yr)]]*COAL_LBS_PER_SITE_KWH,"-")</f>
        <v>-57.967853780846042</v>
      </c>
      <c r="FH37" s="326">
        <f ca="1">IFERROR(Tbl_MeasureList[[#This Row],[ER Total High Measure Electric Annual Consumption Savings (kWh/yr)]]*OIL_BTU_PER_SITE_KWH/Btu_per_MMBtu,"-")</f>
        <v>-0.76074783804657709</v>
      </c>
      <c r="FI37" s="325">
        <f ca="1">IFERROR(Tbl_MeasureList[[#This Row],[ER Total High Measure Electric Annual Consumption Savings (kWh/yr)]]*OIL_GAL_PER_SITE_KWH,"-")</f>
        <v>-5.5148634459137851</v>
      </c>
      <c r="FJ37" s="326">
        <f ca="1">IFERROR(Tbl_MeasureList[[#This Row],[ER Total High Measure Oil Annual Consumption Savings (MMBtu/yr)]]*Btu_per_MMBtu/OIL_BTU_PER_GAL,"-")</f>
        <v>0</v>
      </c>
      <c r="FK37" s="325">
        <f ca="1">IFERROR(Tbl_MeasureList[[#This Row],[Current ER Total High Measure Oil Source Fuel Savings (gallons oil/year)]]+Tbl_MeasureList[[#This Row],[Current ER Total High Measure Oil Site Fuel Savings (gallons oil/year)]],"-")</f>
        <v>-5.5148634459137851</v>
      </c>
      <c r="FL37" s="326">
        <f ca="1">IFERROR(Tbl_MeasureList[[#This Row],[ER Total High Measure Electric Annual Consumption Savings (kWh/yr)]]*GAS_BTU_PER_SITE_KWH/Btu_per_MMBtu,"-")</f>
        <v>-24.567522309716647</v>
      </c>
      <c r="FM37" s="327">
        <f ca="1">IFERROR(Tbl_MeasureList[[#This Row],[ER Total High Measure Electric Annual Consumption Savings (kWh/yr)]]*GAS_CUFT_PER_SITE_KWH/1000,"-")</f>
        <v>-23.87514315813085</v>
      </c>
      <c r="FN37" s="328">
        <f ca="1">IFERROR(Tbl_MeasureList[[#This Row],[ER Total High Measure Natural Gas Annual Consumption Savings (therms/yr)]]*Btu_per_MMBtu/(GAS_BTU_PER_CUFT*Therm_per_MMBtu*1000),"-")</f>
        <v>0</v>
      </c>
      <c r="FO37" s="329">
        <f ca="1">IFERROR(Tbl_MeasureList[[#This Row],[Current ER Total High Measure Gas Source Fuel Savings (1,000 cu.ft. gas/year)]]+Tbl_MeasureList[[#This Row],[Current ER Total High Measure Gas Site Fuel Savings (1,000 cu.ft gas/year)]],"-")</f>
        <v>-23.87514315813085</v>
      </c>
      <c r="FP37" s="412">
        <f ca="1">Tbl_MeasureList[[#This Row],[ROF Low Measure Electric Annual Consumption Savings (kWh/yr)]]*COAL_BTU_PER_SITE_KWH/Btu_per_MMBtu</f>
        <v>-0.80019063453825567</v>
      </c>
      <c r="FQ37" s="327">
        <f ca="1">Tbl_MeasureList[[#This Row],[ROF Low Measure Electric Annual Consumption Savings (kWh/yr)]]*COAL_LBS_PER_SITE_KWH</f>
        <v>-70.192160924408384</v>
      </c>
      <c r="FR37" s="412">
        <f ca="1">Tbl_MeasureList[[#This Row],[ROF Low Measure Electric Annual Consumption Savings (kWh/yr)]]*OIL_BTU_PER_SITE_KWH/Btu_per_MMBtu</f>
        <v>-0.92117494763460184</v>
      </c>
      <c r="FS37" s="327">
        <f ca="1">Tbl_MeasureList[[#This Row],[ROF Low Measure Electric Annual Consumption Savings (kWh/yr)]]*OIL_GAL_PER_SITE_KWH</f>
        <v>-6.6778422388241827</v>
      </c>
      <c r="FT37" s="412">
        <f ca="1">Tbl_MeasureList[[#This Row],[ROF Low Measure Oil Annual Consumption Savings (MMBtu/yr)]]*Btu_per_MMBtu/OIL_BTU_PER_GAL</f>
        <v>0</v>
      </c>
      <c r="FU37" s="327">
        <f ca="1">Tbl_MeasureList[[#This Row],[Current ROF Low Measure Oil Source Fuel Savings (gallons oil/year)]]+Tbl_MeasureList[[#This Row],[Current ROF Low Measure Oil Site Fuel Savings (gallons oil/year)]]</f>
        <v>-6.6778422388241827</v>
      </c>
      <c r="FV37" s="412">
        <f ca="1">Tbl_MeasureList[[#This Row],[ROF Low Measure Electric Annual Consumption Savings (kWh/yr)]]*GAS_BTU_PER_SITE_KWH/Btu_per_MMBtu</f>
        <v>-29.748340968376901</v>
      </c>
      <c r="FW37" s="327">
        <f ca="1">Tbl_MeasureList[[#This Row],[ROF Low Measure Electric Annual Consumption Savings (kWh/yr)]]*GAS_CUFT_PER_SITE_KWH/1000</f>
        <v>-28.909952350220504</v>
      </c>
      <c r="FX37" s="412">
        <f ca="1">Tbl_MeasureList[[#This Row],[ROF Low Measure Natural Gas Annual Consumption Savings (therms/yr)]]*Btu_per_MMBtu/(GAS_BTU_PER_CUFT*Therm_per_MMBtu*1000)</f>
        <v>0</v>
      </c>
      <c r="FY37" s="327">
        <f ca="1">Tbl_MeasureList[[#This Row],[Current ROF Low Measure Gas Source Fuel Savings (1,000 cu.ft. gas/year)]]+Tbl_MeasureList[[#This Row],[Current ROF Low Measure Gas Site Fuel Savings (1,000 cu.ft gas/year)]]</f>
        <v>-28.909952350220504</v>
      </c>
      <c r="FZ37" s="414">
        <f ca="1">IFERROR(Tbl_MeasureList[[#This Row],[ROF High Measure Electric Annual Consumption Savings (kWh/yr)]]*COAL_BTU_PER_SITE_KWH/Btu_per_MMBtu,"-")</f>
        <v>-0.6940403117274363</v>
      </c>
      <c r="GA37" s="327">
        <f ca="1">IFERROR(Tbl_MeasureList[[#This Row],[ROF High Measure Electric Annual Consumption Savings (kWh/yr)]]*COAL_LBS_PER_SITE_KWH,"-")</f>
        <v>-60.880729098897909</v>
      </c>
      <c r="GB37" s="412">
        <f ca="1">IFERROR(Tbl_MeasureList[[#This Row],[ROF High Measure Electric Annual Consumption Savings (kWh/yr)]]*OIL_BTU_PER_SITE_KWH/Btu_per_MMBtu,"-")</f>
        <v>-0.79897529440687109</v>
      </c>
      <c r="GC37" s="327">
        <f ca="1">IFERROR(Tbl_MeasureList[[#This Row],[ROF High Measure Electric Annual Consumption Savings (kWh/yr)]]*OIL_GAL_PER_SITE_KWH,"-")</f>
        <v>-5.7919844460246548</v>
      </c>
      <c r="GD37" s="412">
        <f ca="1">IFERROR(Tbl_MeasureList[[#This Row],[ROF High Measure Oil Annual Consumption Savings (MMBtu/yr)]]*Btu_per_MMBtu/OIL_BTU_PER_GAL,"-")</f>
        <v>0</v>
      </c>
      <c r="GE37" s="327">
        <f ca="1">IFERROR(Tbl_MeasureList[[#This Row],[Current ROF High Measure Oil Source Fuel Savings (gallons oil/year)]]+Tbl_MeasureList[[#This Row],[Current ROF High Measure Oil Site Fuel Savings (gallons oil/year)]],"-")</f>
        <v>-5.7919844460246548</v>
      </c>
      <c r="GF37" s="412">
        <f ca="1">IFERROR(Tbl_MeasureList[[#This Row],[ROF High Measure Electric Annual Consumption Savings (kWh/yr)]]*GAS_BTU_PER_SITE_KWH/Btu_per_MMBtu,"-")</f>
        <v>-25.802036349725974</v>
      </c>
      <c r="GG37" s="327">
        <f ca="1">IFERROR(Tbl_MeasureList[[#This Row],[ROF High Measure Electric Annual Consumption Savings (kWh/yr)]]*GAS_CUFT_PER_SITE_KWH/1000,"-")</f>
        <v>-25.07486525726528</v>
      </c>
      <c r="GH37" s="412">
        <f ca="1">IFERROR(Tbl_MeasureList[[#This Row],[ROF High Measure Natural Gas Annual Consumption Savings (therms/yr)]]*Btu_per_MMBtu/(GAS_BTU_PER_CUFT*Therm_per_MMBtu*1000),"-")</f>
        <v>0</v>
      </c>
      <c r="GI37" s="327">
        <f ca="1">IFERROR(Tbl_MeasureList[[#This Row],[Current ROF High Measure Gas Source Fuel Savings (1,000 cu.ft. gas/year)]]+Tbl_MeasureList[[#This Row],[Current ROF High Measure Gas Site Fuel Savings (1,000 cu.ft gas/year)]],"-")</f>
        <v>-25.07486525726528</v>
      </c>
      <c r="GJ37" s="324">
        <f ca="1">Tbl_MeasureList[[#This Row],[ER Total Low Measure Electric Annual Consumption Savings (kWh/yr)]]*COAL_BTU_PER_SITE_KWH_CES/Btu_per_MMBtu</f>
        <v>-1.3038725550511892</v>
      </c>
      <c r="GK37" s="325">
        <f ca="1">Tbl_MeasureList[[#This Row],[ER Total Low Measure Electric Annual Consumption Savings (kWh/yr)]]*COAL_LBS_PER_SITE_KWH_CES</f>
        <v>-118.40469987751445</v>
      </c>
      <c r="GL37" s="326">
        <f ca="1">Tbl_MeasureList[[#This Row],[ER Total Low Measure Electric Annual Consumption Savings (kWh/yr)]]*OIL_BTU_PER_SITE_KWH_CES/Btu_per_MMBtu</f>
        <v>-0.40133976876104899</v>
      </c>
      <c r="GM37" s="325">
        <f ca="1">Tbl_MeasureList[[#This Row],[ER Total Low Measure Electric Annual Consumption Savings (kWh/yr)]]*OIL_GAL_PER_SITE_KWH_CES</f>
        <v>-2.7076571186923104</v>
      </c>
      <c r="GN37" s="326">
        <f ca="1">Tbl_MeasureList[[#This Row],[ER Total Low Measure Oil Annual Consumption Savings (MMBtu/yr)]]*Btu_per_MMBtu/OIL_BTU_PER_GAL_CES</f>
        <v>0</v>
      </c>
      <c r="GO37" s="325">
        <f ca="1">Tbl_MeasureList[[#This Row],[CES ER Low Measure Oil Source Fuel Savings (gallons oil/year)]]+Tbl_MeasureList[[#This Row],[CES ER Low Measure Oil Site Fuel Savings (gallons oil/year)]]</f>
        <v>-2.7076571186923104</v>
      </c>
      <c r="GP37" s="326">
        <f ca="1">Tbl_MeasureList[[#This Row],[ER Total Low Measure Electric Annual Consumption Savings (kWh/yr)]]*GAS_BTU_PER_SITE_KWH_CES/Btu_per_MMBtu</f>
        <v>-11.871062639565274</v>
      </c>
      <c r="GQ37" s="327">
        <f ca="1">Tbl_MeasureList[[#This Row],[ER Total Low Measure Electric Annual Consumption Savings (kWh/yr)]]*GAS_CUFT_PER_SITE_KWH_CES/1000</f>
        <v>-11.525303533558519</v>
      </c>
      <c r="GR37" s="328">
        <f ca="1">Tbl_MeasureList[[#This Row],[ER Total Low Measure Natural Gas Annual Consumption Savings (therms/yr)]]*Btu_per_MMBtu/(GAS_BTU_PER_CUFT_CES*Therm_per_MMBtu*1000)</f>
        <v>0</v>
      </c>
      <c r="GS37" s="329">
        <f ca="1">Tbl_MeasureList[[#This Row],[CES ER Low Measure Gas Source Fuel Savings (1,000 cu.ft. gas/year)]]+Tbl_MeasureList[[#This Row],[CES ER Low Measure Gas Site Fuel Savings (1,000 cu.ft gas/year)]]</f>
        <v>-11.525303533558519</v>
      </c>
      <c r="GT37" s="324">
        <f ca="1">IFERROR(Tbl_MeasureList[[#This Row],[ER Total High Measure Electric Annual Consumption Savings (kWh/yr)]]*COAL_BTU_PER_SITE_KWH_CES/Btu_per_MMBtu,"-")</f>
        <v>-1.1234170062727964</v>
      </c>
      <c r="GU37" s="325">
        <f ca="1">IFERROR(Tbl_MeasureList[[#This Row],[ER Total High Measure Electric Annual Consumption Savings (kWh/yr)]]*COAL_LBS_PER_SITE_KWH_CES,"-")</f>
        <v>-102.01752690454016</v>
      </c>
      <c r="GV37" s="326">
        <f ca="1">IFERROR(Tbl_MeasureList[[#This Row],[ER Total High Measure Electric Annual Consumption Savings (kWh/yr)]]*OIL_BTU_PER_SITE_KWH_CES/Btu_per_MMBtu,"-")</f>
        <v>-0.34579447183935319</v>
      </c>
      <c r="GW37" s="325">
        <f ca="1">IFERROR(Tbl_MeasureList[[#This Row],[ER Total High Measure Electric Annual Consumption Savings (kWh/yr)]]*OIL_GAL_PER_SITE_KWH_CES,"-")</f>
        <v>-2.3329182307814742</v>
      </c>
      <c r="GX37" s="326">
        <f ca="1">IFERROR(Tbl_MeasureList[[#This Row],[ER Total High Measure Oil Annual Consumption Savings (MMBtu/yr)]]*Btu_per_MMBtu/OIL_BTU_PER_GAL_CES,"-")</f>
        <v>0</v>
      </c>
      <c r="GY37" s="325">
        <f ca="1">IFERROR(Tbl_MeasureList[[#This Row],[CES ER High Measure Oil Source Fuel Savings (gallons oil/year)]]+Tbl_MeasureList[[#This Row],[CES ER High Measure Oil Site Fuel Savings (gallons oil/year)]],"-")</f>
        <v>-2.3329182307814742</v>
      </c>
      <c r="GZ37" s="326">
        <f ca="1">IFERROR(Tbl_MeasureList[[#This Row],[ER Total High Measure Electric Annual Consumption Savings (kWh/yr)]]*GAS_BTU_PER_SITE_KWH_CES/Btu_per_MMBtu,"-")</f>
        <v>-10.228111328943257</v>
      </c>
      <c r="HA37" s="327">
        <f ca="1">IFERROR(Tbl_MeasureList[[#This Row],[ER Total High Measure Electric Annual Consumption Savings (kWh/yr)]]*GAS_CUFT_PER_SITE_KWH_CES/1000,"-")</f>
        <v>-9.9302051737313182</v>
      </c>
      <c r="HB37" s="328">
        <f ca="1">IFERROR(Tbl_MeasureList[[#This Row],[ER Total High Measure Natural Gas Annual Consumption Savings (therms/yr)]]*Btu_per_MMBtu/(GAS_BTU_PER_CUFT_CES*Therm_per_MMBtu*1000),"-")</f>
        <v>0</v>
      </c>
      <c r="HC37" s="329">
        <f ca="1">IFERROR(Tbl_MeasureList[[#This Row],[CES ER High Measure Gas Source Fuel Savings (1,000 cu.ft. gas/year)]]+Tbl_MeasureList[[#This Row],[CES ER High Measure Gas Site Fuel Savings (1,000 cu.ft gas/year)]],"-")</f>
        <v>-9.9302051737313182</v>
      </c>
      <c r="HD37" s="315">
        <f ca="1">Tbl_MeasureList[[#This Row],[ROF Low Measure Electric Annual Consumption Savings (kWh/yr)]]*COAL_BTU_PER_SITE_KWH_CES/Btu_per_MMBtu</f>
        <v>-1.3603240787150346</v>
      </c>
      <c r="HE37" s="316">
        <f ca="1">Tbl_MeasureList[[#This Row],[ROF Low Measure Electric Annual Consumption Savings (kWh/yr)]]*COAL_LBS_PER_SITE_KWH_CES</f>
        <v>-123.53106417681026</v>
      </c>
      <c r="HF37" s="317">
        <f ca="1">Tbl_MeasureList[[#This Row],[ROF Low Measure Electric Annual Consumption Savings (kWh/yr)]]*OIL_BTU_PER_SITE_KWH_CES/Btu_per_MMBtu</f>
        <v>-0.41871588528845538</v>
      </c>
      <c r="HG37" s="316">
        <f ca="1">Tbl_MeasureList[[#This Row],[ROF Low Measure Electric Annual Consumption Savings (kWh/yr)]]*OIL_GAL_PER_SITE_KWH_CES</f>
        <v>-2.8248858841244027</v>
      </c>
      <c r="HH37" s="317">
        <f ca="1">Tbl_MeasureList[[#This Row],[ROF Low Measure Oil Annual Consumption Savings (MMBtu/yr)]]*Btu_per_MMBtu/OIL_BTU_PER_GAL_CES</f>
        <v>0</v>
      </c>
      <c r="HI37" s="316">
        <f ca="1">Tbl_MeasureList[[#This Row],[CES ROF Low Measure Oil Source Fuel Savings (gallons oil/year)]]+Tbl_MeasureList[[#This Row],[CES ROF Low Measure Oil Site Fuel Savings (gallons oil/year)]]</f>
        <v>-2.8248858841244027</v>
      </c>
      <c r="HJ37" s="317">
        <f ca="1">Tbl_MeasureList[[#This Row],[ROF Low Measure Electric Annual Consumption Savings (kWh/yr)]]*GAS_BTU_PER_SITE_KWH_CES/Btu_per_MMBtu</f>
        <v>-12.385023586834464</v>
      </c>
      <c r="HK37" s="316">
        <f ca="1">Tbl_MeasureList[[#This Row],[ROF Low Measure Electric Annual Consumption Savings (kWh/yr)]]*GAS_CUFT_PER_SITE_KWH_CES/1000</f>
        <v>-12.02429474449948</v>
      </c>
      <c r="HL37" s="317">
        <f ca="1">Tbl_MeasureList[[#This Row],[ROF Low Measure Natural Gas Annual Consumption Savings (therms/yr)]]*Btu_per_MMBtu/(GAS_BTU_PER_CUFT_CES*Therm_per_MMBtu*1000)</f>
        <v>0</v>
      </c>
      <c r="HM37" s="318">
        <f ca="1">Tbl_MeasureList[[#This Row],[CES ROF Low Measure Gas Source Fuel Savings (1,000 cu.ft. gas/year)]]+Tbl_MeasureList[[#This Row],[CES ROF Low Measure Gas Site Fuel Savings (1,000 cu.ft gas/year)]]</f>
        <v>-12.02429474449948</v>
      </c>
      <c r="HN37" s="315">
        <f ca="1">IFERROR(Tbl_MeasureList[[#This Row],[ROF High Measure Electric Annual Consumption Savings (kWh/yr)]]*COAL_BTU_PER_SITE_KWH_CES/Btu_per_MMBtu,"-")</f>
        <v>-1.1798685299366414</v>
      </c>
      <c r="HO37" s="316">
        <f ca="1">IFERROR(Tbl_MeasureList[[#This Row],[ROF High Measure Electric Annual Consumption Savings (kWh/yr)]]*COAL_LBS_PER_SITE_KWH_CES,"-")</f>
        <v>-107.14389120383595</v>
      </c>
      <c r="HP37" s="317">
        <f ca="1">IFERROR(Tbl_MeasureList[[#This Row],[ROF High Measure Electric Annual Consumption Savings (kWh/yr)]]*OIL_BTU_PER_SITE_KWH_CES/Btu_per_MMBtu,"-")</f>
        <v>-0.36317058836675958</v>
      </c>
      <c r="HQ37" s="316">
        <f ca="1">IFERROR(Tbl_MeasureList[[#This Row],[ROF High Measure Electric Annual Consumption Savings (kWh/yr)]]*OIL_GAL_PER_SITE_KWH_CES,"-")</f>
        <v>-2.450146996213566</v>
      </c>
      <c r="HR37" s="317">
        <f ca="1">IFERROR(Tbl_MeasureList[[#This Row],[ROF High Measure Oil Annual Consumption Savings (MMBtu/yr)]]*Btu_per_MMBtu/OIL_BTU_PER_GAL_CES,"-")</f>
        <v>0</v>
      </c>
      <c r="HS37" s="316">
        <f ca="1">IFERROR(Tbl_MeasureList[[#This Row],[CES ROF High Measure Oil Source Fuel Savings (gallons oil/year)]]+Tbl_MeasureList[[#This Row],[CES ROF High Measure Oil Site Fuel Savings (gallons oil/year)]],"-")</f>
        <v>-2.450146996213566</v>
      </c>
      <c r="HT37" s="317">
        <f ca="1">IFERROR(Tbl_MeasureList[[#This Row],[ROF High Measure Electric Annual Consumption Savings (kWh/yr)]]*GAS_BTU_PER_SITE_KWH_CES/Btu_per_MMBtu,"-")</f>
        <v>-10.742072276212447</v>
      </c>
      <c r="HU37" s="316">
        <f ca="1">IFERROR(Tbl_MeasureList[[#This Row],[ROF High Measure Electric Annual Consumption Savings (kWh/yr)]]*GAS_CUFT_PER_SITE_KWH_CES/1000,"-")</f>
        <v>-10.429196384672279</v>
      </c>
      <c r="HV37" s="317">
        <f ca="1">IFERROR(Tbl_MeasureList[[#This Row],[ROF High Measure Natural Gas Annual Consumption Savings (therms/yr)]]*Btu_per_MMBtu/(GAS_BTU_PER_CUFT_CES*Therm_per_MMBtu*1000),"-")</f>
        <v>0</v>
      </c>
      <c r="HW37" s="318">
        <f ca="1">IFERROR(Tbl_MeasureList[[#This Row],[CES ROF High Measure Gas Source Fuel Savings (1,000 cu.ft. gas/year)]]+Tbl_MeasureList[[#This Row],[CES ROF High Measure Gas Site Fuel Savings (1,000 cu.ft gas/year)]],"-")</f>
        <v>-10.429196384672279</v>
      </c>
      <c r="HX37" s="346">
        <f>Tbl_MeasureList[[#This Row],[Baseline Energy Cost (USD/yr)]]-Tbl_MeasureList[[#This Row],[Code (old fuel) Energy Cost (USD/yr)]]</f>
        <v>259.00224052782869</v>
      </c>
      <c r="HY37" s="354">
        <f>0</f>
        <v>0</v>
      </c>
      <c r="HZ37" s="347">
        <f>Tbl_MeasureList[[#This Row],[Baseline Electric Annual Consumption (kWh/yr)]]-Tbl_MeasureList[[#This Row],[Code (old fuel) Electric Annual Consumption (kWh/yr)]]</f>
        <v>301.68000000000006</v>
      </c>
      <c r="IA37" s="347">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0</v>
      </c>
      <c r="IB37" s="347">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301.68000000000006</v>
      </c>
      <c r="IC37" s="355">
        <f>Tbl_MeasureList[[#This Row],[Baseline Electric Winter Peak Demand (kW)]]-Tbl_MeasureList[[#This Row],[Code (old fuel) Electric Winter Peak Demand (kW)]]</f>
        <v>0</v>
      </c>
      <c r="ID37" s="355">
        <f>Tbl_MeasureList[[#This Row],[Baseline Electric Summer Peak Demand (kW)]]-Tbl_MeasureList[[#This Row],[Code (old fuel) Electric Summer Peak Demand (kW)]]</f>
        <v>0.41711229946524075</v>
      </c>
      <c r="IE37" s="349">
        <f>Tbl_MeasureList[[#This Row],[Baseline Natural Gas Annual Consumption (therms/yr)]]-Tbl_MeasureList[[#This Row],[Code (old fuel) Natural Gas Annual Consumption (therms/yr)]]</f>
        <v>0</v>
      </c>
      <c r="IF37" s="350">
        <f>Tbl_MeasureList[[#This Row],[Baseline Propane Annual Consumption (MMBtu/yr)]]-Tbl_MeasureList[[#This Row],[Code (old fuel) Propane Annual Consumption (MMBtu/yr)]]</f>
        <v>5.5453551912568315</v>
      </c>
      <c r="IG37" s="351">
        <f>Tbl_MeasureList[[#This Row],[Baseline Oil Annual Consumption (MMBtu/yr)]]-Tbl_MeasureList[[#This Row],[Code (old fuel) Oil Annual Consumption (MMBtu/yr)]]</f>
        <v>0</v>
      </c>
      <c r="IH37" s="373">
        <f>Tbl_MeasureList[[#This Row],[Baseline Energy Consumption on MMBtu Basis (MMBtu/yr)]]-Tbl_MeasureList[[#This Row],[Code (old fuel) Energy Consumption on MMBtu Basis (MMBtu/yr)]]</f>
        <v>6.5746873512568413</v>
      </c>
      <c r="II37" s="373">
        <f>Tbl_MeasureList[[#This Row],[Baseline Carbon Emissions, Site (tons CO2/yr)]]-Tbl_MeasureList[[#This Row],[Code (old fuel) Carbon Emissions, Site (tons CO2/yr)]]</f>
        <v>0.38540218579234864</v>
      </c>
      <c r="IJ37" s="352">
        <f>Tbl_MeasureList[[#This Row],[Baseline Carbon Emissions, Source (tons CO2/yr)]]-Tbl_MeasureList[[#This Row],[Code (old fuel) Carbon Emissions, Source (tons CO2/yr)]]</f>
        <v>0.49194349459234843</v>
      </c>
      <c r="IK37" s="353">
        <f ca="1">Tbl_MeasureList[[#This Row],[Code (new fuel) Energy Cost (USD/yr)]]-Tbl_MeasureList[[#This Row],[Low Measure Energy Cost (USD/yr)]]</f>
        <v>78.259071293323359</v>
      </c>
      <c r="IL37"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5352.4361903687059</v>
      </c>
      <c r="IM37" s="358">
        <f ca="1">Tbl_MeasureList[[#This Row],[Code (old fuel) Electric Annual Consumption (kWh/yr)]]-Tbl_MeasureList[[#This Row],[Low Measure Electric Annual Consumption (kWh/yr)]]</f>
        <v>-7269.6455548388149</v>
      </c>
      <c r="IN37" s="358">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-7458.195554838816</v>
      </c>
      <c r="IO37" s="358">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188.55000000000007</v>
      </c>
      <c r="IP37" s="355">
        <f ca="1">Tbl_MeasureList[[#This Row],[Code (old fuel) Electric Winter Peak Demand (kW)]]-Tbl_MeasureList[[#This Row],[Low Measure Electric Winter Peak Demand (kW)]]</f>
        <v>-1.0638971293215274</v>
      </c>
      <c r="IQ37" s="355">
        <f ca="1">Tbl_MeasureList[[#This Row],[Code (old fuel) Electric Summer Peak Demand (kW)]]-Tbl_MeasureList[[#This Row],[Low Measure Electric Summer Peak Demand (kW)]]</f>
        <v>0.13613053613053605</v>
      </c>
      <c r="IR37" s="351">
        <f ca="1">Tbl_MeasureList[[#This Row],[Code (old fuel) Natural Gas Annual Consumption (therms/yr)]]-Tbl_MeasureList[[#This Row],[Low Measure Natural Gas Annual Consumption (therms/yr)]]</f>
        <v>0</v>
      </c>
      <c r="IS37" s="356">
        <f ca="1">Tbl_MeasureList[[#This Row],[Code (old fuel) Propane Annual Consumption (MMBtu/yr)]]-Tbl_MeasureList[[#This Row],[Low Measure Propane Annual Consumption (MMBtu/yr)]]</f>
        <v>75.644521892916714</v>
      </c>
      <c r="IT37" s="351">
        <f ca="1">Tbl_MeasureList[[#This Row],[Code (old fuel) Oil Annual Consumption (MMBtu/yr)]]-Tbl_MeasureList[[#This Row],[Low Measure Oil Annual Consumption (MMBtu/yr)]]</f>
        <v>0</v>
      </c>
      <c r="IU37" s="351">
        <f ca="1">Tbl_MeasureList[[#This Row],[Code (old fuel) Energy Consumption on MMBtu Basis (MMBtu/yr)]]-Tbl_MeasureList[[#This Row],[Low Measure Energy Consumption on MMBtu Basis (MMBtu/yr)]]</f>
        <v>50.840491259806669</v>
      </c>
      <c r="IV37" s="351">
        <f ca="1">Tbl_MeasureList[[#This Row],[Code (old fuel) Carbon Emissions, Site (tons CO2/yr)]]-Tbl_MeasureList[[#This Row],[Low Measure Carbon Emissions, Site (tons CO2/yr)]]</f>
        <v>5.2572942715577113</v>
      </c>
      <c r="IW37" s="357">
        <f ca="1">Tbl_MeasureList[[#This Row],[Code (old fuel) Carbon Emissions, Source (tons CO2/yr)]]-Tbl_MeasureList[[#This Row],[Low Measure Carbon Emissions, Source (tons CO2/yr)]]</f>
        <v>2.6899462474108358</v>
      </c>
      <c r="IX37" s="3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1471.8869415664608</v>
      </c>
      <c r="IY37" s="20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6222.4361903687059</v>
      </c>
      <c r="IZ37" s="35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-6305.2813282921388</v>
      </c>
      <c r="JA37" s="35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-6584.6146616254728</v>
      </c>
      <c r="JB37" s="35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279.33333333333337</v>
      </c>
      <c r="JC37" s="35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-1.6572794822627042</v>
      </c>
      <c r="JD37" s="35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0.13613053613053605</v>
      </c>
      <c r="JE37" s="35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0</v>
      </c>
      <c r="JF37" s="35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75.644521892916714</v>
      </c>
      <c r="JG37" s="35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0</v>
      </c>
      <c r="JH37" s="35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54.130902000783927</v>
      </c>
      <c r="JI37" s="35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5.2572942715577113</v>
      </c>
      <c r="JJ37" s="50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3.0305211176580595</v>
      </c>
      <c r="JK37" s="432">
        <f>Tbl_MeasureList[[#This Row],[ER (Retire) Electric Annual Consumption Savings (kWh/yr)]]*COAL_BTU_PER_SITE_KWH/Btu_per_MMBtu</f>
        <v>3.3206778625791397E-2</v>
      </c>
      <c r="JL37" s="428">
        <f>Tbl_MeasureList[[#This Row],[ER (Retire) Electric Annual Consumption Savings (kWh/yr)]]*COAL_LBS_PER_SITE_KWH</f>
        <v>2.9128753180518769</v>
      </c>
      <c r="JM37" s="427">
        <f>Tbl_MeasureList[[#This Row],[ER (Retire) Electric Annual Consumption Savings (kWh/yr)]]*OIL_BTU_PER_SITE_KWH/Btu_per_MMBtu</f>
        <v>3.82274563602941E-2</v>
      </c>
      <c r="JN37" s="428">
        <f>Tbl_MeasureList[[#This Row],[ER (Retire) Electric Annual Consumption Savings (kWh/yr)]]*OIL_GAL_PER_SITE_KWH</f>
        <v>0.27712100011087093</v>
      </c>
      <c r="JO37" s="427">
        <f>Tbl_MeasureList[[#This Row],[ER (Retire) Oil Annual Consumption Savings (MMBtu/yr)]]*Btu_per_MMBtu/OIL_BTU_PER_GAL</f>
        <v>0</v>
      </c>
      <c r="JP37" s="428">
        <f ca="1">Tbl_MeasureList[[#This Row],[Current ER (Retire) Oil Source Fuel Savings (gallons oil/year)]]+Tbl_MeasureList[[#This Row],[Current ER Total Low Measure Oil Site Fuel Savings (gallons oil/year)]]</f>
        <v>0.27712100011087093</v>
      </c>
      <c r="JQ37" s="427">
        <f>Tbl_MeasureList[[#This Row],[ER (Retire) Electric Annual Consumption Savings (kWh/yr)]]*GAS_BTU_PER_SITE_KWH/Btu_per_MMBtu</f>
        <v>1.2345140400093317</v>
      </c>
      <c r="JR37" s="429">
        <f>Tbl_MeasureList[[#This Row],[ER (Retire) Electric Annual Consumption Savings (kWh/yr)]]*GAS_CUFT_PER_SITE_KWH/1000</f>
        <v>1.1997220991344331</v>
      </c>
      <c r="JS37" s="430">
        <f>Tbl_MeasureList[[#This Row],[ER (Retire) Natural Gas Annual Consumption Savings (therms/yr)]]*Btu_per_MMBtu/(GAS_BTU_PER_CUFT*Therm_per_MMBtu*1000)</f>
        <v>0</v>
      </c>
      <c r="JT37" s="431">
        <f ca="1">Tbl_MeasureList[[#This Row],[Current ER (Retire) Gas Source Fuel Savings (1,000 cu.ft. gas/year)]]+Tbl_MeasureList[[#This Row],[Current ER Total Low Measure Gas Site Fuel Savings (1,000 cu.ft gas/year)]]</f>
        <v>1.1997220991344331</v>
      </c>
      <c r="JU37" s="432">
        <f ca="1">Tbl_MeasureList[[#This Row],[ER (EE) Low Measure Electric Annual Consumption Savings (kWh/yr)]]*COAL_BTU_PER_SITE_KWH/Btu_per_MMBtu</f>
        <v>-0.80019063453825567</v>
      </c>
      <c r="JV37" s="428">
        <f ca="1">Tbl_MeasureList[[#This Row],[ER (EE) Low Measure Electric Annual Consumption Savings (kWh/yr)]]*COAL_LBS_PER_SITE_KWH</f>
        <v>-70.192160924408384</v>
      </c>
      <c r="JW37" s="427">
        <f ca="1">Tbl_MeasureList[[#This Row],[ER (EE) Low Measure Electric Annual Consumption Savings (kWh/yr)]]*OIL_BTU_PER_SITE_KWH/Btu_per_MMBtu</f>
        <v>-0.92117494763460184</v>
      </c>
      <c r="JX37" s="428">
        <f ca="1">Tbl_MeasureList[[#This Row],[ER (EE) Low Measure Electric Annual Consumption Savings (kWh/yr)]]*OIL_GAL_PER_SITE_KWH</f>
        <v>-6.6778422388241827</v>
      </c>
      <c r="JY37" s="427">
        <f ca="1">Tbl_MeasureList[[#This Row],[ER (EE) Low Measure Oil Annual Consumption Savings (MMBtu/yr)]]*Btu_per_MMBtu/OIL_BTU_PER_GAL</f>
        <v>0</v>
      </c>
      <c r="JZ37" s="428">
        <f ca="1">Tbl_MeasureList[[#This Row],[Current ER (EE) Low Measure Oil Source Fuel Savings (gallons oil/year)]]+Tbl_MeasureList[[#This Row],[Current ER (EE) Low Measure Oil Site Fuel Savings (gallons oil/year)]]</f>
        <v>-6.6778422388241827</v>
      </c>
      <c r="KA37" s="427">
        <f ca="1">Tbl_MeasureList[[#This Row],[ER (EE) Low Measure Electric Annual Consumption Savings (kWh/yr)]]*GAS_BTU_PER_SITE_KWH/Btu_per_MMBtu</f>
        <v>-29.748340968376901</v>
      </c>
      <c r="KB37" s="429">
        <f ca="1">Tbl_MeasureList[[#This Row],[ER (EE) Low Measure Electric Annual Consumption Savings (kWh/yr)]]*GAS_CUFT_PER_SITE_KWH/1000</f>
        <v>-28.909952350220504</v>
      </c>
      <c r="KC37" s="430">
        <f ca="1">Tbl_MeasureList[[#This Row],[ER (EE) Low Measure Natural Gas Annual Consumption Savings (therms/yr)]]*Btu_per_MMBtu/(GAS_BTU_PER_CUFT*Therm_per_MMBtu*1000)</f>
        <v>0</v>
      </c>
      <c r="KD37" s="431">
        <f ca="1">Tbl_MeasureList[[#This Row],[Current ER (EE) Low Measure Gas Source Fuel Savings (1,000 cu.ft. gas/year)]]+Tbl_MeasureList[[#This Row],[Current ER (EE) Low Measure Gas Site Fuel Savings (1,000 cu.ft gas/year)]]</f>
        <v>-28.909952350220504</v>
      </c>
      <c r="KE37" s="432">
        <f ca="1">IFERROR(Tbl_MeasureList[[#This Row],[ER (EE) High Measure Electric Annual Consumption Savings (kWh/yr)]]*COAL_BTU_PER_SITE_KWH/Btu_per_MMBtu,"-")</f>
        <v>-0.6940403117274363</v>
      </c>
      <c r="KF37" s="428">
        <f ca="1">IFERROR(Tbl_MeasureList[[#This Row],[ER (EE) High Measure Electric Annual Consumption Savings (kWh/yr)]]*COAL_LBS_PER_SITE_KWH,"-")</f>
        <v>-60.880729098897909</v>
      </c>
      <c r="KG37" s="427">
        <f ca="1">IFERROR(Tbl_MeasureList[[#This Row],[ER (EE) High Measure Electric Annual Consumption Savings (kWh/yr)]]*OIL_BTU_PER_SITE_KWH/Btu_per_MMBtu,"-")</f>
        <v>-0.79897529440687109</v>
      </c>
      <c r="KH37" s="428">
        <f ca="1">IFERROR(Tbl_MeasureList[[#This Row],[ER (EE) High Measure Electric Annual Consumption Savings (kWh/yr)]]*OIL_GAL_PER_SITE_KWH,"-")</f>
        <v>-5.7919844460246548</v>
      </c>
      <c r="KI37" s="427">
        <f ca="1">IFERROR(Tbl_MeasureList[[#This Row],[ER (EE) High Measure Oil Annual Consumption Savings (MMBtu/yr)]]*Btu_per_MMBtu/OIL_BTU_PER_GAL,"-")</f>
        <v>0</v>
      </c>
      <c r="KJ37" s="428">
        <f ca="1">IFERROR(Tbl_MeasureList[[#This Row],[Current ER (EE) High Measure Oil Source Fuel Savings (gallons oil/year)]]+Tbl_MeasureList[[#This Row],[Current ER (EE) High Measure Oil Site Fuel Savings (gallons oil/year)]],"-")</f>
        <v>-5.7919844460246548</v>
      </c>
      <c r="KK37" s="427">
        <f ca="1">IFERROR(Tbl_MeasureList[[#This Row],[ER (EE) High Measure Electric Annual Consumption Savings (kWh/yr)]]*GAS_BTU_PER_SITE_KWH/Btu_per_MMBtu,"-")</f>
        <v>-25.802036349725974</v>
      </c>
      <c r="KL37" s="429">
        <f ca="1">IFERROR(Tbl_MeasureList[[#This Row],[ER (EE) High Measure Electric Annual Consumption Savings (kWh/yr)]]*GAS_CUFT_PER_SITE_KWH/1000,"-")</f>
        <v>-25.07486525726528</v>
      </c>
      <c r="KM37" s="430">
        <f ca="1">IFERROR(Tbl_MeasureList[[#This Row],[ER (EE) High Measure Natural Gas Annual Consumption Savings (therms/yr)]]*Btu_per_MMBtu/(GAS_BTU_PER_CUFT*Therm_per_MMBtu*1000),"-")</f>
        <v>0</v>
      </c>
      <c r="KN37" s="431">
        <f ca="1">IFERROR(Tbl_MeasureList[[#This Row],[Current ER (EE) High Measure Gas Source Fuel Savings (1,000 cu.ft. gas/year)]]+Tbl_MeasureList[[#This Row],[Current ER (EE) High Measure Gas Site Fuel Savings (1,000 cu.ft gas/year)]],"-")</f>
        <v>-25.07486525726528</v>
      </c>
    </row>
    <row r="38" spans="2:300" x14ac:dyDescent="0.2">
      <c r="B38" s="16"/>
      <c r="C38" s="228" t="s">
        <v>1217</v>
      </c>
      <c r="D38" s="426" t="str">
        <f>INDEX(Tbl_BaselineSummary[Equipment ID],MATCH(Tbl_MeasureList[[#This Row],[Baseline ID]],Tbl_BaselineSummary[Baseline ID],0))</f>
        <v>EQUI036</v>
      </c>
      <c r="E38" s="342" t="str">
        <f>INDEX(Tbl_EquipmentDefinitions[Equipment Name],MATCH('Measure List'!$D38,Tbl_EquipmentDefinitions[Equipment ID],0))</f>
        <v>Room AC/No AC Blend+Oil Boiler</v>
      </c>
      <c r="F38" s="3" t="s">
        <v>936</v>
      </c>
      <c r="G38" s="342" t="str">
        <f>INDEX(Tbl_EquipmentDefinitions[Function],MATCH('Measure List'!$D38,Tbl_EquipmentDefinitions[Equipment ID],0))</f>
        <v>Cool+Heat</v>
      </c>
      <c r="H38" s="229" t="s">
        <v>111</v>
      </c>
      <c r="I38" s="229" t="s">
        <v>942</v>
      </c>
      <c r="J38" s="342" t="str">
        <f>INDEX(Tbl_EquipmentDefinitions[Equipment Name],MATCH('Measure List'!$I38,Tbl_EquipmentDefinitions[Equipment ID],0))</f>
        <v>DMSHP</v>
      </c>
      <c r="K38" s="342">
        <f>INDEX(Tbl_EquipmentDefinitions[],MATCH(Tbl_MeasureList[[#This Row],[Replacement ID]],Tbl_EquipmentDefinitions[[Equipment ID]:[Equipment ID]],0),MATCH(Tbl_MeasureList[[#Headers],[New Unit Equipment Life (years)]],Tbl_EquipmentDefinitions[#Headers],0))</f>
        <v>18</v>
      </c>
      <c r="L38" s="342">
        <f>INDEX(Tbl_EquipmentDefinitions[],MATCH(Tbl_MeasureList[[#This Row],[Baseline Equipment ID]],Tbl_EquipmentDefinitions[[Equipment ID]:[Equipment ID]],0),MATCH(Tbl_MeasureList[[#Headers],[Remaining Life for Early Replacement (years)]],Tbl_EquipmentDefinitions[#Headers],0))</f>
        <v>10</v>
      </c>
      <c r="M38" s="344" t="str">
        <f>INDEX(Tbl_EquipmentDefinitions[Function],MATCH('Measure List'!$I38,Tbl_EquipmentDefinitions[Equipment ID],0))</f>
        <v>Cool+Heat</v>
      </c>
      <c r="N38" s="381" t="s">
        <v>118</v>
      </c>
      <c r="O38" s="345" t="str">
        <f t="shared" si="0"/>
        <v>OK</v>
      </c>
      <c r="P38" s="344" t="str">
        <f ca="1">IFERROR(INDIRECT(Tbl_MeasureList[[#This Row],[Measure ID]]&amp;"!D5"),"No tab")</f>
        <v>3. Ready</v>
      </c>
      <c r="Q38" s="342"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Electric</v>
      </c>
      <c r="R38" s="344"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Oil</v>
      </c>
      <c r="S38" s="342"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Electric</v>
      </c>
      <c r="T38" s="344"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v>
      </c>
      <c r="U38" s="346">
        <f>INDEX(Tbl_BaselineSummary[Baseline Annual Energy Cost (USD)],MATCH(Tbl_MeasureList[[#This Row],[Baseline ID]],Tbl_BaselineSummary[Baseline ID],0))</f>
        <v>2629.7287980291785</v>
      </c>
      <c r="V38" s="347">
        <f>INDEX(Tbl_BaselineSummary[Baseline Electric Annual Consumption  (kWh)],MATCH(Tbl_MeasureList[[#This Row],[Baseline ID]],Tbl_BaselineSummary[Baseline ID],0))</f>
        <v>1682.521739130435</v>
      </c>
      <c r="W38" s="347">
        <f>INDEX(Tbl_BaselineSummary[Baseline Electric Winter Consumption (kWh)],MATCH(Tbl_MeasureList[[#This Row],[Baseline ID]],Tbl_BaselineSummary[Baseline ID],0))</f>
        <v>230</v>
      </c>
      <c r="X38" s="347">
        <f>INDEX(Tbl_BaselineSummary[Baseline Electric Summer Consumption (kWh)],MATCH(Tbl_MeasureList[[#This Row],[Baseline ID]],Tbl_BaselineSummary[Baseline ID],0))</f>
        <v>1452.521739130435</v>
      </c>
      <c r="Y38" s="348">
        <f>INDEX(Tbl_BaselineSummary[Baseline Electric Baseline Winter Peak Demand (kW)],MATCH(Tbl_MeasureList[[#This Row],[Baseline ID]],Tbl_BaselineSummary[Baseline ID],0))</f>
        <v>3.5282837967401733E-2</v>
      </c>
      <c r="Z38" s="453">
        <f>INDEX(Tbl_BaselineSummary[Baseline Electric Baseline Summer Peak Demand (kW)],MATCH(Tbl_MeasureList[[#This Row],[Baseline ID]],Tbl_BaselineSummary[Baseline ID],0))</f>
        <v>1.9200000000000002</v>
      </c>
      <c r="AA38" s="459">
        <f>INDEX(Tbl_BaselineSummary[Baseline Natural Gas Annual Consumption  (therms)],MATCH(Tbl_MeasureList[[#This Row],[Baseline ID]],Tbl_BaselineSummary[Baseline ID],0))</f>
        <v>0</v>
      </c>
      <c r="AB38" s="456">
        <f>INDEX(Tbl_BaselineSummary[Baseline Propane Annual Consumption  (MMBtu)],MATCH(Tbl_MeasureList[[#This Row],[Baseline ID]],Tbl_BaselineSummary[Baseline ID],0))</f>
        <v>0</v>
      </c>
      <c r="AC38" s="350">
        <f>INDEX(Tbl_BaselineSummary[Baseline Oil Annual Consumption  (MMBtu)],MATCH(Tbl_MeasureList[[#This Row],[Baseline ID]],Tbl_BaselineSummary[Baseline ID],0))</f>
        <v>102.26666666666667</v>
      </c>
      <c r="AD38" s="373">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108.00743084057972</v>
      </c>
      <c r="AE38" s="461">
        <f>(lbCO2_per_Therm_Gas*Tbl_MeasureList[[#This Row],[Baseline Natural Gas Annual Consumption (therms/yr)]]+lbCO2_per_MMBtu_Prop*Tbl_MeasureList[[#This Row],[Baseline Propane Annual Consumption (MMBtu/yr)]]+lbCO2_per_MMBtu_Oil*Tbl_MeasureList[[#This Row],[Baseline Oil Annual Consumption (MMBtu/yr)]])*Lbs_per_ShortTon</f>
        <v>8.2478066666666674</v>
      </c>
      <c r="AF38" s="464">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8.8420060440579711</v>
      </c>
      <c r="AG38" s="466">
        <f>INDEX(Tbl_BaselineSummary[Code Annual Energy Cost (USD)],MATCH(Tbl_MeasureList[[#This Row],[Baseline ID]],Tbl_BaselineSummary[Baseline ID],0))</f>
        <v>2326.1678239546236</v>
      </c>
      <c r="AH38" s="469">
        <f>INDEX(Tbl_BaselineSummary[Deferred Replacement Credit (USD)],MATCH(Tbl_MeasureList[[#This Row],[Baseline ID]],Tbl_BaselineSummary[Baseline ID],0))</f>
        <v>3496.2245592483241</v>
      </c>
      <c r="AI38" s="354">
        <f>INDEX(Tbl_BaselineSummary[A/C-only Deferred Replacement Credit (USD)],MATCH(Tbl_MeasureList[[#This Row],[Baseline ID]],Tbl_BaselineSummary[Baseline ID],0))</f>
        <v>540.79957040967588</v>
      </c>
      <c r="AJ38" s="469">
        <f>INDEX(Tbl_BaselineSummary[Code Installed Costs (USD)],MATCH(Tbl_MeasureList[[#This Row],[Baseline ID]],Tbl_BaselineSummary[Baseline ID],0))</f>
        <v>7700.782608695652</v>
      </c>
      <c r="AK38" s="354">
        <f>INDEX(Tbl_BaselineSummary[Code A/C-only Installed Cost (USD)],MATCH(Tbl_MeasureList[[#This Row],[Baseline ID]],Tbl_BaselineSummary[Baseline ID],0))</f>
        <v>834.78260869565224</v>
      </c>
      <c r="AL38" s="347">
        <f>INDEX(Tbl_BaselineSummary[Code Electric Annual Consumption (kWh)],MATCH(Tbl_MeasureList[[#This Row],[Baseline ID]],Tbl_BaselineSummary[Baseline ID],0))</f>
        <v>1392.0173913043479</v>
      </c>
      <c r="AM38" s="347">
        <f>INDEX(Tbl_BaselineSummary[Code Electric Winter Consumption (kWh)],MATCH(Tbl_MeasureList[[#This Row],[Baseline ID]],Tbl_BaselineSummary[Baseline ID],0))</f>
        <v>230</v>
      </c>
      <c r="AN38" s="347">
        <f>INDEX(Tbl_BaselineSummary[Code Electric Summer Consumption (kWh)],MATCH(Tbl_MeasureList[[#This Row],[Baseline ID]],Tbl_BaselineSummary[Baseline ID],0))</f>
        <v>1162.0173913043479</v>
      </c>
      <c r="AO38" s="355">
        <f>INDEX(Tbl_BaselineSummary[Code Electric Winter Peak Demand (kW)],MATCH(Tbl_MeasureList[[#This Row],[Baseline ID]],Tbl_BaselineSummary[Baseline ID],0))</f>
        <v>3.5282837967401733E-2</v>
      </c>
      <c r="AP38" s="471">
        <f>INDEX(Tbl_BaselineSummary[Code Electric Summer Peak Demand (kW)],MATCH(Tbl_MeasureList[[#This Row],[Baseline ID]],Tbl_BaselineSummary[Baseline ID],0))</f>
        <v>1.5360000000000005</v>
      </c>
      <c r="AQ38" s="350">
        <f>INDEX(Tbl_BaselineSummary[Code Natural Gas Annual Consumption (therms)],MATCH(Tbl_MeasureList[[#This Row],[Baseline ID]],Tbl_BaselineSummary[Baseline ID],0))</f>
        <v>0</v>
      </c>
      <c r="AR38" s="473">
        <f>INDEX(Tbl_BaselineSummary[Code Propane Annual Consumption (MMBtu)],MATCH(Tbl_MeasureList[[#This Row],[Baseline ID]],Tbl_BaselineSummary[Baseline ID],0))</f>
        <v>0</v>
      </c>
      <c r="AS38" s="350">
        <f>INDEX(Tbl_BaselineSummary[Code Oil Annual Consumption (MMBtu)],MATCH(Tbl_MeasureList[[#This Row],[Baseline ID]],Tbl_BaselineSummary[Baseline ID],0))</f>
        <v>91.30952380952381</v>
      </c>
      <c r="AT38" s="351">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96.059087148654243</v>
      </c>
      <c r="AU38" s="350">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7.3641130952380953</v>
      </c>
      <c r="AV38" s="475">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7.8557179571511391</v>
      </c>
      <c r="AW38" s="346">
        <f ca="1">INDIRECT(Tbl_MeasureList[[#This Row],[Measure ID]]&amp;"!L26")</f>
        <v>2336.1745599104129</v>
      </c>
      <c r="AX38" s="469">
        <f ca="1">INDIRECT(Tbl_MeasureList[[#This Row],[Measure ID]]&amp;"!M26")</f>
        <v>12004.9</v>
      </c>
      <c r="AY38" s="482">
        <f ca="1">INDIRECT(Tbl_MeasureList[[#This Row],[Measure ID]]&amp;"!D26")</f>
        <v>11810.791506119378</v>
      </c>
      <c r="AZ38" s="482">
        <f ca="1">INDIRECT(Tbl_MeasureList[[#This Row],[Measure ID]]&amp;"!J26")</f>
        <v>10939.271506119378</v>
      </c>
      <c r="BA38" s="482">
        <f ca="1">INDIRECT(Tbl_MeasureList[[#This Row],[Measure ID]]&amp;"!I26")</f>
        <v>871.5200000000001</v>
      </c>
      <c r="BB38" s="471">
        <f ca="1">INDIRECT(Tbl_MeasureList[[#This Row],[Measure ID]]&amp;"!E26")</f>
        <v>1.9902439024390246</v>
      </c>
      <c r="BC38" s="355">
        <f ca="1">INDIRECT(Tbl_MeasureList[[#This Row],[Measure ID]]&amp;"!H26")</f>
        <v>1.5200000000000002</v>
      </c>
      <c r="BD38" s="351">
        <f ca="1">INDIRECT(Tbl_MeasureList[[#This Row],[Measure ID]]&amp;"!D32")</f>
        <v>0</v>
      </c>
      <c r="BE38" s="356">
        <f ca="1">INDIRECT(Tbl_MeasureList[[#This Row],[Measure ID]]&amp;"!D38")</f>
        <v>0</v>
      </c>
      <c r="BF38" s="351">
        <f ca="1">INDIRECT(Tbl_MeasureList[[#This Row],[Measure ID]]&amp;"!D44")</f>
        <v>0</v>
      </c>
      <c r="BG38" s="461">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40.298420618879319</v>
      </c>
      <c r="BH38" s="373">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0</v>
      </c>
      <c r="BI38" s="359">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4.1710991283011198</v>
      </c>
      <c r="BJ38" s="353">
        <f ca="1">INDIRECT(Tbl_MeasureList[[#This Row],[Measure ID]]&amp;"!L27")</f>
        <v>1946.1573712017159</v>
      </c>
      <c r="BK38" s="354">
        <f ca="1">INDIRECT(Tbl_MeasureList[[#This Row],[Measure ID]]&amp;"!M27")</f>
        <v>13014.599999999999</v>
      </c>
      <c r="BL38" s="358">
        <f ca="1">INDIRECT(Tbl_MeasureList[[#This Row],[Measure ID]]&amp;"!D27")</f>
        <v>9839.0160323645905</v>
      </c>
      <c r="BM38" s="358">
        <f ca="1">INDIRECT(Tbl_MeasureList[[#This Row],[Measure ID]]&amp;"!J27")</f>
        <v>9112.7493656979241</v>
      </c>
      <c r="BN38" s="358">
        <f ca="1">INDIRECT(Tbl_MeasureList[[#This Row],[Measure ID]]&amp;"!I27")</f>
        <v>726.26666666666677</v>
      </c>
      <c r="BO38" s="355">
        <f ca="1">INDIRECT(Tbl_MeasureList[[#This Row],[Measure ID]]&amp;"!E27")</f>
        <v>1.6320000000000001</v>
      </c>
      <c r="BP38" s="471">
        <f ca="1">INDIRECT(Tbl_MeasureList[[#This Row],[Measure ID]]&amp;"!H27")</f>
        <v>1.5200000000000002</v>
      </c>
      <c r="BQ38" s="350">
        <f ca="1">INDIRECT(Tbl_MeasureList[[#This Row],[Measure ID]]&amp;"!D33")</f>
        <v>0</v>
      </c>
      <c r="BR38" s="473">
        <f ca="1">INDIRECT(Tbl_MeasureList[[#This Row],[Measure ID]]&amp;"!D39")</f>
        <v>0</v>
      </c>
      <c r="BS38" s="350">
        <f ca="1">INDIRECT(Tbl_MeasureList[[#This Row],[Measure ID]]&amp;"!D45")</f>
        <v>0</v>
      </c>
      <c r="BT38" s="351">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33.570722702427986</v>
      </c>
      <c r="BU38" s="350">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0</v>
      </c>
      <c r="BV38" s="357">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3.4747469019898789</v>
      </c>
      <c r="BW38" s="34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1657.4820155278289</v>
      </c>
      <c r="BX38" s="35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13414.3</v>
      </c>
      <c r="BY38" s="48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8379.5855183408949</v>
      </c>
      <c r="BZ38" s="48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7725.9455183408954</v>
      </c>
      <c r="CA38" s="48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653.6400000000001</v>
      </c>
      <c r="CB38" s="35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1.8</v>
      </c>
      <c r="CC38" s="35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1.5200000000000002</v>
      </c>
      <c r="CD38" s="35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0</v>
      </c>
      <c r="CE38" s="35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0</v>
      </c>
      <c r="CF38" s="35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0</v>
      </c>
      <c r="CG38" s="461">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28.591145788579134</v>
      </c>
      <c r="CH38" s="37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0</v>
      </c>
      <c r="CI38" s="35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2.959334421657271</v>
      </c>
      <c r="CJ38" s="320">
        <f ca="1">-Tbl_MeasureList[[#This Row],[Low Measure Energy Cost (USD/yr)]]+Tbl_MeasureList[[#This Row],[Baseline Energy Cost (USD/yr)]]</f>
        <v>683.57142682746257</v>
      </c>
      <c r="CK38"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9518.3754407516753</v>
      </c>
      <c r="CL38" s="249">
        <f ca="1">-Tbl_MeasureList[[#This Row],[Low Measure Electric Annual Consumption (kWh/yr)]]+Tbl_MeasureList[[#This Row],[Baseline Electric Annual Consumption (kWh/yr)]]</f>
        <v>-8156.4942932341555</v>
      </c>
      <c r="CM38" s="249">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-8882.7493656979241</v>
      </c>
      <c r="CN38" s="249">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726.25507246376822</v>
      </c>
      <c r="CO38" s="268">
        <f ca="1">-Tbl_MeasureList[[#This Row],[Low Measure Electric Winter Peak Demand (kW)]]+Tbl_MeasureList[[#This Row],[Baseline Electric Winter Peak Demand (kW)]]</f>
        <v>-1.5967171620325984</v>
      </c>
      <c r="CP38" s="479">
        <f ca="1">-Tbl_MeasureList[[#This Row],[Low Measure Electric Summer Peak Demand (kW)]]+Tbl_MeasureList[[#This Row],[Baseline Electric Summer Peak Demand (kW)]]</f>
        <v>0.39999999999999991</v>
      </c>
      <c r="CQ38" s="481">
        <f ca="1">-Tbl_MeasureList[[#This Row],[Low Measure Natural Gas Annual Consumption (therms/yr)]]+Tbl_MeasureList[[#This Row],[Baseline Natural Gas Annual Consumption (therms/yr)]]</f>
        <v>0</v>
      </c>
      <c r="CR38" s="490">
        <f ca="1">-Tbl_MeasureList[[#This Row],[Low Measure Propane Annual Consumption (MMBtu/yr)]]+Tbl_MeasureList[[#This Row],[Baseline Propane Annual Consumption (MMBtu/yr)]]</f>
        <v>0</v>
      </c>
      <c r="CS38" s="252">
        <f ca="1">-Tbl_MeasureList[[#This Row],[Low Measure Oil Annual Consumption (MMBtu/yr)]]+Tbl_MeasureList[[#This Row],[Baseline Oil Annual Consumption (MMBtu/yr)]]</f>
        <v>102.26666666666667</v>
      </c>
      <c r="CT38"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74.436708138151729</v>
      </c>
      <c r="CU38" s="487">
        <f ca="1">-Tbl_MeasureList[[#This Row],[Low Measure Carbon Emissions, Site (tons CO2/yr)]]+Tbl_MeasureList[[#This Row],[Baseline Carbon Emissions, Site (tons CO2/yr)]]</f>
        <v>8.2478066666666674</v>
      </c>
      <c r="CV38" s="491">
        <f ca="1">-Tbl_MeasureList[[#This Row],[Low Measure Carbon Emissions, Source (tons CO2/yr)]]+Tbl_MeasureList[[#This Row],[Baseline Carbon Emissions, Source (tons CO2/yr)]]</f>
        <v>5.3672591420680922</v>
      </c>
      <c r="CW38"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972.24678250134957</v>
      </c>
      <c r="CX38"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9918.0754407516761</v>
      </c>
      <c r="CY38"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-6697.0637792104599</v>
      </c>
      <c r="CZ38"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-7495.9455183408954</v>
      </c>
      <c r="DA38"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798.88173913043488</v>
      </c>
      <c r="DB38"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-1.7647171620325983</v>
      </c>
      <c r="DC38"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0.39999999999999991</v>
      </c>
      <c r="DD38"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0</v>
      </c>
      <c r="DE38"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0</v>
      </c>
      <c r="DF38"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102.26666666666667</v>
      </c>
      <c r="DG38" s="270">
        <f ca="1">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79.416285052000575</v>
      </c>
      <c r="DH38"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8.2478066666666674</v>
      </c>
      <c r="DI38"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5.8826716224007001</v>
      </c>
      <c r="DJ38" s="320">
        <f ca="1">-Tbl_MeasureList[[#This Row],[Low Measure Energy Cost (USD/yr)]]+Tbl_MeasureList[[#This Row],[Code (old fuel) Energy Cost (USD/yr)]]</f>
        <v>380.01045275290767</v>
      </c>
      <c r="DK38" s="267">
        <f ca="1">Tbl_MeasureList[[#This Row],[Low Measure Installed Costs (USD)]]-Tbl_MeasureList[[#This Row],[Code (old fuel) Installed Costs (USD)]]</f>
        <v>5313.8173913043465</v>
      </c>
      <c r="DL38" s="249">
        <f ca="1">-Tbl_MeasureList[[#This Row],[Low Measure Electric Annual Consumption (kWh/yr)]]+Tbl_MeasureList[[#This Row],[Code (old fuel) Electric Annual Consumption (kWh/yr)]]</f>
        <v>-8446.9986410602432</v>
      </c>
      <c r="DM38" s="249">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-8882.7493656979241</v>
      </c>
      <c r="DN38" s="249">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435.75072463768117</v>
      </c>
      <c r="DO38" s="268">
        <f ca="1">-Tbl_MeasureList[[#This Row],[Low Measure Electric Winter Peak Demand (kW)]]+Tbl_MeasureList[[#This Row],[Code (old fuel) Electric Winter Peak Demand (kW)]]</f>
        <v>-1.5967171620325984</v>
      </c>
      <c r="DP38" s="479">
        <f ca="1">-Tbl_MeasureList[[#This Row],[Low Measure Electric Summer Peak Demand (kW)]]+Tbl_MeasureList[[#This Row],[Code (old fuel) Electric Summer Peak Demand (kW)]]</f>
        <v>1.6000000000000236E-2</v>
      </c>
      <c r="DQ38" s="481">
        <f ca="1">-Tbl_MeasureList[[#This Row],[Low Measure Natural Gas Annual Consumption (therms/yr)]]+Tbl_MeasureList[[#This Row],[Code (old fuel) Natural Gas Annual Consumption (therms/yr)]]</f>
        <v>0</v>
      </c>
      <c r="DR38" s="490">
        <f ca="1">-Tbl_MeasureList[[#This Row],[Low Measure Propane Annual Consumption (MMBtu/yr)]]+Tbl_MeasureList[[#This Row],[Code (old fuel) Propane Annual Consumption (MMBtu/yr)]]</f>
        <v>0</v>
      </c>
      <c r="DS38" s="252">
        <f ca="1">-Tbl_MeasureList[[#This Row],[Low Measure Oil Annual Consumption (MMBtu/yr)]]+Tbl_MeasureList[[#This Row],[Code (old fuel) Oil Annual Consumption (MMBtu/yr)]]</f>
        <v>91.30952380952381</v>
      </c>
      <c r="DT38"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62.488364446226257</v>
      </c>
      <c r="DU38" s="487">
        <f ca="1">-Tbl_MeasureList[[#This Row],[Low Measure Carbon Emissions, Site (tons CO2/yr)]]+Tbl_MeasureList[[#This Row],[Code (old fuel) Carbon Emissions, Site (tons CO2/yr)]]</f>
        <v>7.3641130952380953</v>
      </c>
      <c r="DV38" s="491">
        <f ca="1">-Tbl_MeasureList[[#This Row],[Low Measure Carbon Emissions, Source (tons CO2/yr)]]+Tbl_MeasureList[[#This Row],[Code (old fuel) Carbon Emissions, Source (tons CO2/yr)]]</f>
        <v>4.3809710551612602</v>
      </c>
      <c r="DW38"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(new fuel) Energy Cost (USD/yr)]],
        "-")</f>
        <v>678.69254438258395</v>
      </c>
      <c r="DX38"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5713.5173913043473</v>
      </c>
      <c r="DY38"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-6987.5681270365467</v>
      </c>
      <c r="DZ38"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-7495.9455183408954</v>
      </c>
      <c r="EA38"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508.37739130434784</v>
      </c>
      <c r="EB38"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-1.7647171620325983</v>
      </c>
      <c r="EC38"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1.6000000000000236E-2</v>
      </c>
      <c r="ED38"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0</v>
      </c>
      <c r="EE38"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0</v>
      </c>
      <c r="EF38"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91.30952380952381</v>
      </c>
      <c r="EG38" s="270">
        <f ca="1">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67.467941360075116</v>
      </c>
      <c r="EH38"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7.3641130952380953</v>
      </c>
      <c r="EI38"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4.8963835354938681</v>
      </c>
      <c r="EJ38" s="477">
        <f ca="1">Tbl_MeasureList[[#This Row],[Code (old fuel) Energy Cost (USD/yr)]]-Tbl_MeasureList[[#This Row],[Code (new fuel) Energy Cost (USD/yr)]]</f>
        <v>-10.006735955789281</v>
      </c>
      <c r="EK38" s="496">
        <f ca="1">Tbl_MeasureList[[#This Row],[Code (old fuel) Electric Annual Consumption (kWh/yr)]]-Tbl_MeasureList[[#This Row],[Code (new fuel) Electric Annual Consumption (kWh/yr)]]</f>
        <v>-10418.774114815031</v>
      </c>
      <c r="EL38" s="496">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-10709.271506119378</v>
      </c>
      <c r="EM38" s="496">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290.49739130434784</v>
      </c>
      <c r="EN38" s="500">
        <f ca="1">Tbl_MeasureList[[#This Row],[Code (old fuel) Electric Winter Peak Demand (kW)]]-Tbl_MeasureList[[#This Row],[Code (new fuel) Electric Winter Peak Demand (kW)]]</f>
        <v>-1.9549610644716229</v>
      </c>
      <c r="EO38" s="493">
        <f ca="1">Tbl_MeasureList[[#This Row],[Code (old fuel) Electric Summer Peak Demand (kW)]]-Tbl_MeasureList[[#This Row],[Code (new fuel) Electric Summer Peak Demand (kW)]]</f>
        <v>1.6000000000000236E-2</v>
      </c>
      <c r="EP38" s="502">
        <f ca="1">Tbl_MeasureList[[#This Row],[Code (old fuel) Natural Gas Annual Consumption (therms/yr)]]-Tbl_MeasureList[[#This Row],[Code (new fuel) Natural Gas Annual Consumption (therms/yr)]]</f>
        <v>0</v>
      </c>
      <c r="EQ38" s="215">
        <f ca="1">Tbl_MeasureList[[#This Row],[Code (old fuel) Propane Annual Consumption (MMBtu/yr)]]-Tbl_MeasureList[[#This Row],[Code (new fuel) Propane Annual Consumption (MMBtu/yr)]]</f>
        <v>0</v>
      </c>
      <c r="ER38" s="502">
        <f ca="1">Tbl_MeasureList[[#This Row],[Code (old fuel) Oil Annual Consumption (MMBtu/yr)]]-Tbl_MeasureList[[#This Row],[Code (new fuel) Oil Annual Consumption (MMBtu/yr)]]</f>
        <v>91.30952380952381</v>
      </c>
      <c r="ES38" s="215">
        <f ca="1">Tbl_MeasureList[[#This Row],[Code (old fuel) Energy Consumption on MMBtu Basis (MMBtu/yr)]]-Tbl_MeasureList[[#This Row],[Code (new fuel) Energy Consumption on MMBtu Basis (MMBtu/yr)]]</f>
        <v>55.760666529774923</v>
      </c>
      <c r="ET38" s="502">
        <f ca="1">Tbl_MeasureList[[#This Row],[Code (old fuel) Carbon Emissions, Site (tons CO2/yr)]]-Tbl_MeasureList[[#This Row],[Code (new fuel) Carbon Emissions, Site (tons CO2/yr)]]</f>
        <v>7.3641130952380953</v>
      </c>
      <c r="EU38" s="498">
        <f ca="1">Tbl_MeasureList[[#This Row],[Code (old fuel) Carbon Emissions, Source (tons CO2/yr)]]-Tbl_MeasureList[[#This Row],[Code (new fuel) Carbon Emissions, Source (tons CO2/yr)]]</f>
        <v>3.6846188288500192</v>
      </c>
      <c r="EV38" s="450">
        <f ca="1">Tbl_MeasureList[[#This Row],[ER Total Low Measure Electric Annual Consumption Savings (kWh/yr)]]*COAL_BTU_PER_SITE_KWH/Btu_per_MMBtu</f>
        <v>-0.89780860633107074</v>
      </c>
      <c r="EW38" s="411">
        <f ca="1">Tbl_MeasureList[[#This Row],[ER Total Low Measure Electric Annual Consumption Savings (kWh/yr)]]*COAL_LBS_PER_SITE_KWH</f>
        <v>-78.755140906234274</v>
      </c>
      <c r="EX38" s="326">
        <f ca="1">Tbl_MeasureList[[#This Row],[ER Total Low Measure Electric Annual Consumption Savings (kWh/yr)]]*OIL_BTU_PER_SITE_KWH/Btu_per_MMBtu</f>
        <v>-1.0335522064690945</v>
      </c>
      <c r="EY38" s="325">
        <f ca="1">Tbl_MeasureList[[#This Row],[ER Total Low Measure Electric Annual Consumption Savings (kWh/yr)]]*OIL_GAL_PER_SITE_KWH</f>
        <v>-7.4924948817941539</v>
      </c>
      <c r="EZ38" s="326">
        <f ca="1">Tbl_MeasureList[[#This Row],[ER Total Low Measure Oil Annual Consumption Savings (MMBtu/yr)]]*Btu_per_MMBtu/OIL_BTU_PER_GAL</f>
        <v>741.35827080841398</v>
      </c>
      <c r="FA38" s="325">
        <f ca="1">Tbl_MeasureList[[#This Row],[Current ER Total Low Measure Oil Source Fuel Savings (gallons oil/year)]]+Tbl_MeasureList[[#This Row],[Current ER Total Low Measure Oil Site Fuel Savings (gallons oil/year)]]</f>
        <v>733.86577592661979</v>
      </c>
      <c r="FB38" s="326">
        <f ca="1">Tbl_MeasureList[[#This Row],[ER Total Low Measure Electric Annual Consumption Savings (kWh/yr)]]*GAS_BTU_PER_SITE_KWH/Btu_per_MMBtu</f>
        <v>-33.377442065279617</v>
      </c>
      <c r="FC38" s="327">
        <f ca="1">Tbl_MeasureList[[#This Row],[ER Total Low Measure Electric Annual Consumption Savings (kWh/yr)]]*GAS_CUFT_PER_SITE_KWH/1000</f>
        <v>-32.436775573643942</v>
      </c>
      <c r="FD38" s="328">
        <f ca="1">Tbl_MeasureList[[#This Row],[ER Total Low Measure Natural Gas Annual Consumption Savings (therms/yr)]]*Btu_per_MMBtu/(GAS_BTU_PER_CUFT*Therm_per_MMBtu*1000)</f>
        <v>0</v>
      </c>
      <c r="FE38" s="329">
        <f ca="1">Tbl_MeasureList[[#This Row],[Current ER Total Low Measure Gas Source Fuel Savings (1,000 cu.ft. gas/year)]]+Tbl_MeasureList[[#This Row],[Current ER Total Low Measure Gas Site Fuel Savings (1,000 cu.ft gas/year)]]</f>
        <v>-32.436775573643942</v>
      </c>
      <c r="FF38" s="324">
        <f ca="1">IFERROR(Tbl_MeasureList[[#This Row],[ER Total High Measure Electric Annual Consumption Savings (kWh/yr)]]*COAL_BTU_PER_SITE_KWH/Btu_per_MMBtu,"-")</f>
        <v>-0.73716492428748215</v>
      </c>
      <c r="FG38" s="325">
        <f ca="1">IFERROR(Tbl_MeasureList[[#This Row],[ER Total High Measure Electric Annual Consumption Savings (kWh/yr)]]*COAL_LBS_PER_SITE_KWH,"-")</f>
        <v>-64.663589849779143</v>
      </c>
      <c r="FH38" s="326">
        <f ca="1">IFERROR(Tbl_MeasureList[[#This Row],[ER Total High Measure Electric Annual Consumption Savings (kWh/yr)]]*OIL_BTU_PER_SITE_KWH/Btu_per_MMBtu,"-")</f>
        <v>-0.84862010528332676</v>
      </c>
      <c r="FI38" s="325">
        <f ca="1">IFERROR(Tbl_MeasureList[[#This Row],[ER Total High Measure Electric Annual Consumption Savings (kWh/yr)]]*OIL_GAL_PER_SITE_KWH,"-")</f>
        <v>-6.1518728861743943</v>
      </c>
      <c r="FJ38" s="326">
        <f ca="1">IFERROR(Tbl_MeasureList[[#This Row],[ER Total High Measure Oil Annual Consumption Savings (MMBtu/yr)]]*Btu_per_MMBtu/OIL_BTU_PER_GAL,"-")</f>
        <v>741.35827080841398</v>
      </c>
      <c r="FK38" s="325">
        <f ca="1">IFERROR(Tbl_MeasureList[[#This Row],[Current ER Total High Measure Oil Source Fuel Savings (gallons oil/year)]]+Tbl_MeasureList[[#This Row],[Current ER Total High Measure Oil Site Fuel Savings (gallons oil/year)]],"-")</f>
        <v>735.2063979222396</v>
      </c>
      <c r="FL38" s="326">
        <f ca="1">IFERROR(Tbl_MeasureList[[#This Row],[ER Total High Measure Electric Annual Consumption Savings (kWh/yr)]]*GAS_BTU_PER_SITE_KWH/Btu_per_MMBtu,"-")</f>
        <v>-27.405261410346281</v>
      </c>
      <c r="FM38" s="327">
        <f ca="1">IFERROR(Tbl_MeasureList[[#This Row],[ER Total High Measure Electric Annual Consumption Savings (kWh/yr)]]*GAS_CUFT_PER_SITE_KWH/1000,"-")</f>
        <v>-26.632907104320974</v>
      </c>
      <c r="FN38" s="328">
        <f ca="1">IFERROR(Tbl_MeasureList[[#This Row],[ER Total High Measure Natural Gas Annual Consumption Savings (therms/yr)]]*Btu_per_MMBtu/(GAS_BTU_PER_CUFT*Therm_per_MMBtu*1000),"-")</f>
        <v>0</v>
      </c>
      <c r="FO38" s="329">
        <f ca="1">IFERROR(Tbl_MeasureList[[#This Row],[Current ER Total High Measure Gas Source Fuel Savings (1,000 cu.ft. gas/year)]]+Tbl_MeasureList[[#This Row],[Current ER Total High Measure Gas Site Fuel Savings (1,000 cu.ft gas/year)]],"-")</f>
        <v>-26.632907104320974</v>
      </c>
      <c r="FP38" s="412">
        <f ca="1">Tbl_MeasureList[[#This Row],[ROF Low Measure Electric Annual Consumption Savings (kWh/yr)]]*COAL_BTU_PER_SITE_KWH/Btu_per_MMBtu</f>
        <v>-0.92978524902561721</v>
      </c>
      <c r="FQ38" s="327">
        <f ca="1">Tbl_MeasureList[[#This Row],[ROF Low Measure Electric Annual Consumption Savings (kWh/yr)]]*COAL_LBS_PER_SITE_KWH</f>
        <v>-81.560109563650641</v>
      </c>
      <c r="FR38" s="412">
        <f ca="1">Tbl_MeasureList[[#This Row],[ROF Low Measure Electric Annual Consumption Savings (kWh/yr)]]*OIL_BTU_PER_SITE_KWH/Btu_per_MMBtu</f>
        <v>-1.070363537279879</v>
      </c>
      <c r="FS38" s="327">
        <f ca="1">Tbl_MeasureList[[#This Row],[ROF Low Measure Electric Annual Consumption Savings (kWh/yr)]]*OIL_GAL_PER_SITE_KWH</f>
        <v>-7.7593500110904996</v>
      </c>
      <c r="FT38" s="412">
        <f ca="1">Tbl_MeasureList[[#This Row],[ROF Low Measure Oil Annual Consumption Savings (MMBtu/yr)]]*Btu_per_MMBtu/OIL_BTU_PER_GAL</f>
        <v>661.92702750751243</v>
      </c>
      <c r="FU38" s="327">
        <f ca="1">Tbl_MeasureList[[#This Row],[Current ROF Low Measure Oil Source Fuel Savings (gallons oil/year)]]+Tbl_MeasureList[[#This Row],[Current ROF Low Measure Oil Site Fuel Savings (gallons oil/year)]]</f>
        <v>654.1676774964219</v>
      </c>
      <c r="FV38" s="412">
        <f ca="1">Tbl_MeasureList[[#This Row],[ROF Low Measure Electric Annual Consumption Savings (kWh/yr)]]*GAS_BTU_PER_SITE_KWH/Btu_per_MMBtu</f>
        <v>-34.566223874067269</v>
      </c>
      <c r="FW38" s="327">
        <f ca="1">Tbl_MeasureList[[#This Row],[ROF Low Measure Electric Annual Consumption Savings (kWh/yr)]]*GAS_CUFT_PER_SITE_KWH/1000</f>
        <v>-33.592054299385097</v>
      </c>
      <c r="FX38" s="412">
        <f ca="1">Tbl_MeasureList[[#This Row],[ROF Low Measure Natural Gas Annual Consumption Savings (therms/yr)]]*Btu_per_MMBtu/(GAS_BTU_PER_CUFT*Therm_per_MMBtu*1000)</f>
        <v>0</v>
      </c>
      <c r="FY38" s="327">
        <f ca="1">Tbl_MeasureList[[#This Row],[Current ROF Low Measure Gas Source Fuel Savings (1,000 cu.ft. gas/year)]]+Tbl_MeasureList[[#This Row],[Current ROF Low Measure Gas Site Fuel Savings (1,000 cu.ft gas/year)]]</f>
        <v>-33.592054299385097</v>
      </c>
      <c r="FZ38" s="414">
        <f ca="1">IFERROR(Tbl_MeasureList[[#This Row],[ROF High Measure Electric Annual Consumption Savings (kWh/yr)]]*COAL_BTU_PER_SITE_KWH/Btu_per_MMBtu,"-")</f>
        <v>-0.76914156698202862</v>
      </c>
      <c r="GA38" s="327">
        <f ca="1">IFERROR(Tbl_MeasureList[[#This Row],[ROF High Measure Electric Annual Consumption Savings (kWh/yr)]]*COAL_LBS_PER_SITE_KWH,"-")</f>
        <v>-67.468558507195496</v>
      </c>
      <c r="GB38" s="412">
        <f ca="1">IFERROR(Tbl_MeasureList[[#This Row],[ROF High Measure Electric Annual Consumption Savings (kWh/yr)]]*OIL_BTU_PER_SITE_KWH/Btu_per_MMBtu,"-")</f>
        <v>-0.88543143609411135</v>
      </c>
      <c r="GC38" s="327">
        <f ca="1">IFERROR(Tbl_MeasureList[[#This Row],[ROF High Measure Electric Annual Consumption Savings (kWh/yr)]]*OIL_GAL_PER_SITE_KWH,"-")</f>
        <v>-6.41872801547074</v>
      </c>
      <c r="GD38" s="412">
        <f ca="1">IFERROR(Tbl_MeasureList[[#This Row],[ROF High Measure Oil Annual Consumption Savings (MMBtu/yr)]]*Btu_per_MMBtu/OIL_BTU_PER_GAL,"-")</f>
        <v>661.92702750751243</v>
      </c>
      <c r="GE38" s="327">
        <f ca="1">IFERROR(Tbl_MeasureList[[#This Row],[Current ROF High Measure Oil Source Fuel Savings (gallons oil/year)]]+Tbl_MeasureList[[#This Row],[Current ROF High Measure Oil Site Fuel Savings (gallons oil/year)]],"-")</f>
        <v>655.50829949204171</v>
      </c>
      <c r="GF38" s="412">
        <f ca="1">IFERROR(Tbl_MeasureList[[#This Row],[ROF High Measure Electric Annual Consumption Savings (kWh/yr)]]*GAS_BTU_PER_SITE_KWH/Btu_per_MMBtu,"-")</f>
        <v>-28.594043219133933</v>
      </c>
      <c r="GG38" s="327">
        <f ca="1">IFERROR(Tbl_MeasureList[[#This Row],[ROF High Measure Electric Annual Consumption Savings (kWh/yr)]]*GAS_CUFT_PER_SITE_KWH/1000,"-")</f>
        <v>-27.78818583006213</v>
      </c>
      <c r="GH38" s="412">
        <f ca="1">IFERROR(Tbl_MeasureList[[#This Row],[ROF High Measure Natural Gas Annual Consumption Savings (therms/yr)]]*Btu_per_MMBtu/(GAS_BTU_PER_CUFT*Therm_per_MMBtu*1000),"-")</f>
        <v>0</v>
      </c>
      <c r="GI38" s="327">
        <f ca="1">IFERROR(Tbl_MeasureList[[#This Row],[Current ROF High Measure Gas Source Fuel Savings (1,000 cu.ft. gas/year)]]+Tbl_MeasureList[[#This Row],[Current ROF High Measure Gas Site Fuel Savings (1,000 cu.ft gas/year)]],"-")</f>
        <v>-27.78818583006213</v>
      </c>
      <c r="GJ38" s="324">
        <f ca="1">Tbl_MeasureList[[#This Row],[ER Total Low Measure Electric Annual Consumption Savings (kWh/yr)]]*COAL_BTU_PER_SITE_KWH_CES/Btu_per_MMBtu</f>
        <v>-1.5262746307628201</v>
      </c>
      <c r="GK38" s="325">
        <f ca="1">Tbl_MeasureList[[#This Row],[ER Total Low Measure Electric Annual Consumption Savings (kWh/yr)]]*COAL_LBS_PER_SITE_KWH_CES</f>
        <v>-138.60103802786236</v>
      </c>
      <c r="GL38" s="326">
        <f ca="1">Tbl_MeasureList[[#This Row],[ER Total Low Measure Electric Annual Consumption Savings (kWh/yr)]]*OIL_BTU_PER_SITE_KWH_CES/Btu_per_MMBtu</f>
        <v>-0.46979645748595206</v>
      </c>
      <c r="GM38" s="325">
        <f ca="1">Tbl_MeasureList[[#This Row],[ER Total Low Measure Electric Annual Consumption Savings (kWh/yr)]]*OIL_GAL_PER_SITE_KWH_CES</f>
        <v>-3.169503302339379</v>
      </c>
      <c r="GN38" s="326">
        <f ca="1">Tbl_MeasureList[[#This Row],[ER Total Low Measure Oil Annual Consumption Savings (MMBtu/yr)]]*Btu_per_MMBtu/OIL_BTU_PER_GAL_CES</f>
        <v>689.94674726540018</v>
      </c>
      <c r="GO38" s="325">
        <f ca="1">Tbl_MeasureList[[#This Row],[CES ER Low Measure Oil Source Fuel Savings (gallons oil/year)]]+Tbl_MeasureList[[#This Row],[CES ER Low Measure Oil Site Fuel Savings (gallons oil/year)]]</f>
        <v>686.77724396306076</v>
      </c>
      <c r="GP38" s="326">
        <f ca="1">Tbl_MeasureList[[#This Row],[ER Total Low Measure Electric Annual Consumption Savings (kWh/yr)]]*GAS_BTU_PER_SITE_KWH_CES/Btu_per_MMBtu</f>
        <v>-13.895914655749063</v>
      </c>
      <c r="GQ38" s="327">
        <f ca="1">Tbl_MeasureList[[#This Row],[ER Total Low Measure Electric Annual Consumption Savings (kWh/yr)]]*GAS_CUFT_PER_SITE_KWH_CES/1000</f>
        <v>-13.491179277426278</v>
      </c>
      <c r="GR38" s="328">
        <f ca="1">Tbl_MeasureList[[#This Row],[ER Total Low Measure Natural Gas Annual Consumption Savings (therms/yr)]]*Btu_per_MMBtu/(GAS_BTU_PER_CUFT_CES*Therm_per_MMBtu*1000)</f>
        <v>0</v>
      </c>
      <c r="GS38" s="329">
        <f ca="1">Tbl_MeasureList[[#This Row],[CES ER Low Measure Gas Source Fuel Savings (1,000 cu.ft. gas/year)]]+Tbl_MeasureList[[#This Row],[CES ER Low Measure Gas Site Fuel Savings (1,000 cu.ft gas/year)]]</f>
        <v>-13.491179277426278</v>
      </c>
      <c r="GT38" s="324">
        <f ca="1">IFERROR(Tbl_MeasureList[[#This Row],[ER Total High Measure Electric Annual Consumption Savings (kWh/yr)]]*COAL_BTU_PER_SITE_KWH_CES/Btu_per_MMBtu,"-")</f>
        <v>-1.2531803712887195</v>
      </c>
      <c r="GU38" s="325">
        <f ca="1">IFERROR(Tbl_MeasureList[[#This Row],[ER Total High Measure Electric Annual Consumption Savings (kWh/yr)]]*COAL_LBS_PER_SITE_KWH_CES,"-")</f>
        <v>-113.80134138110422</v>
      </c>
      <c r="GV38" s="326">
        <f ca="1">IFERROR(Tbl_MeasureList[[#This Row],[ER Total High Measure Electric Annual Consumption Savings (kWh/yr)]]*OIL_BTU_PER_SITE_KWH_CES/Btu_per_MMBtu,"-")</f>
        <v>-0.38573641149242133</v>
      </c>
      <c r="GW38" s="325">
        <f ca="1">IFERROR(Tbl_MeasureList[[#This Row],[ER Total High Measure Electric Annual Consumption Savings (kWh/yr)]]*OIL_GAL_PER_SITE_KWH_CES,"-")</f>
        <v>-2.602388354736219</v>
      </c>
      <c r="GX38" s="326">
        <f ca="1">IFERROR(Tbl_MeasureList[[#This Row],[ER Total High Measure Oil Annual Consumption Savings (MMBtu/yr)]]*Btu_per_MMBtu/OIL_BTU_PER_GAL_CES,"-")</f>
        <v>689.94674726540018</v>
      </c>
      <c r="GY38" s="325">
        <f ca="1">IFERROR(Tbl_MeasureList[[#This Row],[CES ER High Measure Oil Source Fuel Savings (gallons oil/year)]]+Tbl_MeasureList[[#This Row],[CES ER High Measure Oil Site Fuel Savings (gallons oil/year)]],"-")</f>
        <v>687.34435891066391</v>
      </c>
      <c r="GZ38" s="326">
        <f ca="1">IFERROR(Tbl_MeasureList[[#This Row],[ER Total High Measure Electric Annual Consumption Savings (kWh/yr)]]*GAS_BTU_PER_SITE_KWH_CES/Btu_per_MMBtu,"-")</f>
        <v>-11.409537403491106</v>
      </c>
      <c r="HA38" s="327">
        <f ca="1">IFERROR(Tbl_MeasureList[[#This Row],[ER Total High Measure Electric Annual Consumption Savings (kWh/yr)]]*GAS_CUFT_PER_SITE_KWH_CES/1000,"-")</f>
        <v>-11.077220780088451</v>
      </c>
      <c r="HB38" s="328">
        <f ca="1">IFERROR(Tbl_MeasureList[[#This Row],[ER Total High Measure Natural Gas Annual Consumption Savings (therms/yr)]]*Btu_per_MMBtu/(GAS_BTU_PER_CUFT_CES*Therm_per_MMBtu*1000),"-")</f>
        <v>0</v>
      </c>
      <c r="HC38" s="329">
        <f ca="1">IFERROR(Tbl_MeasureList[[#This Row],[CES ER High Measure Gas Source Fuel Savings (1,000 cu.ft. gas/year)]]+Tbl_MeasureList[[#This Row],[CES ER High Measure Gas Site Fuel Savings (1,000 cu.ft gas/year)]],"-")</f>
        <v>-11.077220780088451</v>
      </c>
      <c r="HD38" s="315">
        <f ca="1">Tbl_MeasureList[[#This Row],[ROF Low Measure Electric Annual Consumption Savings (kWh/yr)]]*COAL_BTU_PER_SITE_KWH_CES/Btu_per_MMBtu</f>
        <v>-1.5806349233435493</v>
      </c>
      <c r="HE38" s="316">
        <f ca="1">Tbl_MeasureList[[#This Row],[ROF Low Measure Electric Annual Consumption Savings (kWh/yr)]]*COAL_LBS_PER_SITE_KWH_CES</f>
        <v>-143.53749757932704</v>
      </c>
      <c r="HF38" s="317">
        <f ca="1">Tbl_MeasureList[[#This Row],[ROF Low Measure Electric Annual Consumption Savings (kWh/yr)]]*OIL_BTU_PER_SITE_KWH_CES/Btu_per_MMBtu</f>
        <v>-0.48652888058176325</v>
      </c>
      <c r="HG38" s="316">
        <f ca="1">Tbl_MeasureList[[#This Row],[ROF Low Measure Electric Annual Consumption Savings (kWh/yr)]]*OIL_GAL_PER_SITE_KWH_CES</f>
        <v>-3.282389360574288</v>
      </c>
      <c r="HH38" s="317">
        <f ca="1">Tbl_MeasureList[[#This Row],[ROF Low Measure Oil Annual Consumption Savings (MMBtu/yr)]]*Btu_per_MMBtu/OIL_BTU_PER_GAL_CES</f>
        <v>616.02388148696434</v>
      </c>
      <c r="HI38" s="316">
        <f ca="1">Tbl_MeasureList[[#This Row],[CES ROF Low Measure Oil Source Fuel Savings (gallons oil/year)]]+Tbl_MeasureList[[#This Row],[CES ROF Low Measure Oil Site Fuel Savings (gallons oil/year)]]</f>
        <v>612.74149212639009</v>
      </c>
      <c r="HJ38" s="317">
        <f ca="1">Tbl_MeasureList[[#This Row],[ROF Low Measure Electric Annual Consumption Savings (kWh/yr)]]*GAS_BTU_PER_SITE_KWH_CES/Btu_per_MMBtu</f>
        <v>-14.390836061856577</v>
      </c>
      <c r="HK38" s="316">
        <f ca="1">Tbl_MeasureList[[#This Row],[ROF Low Measure Electric Annual Consumption Savings (kWh/yr)]]*GAS_CUFT_PER_SITE_KWH_CES/1000</f>
        <v>-13.971685496948133</v>
      </c>
      <c r="HL38" s="317">
        <f ca="1">Tbl_MeasureList[[#This Row],[ROF Low Measure Natural Gas Annual Consumption Savings (therms/yr)]]*Btu_per_MMBtu/(GAS_BTU_PER_CUFT_CES*Therm_per_MMBtu*1000)</f>
        <v>0</v>
      </c>
      <c r="HM38" s="318">
        <f ca="1">Tbl_MeasureList[[#This Row],[CES ROF Low Measure Gas Source Fuel Savings (1,000 cu.ft. gas/year)]]+Tbl_MeasureList[[#This Row],[CES ROF Low Measure Gas Site Fuel Savings (1,000 cu.ft gas/year)]]</f>
        <v>-13.971685496948133</v>
      </c>
      <c r="HN38" s="315">
        <f ca="1">IFERROR(Tbl_MeasureList[[#This Row],[ROF High Measure Electric Annual Consumption Savings (kWh/yr)]]*COAL_BTU_PER_SITE_KWH_CES/Btu_per_MMBtu,"-")</f>
        <v>-1.3075406638694484</v>
      </c>
      <c r="HO38" s="316">
        <f ca="1">IFERROR(Tbl_MeasureList[[#This Row],[ROF High Measure Electric Annual Consumption Savings (kWh/yr)]]*COAL_LBS_PER_SITE_KWH_CES,"-")</f>
        <v>-118.73780093256889</v>
      </c>
      <c r="HP38" s="317">
        <f ca="1">IFERROR(Tbl_MeasureList[[#This Row],[ROF High Measure Electric Annual Consumption Savings (kWh/yr)]]*OIL_BTU_PER_SITE_KWH_CES/Btu_per_MMBtu,"-")</f>
        <v>-0.4024688345882324</v>
      </c>
      <c r="HQ38" s="316">
        <f ca="1">IFERROR(Tbl_MeasureList[[#This Row],[ROF High Measure Electric Annual Consumption Savings (kWh/yr)]]*OIL_GAL_PER_SITE_KWH_CES,"-")</f>
        <v>-2.7152744129711275</v>
      </c>
      <c r="HR38" s="317">
        <f ca="1">IFERROR(Tbl_MeasureList[[#This Row],[ROF High Measure Oil Annual Consumption Savings (MMBtu/yr)]]*Btu_per_MMBtu/OIL_BTU_PER_GAL_CES,"-")</f>
        <v>616.02388148696434</v>
      </c>
      <c r="HS38" s="316">
        <f ca="1">IFERROR(Tbl_MeasureList[[#This Row],[CES ROF High Measure Oil Source Fuel Savings (gallons oil/year)]]+Tbl_MeasureList[[#This Row],[CES ROF High Measure Oil Site Fuel Savings (gallons oil/year)]],"-")</f>
        <v>613.30860707399324</v>
      </c>
      <c r="HT38" s="317">
        <f ca="1">IFERROR(Tbl_MeasureList[[#This Row],[ROF High Measure Electric Annual Consumption Savings (kWh/yr)]]*GAS_BTU_PER_SITE_KWH_CES/Btu_per_MMBtu,"-")</f>
        <v>-11.904458809598617</v>
      </c>
      <c r="HU38" s="316">
        <f ca="1">IFERROR(Tbl_MeasureList[[#This Row],[ROF High Measure Electric Annual Consumption Savings (kWh/yr)]]*GAS_CUFT_PER_SITE_KWH_CES/1000,"-")</f>
        <v>-11.557726999610308</v>
      </c>
      <c r="HV38" s="317">
        <f ca="1">IFERROR(Tbl_MeasureList[[#This Row],[ROF High Measure Natural Gas Annual Consumption Savings (therms/yr)]]*Btu_per_MMBtu/(GAS_BTU_PER_CUFT_CES*Therm_per_MMBtu*1000),"-")</f>
        <v>0</v>
      </c>
      <c r="HW38" s="318">
        <f ca="1">IFERROR(Tbl_MeasureList[[#This Row],[CES ROF High Measure Gas Source Fuel Savings (1,000 cu.ft. gas/year)]]+Tbl_MeasureList[[#This Row],[CES ROF High Measure Gas Site Fuel Savings (1,000 cu.ft gas/year)]],"-")</f>
        <v>-11.557726999610308</v>
      </c>
      <c r="HX38" s="346">
        <f>Tbl_MeasureList[[#This Row],[Baseline Energy Cost (USD/yr)]]-Tbl_MeasureList[[#This Row],[Code (old fuel) Energy Cost (USD/yr)]]</f>
        <v>303.56097407455491</v>
      </c>
      <c r="HY38" s="354">
        <f>0</f>
        <v>0</v>
      </c>
      <c r="HZ38" s="347">
        <f>Tbl_MeasureList[[#This Row],[Baseline Electric Annual Consumption (kWh/yr)]]-Tbl_MeasureList[[#This Row],[Code (old fuel) Electric Annual Consumption (kWh/yr)]]</f>
        <v>290.50434782608704</v>
      </c>
      <c r="IA38" s="347">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0</v>
      </c>
      <c r="IB38" s="347">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290.50434782608704</v>
      </c>
      <c r="IC38" s="355">
        <f>Tbl_MeasureList[[#This Row],[Baseline Electric Winter Peak Demand (kW)]]-Tbl_MeasureList[[#This Row],[Code (old fuel) Electric Winter Peak Demand (kW)]]</f>
        <v>0</v>
      </c>
      <c r="ID38" s="355">
        <f>Tbl_MeasureList[[#This Row],[Baseline Electric Summer Peak Demand (kW)]]-Tbl_MeasureList[[#This Row],[Code (old fuel) Electric Summer Peak Demand (kW)]]</f>
        <v>0.38399999999999967</v>
      </c>
      <c r="IE38" s="349">
        <f>Tbl_MeasureList[[#This Row],[Baseline Natural Gas Annual Consumption (therms/yr)]]-Tbl_MeasureList[[#This Row],[Code (old fuel) Natural Gas Annual Consumption (therms/yr)]]</f>
        <v>0</v>
      </c>
      <c r="IF38" s="350">
        <f>Tbl_MeasureList[[#This Row],[Baseline Propane Annual Consumption (MMBtu/yr)]]-Tbl_MeasureList[[#This Row],[Code (old fuel) Propane Annual Consumption (MMBtu/yr)]]</f>
        <v>0</v>
      </c>
      <c r="IG38" s="351">
        <f>Tbl_MeasureList[[#This Row],[Baseline Oil Annual Consumption (MMBtu/yr)]]-Tbl_MeasureList[[#This Row],[Code (old fuel) Oil Annual Consumption (MMBtu/yr)]]</f>
        <v>10.957142857142856</v>
      </c>
      <c r="IH38" s="373">
        <f>Tbl_MeasureList[[#This Row],[Baseline Energy Consumption on MMBtu Basis (MMBtu/yr)]]-Tbl_MeasureList[[#This Row],[Code (old fuel) Energy Consumption on MMBtu Basis (MMBtu/yr)]]</f>
        <v>11.948343691925473</v>
      </c>
      <c r="II38" s="373">
        <f>Tbl_MeasureList[[#This Row],[Baseline Carbon Emissions, Site (tons CO2/yr)]]-Tbl_MeasureList[[#This Row],[Code (old fuel) Carbon Emissions, Site (tons CO2/yr)]]</f>
        <v>0.88369357142857208</v>
      </c>
      <c r="IJ38" s="352">
        <f>Tbl_MeasureList[[#This Row],[Baseline Carbon Emissions, Source (tons CO2/yr)]]-Tbl_MeasureList[[#This Row],[Code (old fuel) Carbon Emissions, Source (tons CO2/yr)]]</f>
        <v>0.98628808690683201</v>
      </c>
      <c r="IK38" s="353">
        <f ca="1">Tbl_MeasureList[[#This Row],[Code (new fuel) Energy Cost (USD/yr)]]-Tbl_MeasureList[[#This Row],[Low Measure Energy Cost (USD/yr)]]</f>
        <v>390.01718870869695</v>
      </c>
      <c r="IL38"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9518.3754407516753</v>
      </c>
      <c r="IM38" s="358">
        <f ca="1">Tbl_MeasureList[[#This Row],[Code (old fuel) Electric Annual Consumption (kWh/yr)]]-Tbl_MeasureList[[#This Row],[Low Measure Electric Annual Consumption (kWh/yr)]]</f>
        <v>-8446.9986410602432</v>
      </c>
      <c r="IN38" s="358">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-8882.7493656979241</v>
      </c>
      <c r="IO38" s="358">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435.75072463768117</v>
      </c>
      <c r="IP38" s="355">
        <f ca="1">Tbl_MeasureList[[#This Row],[Code (old fuel) Electric Winter Peak Demand (kW)]]-Tbl_MeasureList[[#This Row],[Low Measure Electric Winter Peak Demand (kW)]]</f>
        <v>-1.5967171620325984</v>
      </c>
      <c r="IQ38" s="355">
        <f ca="1">Tbl_MeasureList[[#This Row],[Code (old fuel) Electric Summer Peak Demand (kW)]]-Tbl_MeasureList[[#This Row],[Low Measure Electric Summer Peak Demand (kW)]]</f>
        <v>1.6000000000000236E-2</v>
      </c>
      <c r="IR38" s="351">
        <f ca="1">Tbl_MeasureList[[#This Row],[Code (old fuel) Natural Gas Annual Consumption (therms/yr)]]-Tbl_MeasureList[[#This Row],[Low Measure Natural Gas Annual Consumption (therms/yr)]]</f>
        <v>0</v>
      </c>
      <c r="IS38" s="356">
        <f ca="1">Tbl_MeasureList[[#This Row],[Code (old fuel) Propane Annual Consumption (MMBtu/yr)]]-Tbl_MeasureList[[#This Row],[Low Measure Propane Annual Consumption (MMBtu/yr)]]</f>
        <v>0</v>
      </c>
      <c r="IT38" s="351">
        <f ca="1">Tbl_MeasureList[[#This Row],[Code (old fuel) Oil Annual Consumption (MMBtu/yr)]]-Tbl_MeasureList[[#This Row],[Low Measure Oil Annual Consumption (MMBtu/yr)]]</f>
        <v>91.30952380952381</v>
      </c>
      <c r="IU38" s="351">
        <f ca="1">Tbl_MeasureList[[#This Row],[Code (old fuel) Energy Consumption on MMBtu Basis (MMBtu/yr)]]-Tbl_MeasureList[[#This Row],[Low Measure Energy Consumption on MMBtu Basis (MMBtu/yr)]]</f>
        <v>62.488364446226257</v>
      </c>
      <c r="IV38" s="351">
        <f ca="1">Tbl_MeasureList[[#This Row],[Code (old fuel) Carbon Emissions, Site (tons CO2/yr)]]-Tbl_MeasureList[[#This Row],[Low Measure Carbon Emissions, Site (tons CO2/yr)]]</f>
        <v>7.3641130952380953</v>
      </c>
      <c r="IW38" s="357">
        <f ca="1">Tbl_MeasureList[[#This Row],[Code (old fuel) Carbon Emissions, Source (tons CO2/yr)]]-Tbl_MeasureList[[#This Row],[Low Measure Carbon Emissions, Source (tons CO2/yr)]]</f>
        <v>4.3809710551612602</v>
      </c>
      <c r="IX38" s="3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668.68580842679467</v>
      </c>
      <c r="IY38" s="20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9918.0754407516761</v>
      </c>
      <c r="IZ38" s="35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-6987.5681270365467</v>
      </c>
      <c r="JA38" s="35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-7495.9455183408954</v>
      </c>
      <c r="JB38" s="35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508.37739130434784</v>
      </c>
      <c r="JC38" s="35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-1.7647171620325983</v>
      </c>
      <c r="JD38" s="35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1.6000000000000236E-2</v>
      </c>
      <c r="JE38" s="35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0</v>
      </c>
      <c r="JF38" s="35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0</v>
      </c>
      <c r="JG38" s="35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91.30952380952381</v>
      </c>
      <c r="JH38" s="35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67.467941360075116</v>
      </c>
      <c r="JI38" s="35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7.3641130952380953</v>
      </c>
      <c r="JJ38" s="50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4.8963835354938681</v>
      </c>
      <c r="JK38" s="432">
        <f>Tbl_MeasureList[[#This Row],[ER (Retire) Electric Annual Consumption Savings (kWh/yr)]]*COAL_BTU_PER_SITE_KWH/Btu_per_MMBtu</f>
        <v>3.1976642694546462E-2</v>
      </c>
      <c r="JL38" s="428">
        <f>Tbl_MeasureList[[#This Row],[ER (Retire) Electric Annual Consumption Savings (kWh/yr)]]*COAL_LBS_PER_SITE_KWH</f>
        <v>2.8049686574163557</v>
      </c>
      <c r="JM38" s="427">
        <f>Tbl_MeasureList[[#This Row],[ER (Retire) Electric Annual Consumption Savings (kWh/yr)]]*OIL_BTU_PER_SITE_KWH/Btu_per_MMBtu</f>
        <v>3.6811330810784401E-2</v>
      </c>
      <c r="JN38" s="428">
        <f>Tbl_MeasureList[[#This Row],[ER (Retire) Electric Annual Consumption Savings (kWh/yr)]]*OIL_GAL_PER_SITE_KWH</f>
        <v>0.26685512929634558</v>
      </c>
      <c r="JO38" s="427">
        <f>Tbl_MeasureList[[#This Row],[ER (Retire) Oil Annual Consumption Savings (MMBtu/yr)]]*Btu_per_MMBtu/OIL_BTU_PER_GAL</f>
        <v>79.431243300901485</v>
      </c>
      <c r="JP38" s="428">
        <f ca="1">Tbl_MeasureList[[#This Row],[Current ER (Retire) Oil Source Fuel Savings (gallons oil/year)]]+Tbl_MeasureList[[#This Row],[Current ER Total Low Measure Oil Site Fuel Savings (gallons oil/year)]]</f>
        <v>741.62512593771032</v>
      </c>
      <c r="JQ38" s="427">
        <f>Tbl_MeasureList[[#This Row],[ER (Retire) Electric Annual Consumption Savings (kWh/yr)]]*GAS_BTU_PER_SITE_KWH/Btu_per_MMBtu</f>
        <v>1.1887818087876516</v>
      </c>
      <c r="JR38" s="429">
        <f>Tbl_MeasureList[[#This Row],[ER (Retire) Electric Annual Consumption Savings (kWh/yr)]]*GAS_CUFT_PER_SITE_KWH/1000</f>
        <v>1.1552787257411581</v>
      </c>
      <c r="JS38" s="430">
        <f>Tbl_MeasureList[[#This Row],[ER (Retire) Natural Gas Annual Consumption Savings (therms/yr)]]*Btu_per_MMBtu/(GAS_BTU_PER_CUFT*Therm_per_MMBtu*1000)</f>
        <v>0</v>
      </c>
      <c r="JT38" s="431">
        <f ca="1">Tbl_MeasureList[[#This Row],[Current ER (Retire) Gas Source Fuel Savings (1,000 cu.ft. gas/year)]]+Tbl_MeasureList[[#This Row],[Current ER Total Low Measure Gas Site Fuel Savings (1,000 cu.ft gas/year)]]</f>
        <v>1.1552787257411581</v>
      </c>
      <c r="JU38" s="432">
        <f ca="1">Tbl_MeasureList[[#This Row],[ER (EE) Low Measure Electric Annual Consumption Savings (kWh/yr)]]*COAL_BTU_PER_SITE_KWH/Btu_per_MMBtu</f>
        <v>-0.92978524902561721</v>
      </c>
      <c r="JV38" s="428">
        <f ca="1">Tbl_MeasureList[[#This Row],[ER (EE) Low Measure Electric Annual Consumption Savings (kWh/yr)]]*COAL_LBS_PER_SITE_KWH</f>
        <v>-81.560109563650641</v>
      </c>
      <c r="JW38" s="427">
        <f ca="1">Tbl_MeasureList[[#This Row],[ER (EE) Low Measure Electric Annual Consumption Savings (kWh/yr)]]*OIL_BTU_PER_SITE_KWH/Btu_per_MMBtu</f>
        <v>-1.070363537279879</v>
      </c>
      <c r="JX38" s="428">
        <f ca="1">Tbl_MeasureList[[#This Row],[ER (EE) Low Measure Electric Annual Consumption Savings (kWh/yr)]]*OIL_GAL_PER_SITE_KWH</f>
        <v>-7.7593500110904996</v>
      </c>
      <c r="JY38" s="427">
        <f ca="1">Tbl_MeasureList[[#This Row],[ER (EE) Low Measure Oil Annual Consumption Savings (MMBtu/yr)]]*Btu_per_MMBtu/OIL_BTU_PER_GAL</f>
        <v>661.92702750751243</v>
      </c>
      <c r="JZ38" s="428">
        <f ca="1">Tbl_MeasureList[[#This Row],[Current ER (EE) Low Measure Oil Source Fuel Savings (gallons oil/year)]]+Tbl_MeasureList[[#This Row],[Current ER (EE) Low Measure Oil Site Fuel Savings (gallons oil/year)]]</f>
        <v>654.1676774964219</v>
      </c>
      <c r="KA38" s="427">
        <f ca="1">Tbl_MeasureList[[#This Row],[ER (EE) Low Measure Electric Annual Consumption Savings (kWh/yr)]]*GAS_BTU_PER_SITE_KWH/Btu_per_MMBtu</f>
        <v>-34.566223874067269</v>
      </c>
      <c r="KB38" s="429">
        <f ca="1">Tbl_MeasureList[[#This Row],[ER (EE) Low Measure Electric Annual Consumption Savings (kWh/yr)]]*GAS_CUFT_PER_SITE_KWH/1000</f>
        <v>-33.592054299385097</v>
      </c>
      <c r="KC38" s="430">
        <f ca="1">Tbl_MeasureList[[#This Row],[ER (EE) Low Measure Natural Gas Annual Consumption Savings (therms/yr)]]*Btu_per_MMBtu/(GAS_BTU_PER_CUFT*Therm_per_MMBtu*1000)</f>
        <v>0</v>
      </c>
      <c r="KD38" s="431">
        <f ca="1">Tbl_MeasureList[[#This Row],[Current ER (EE) Low Measure Gas Source Fuel Savings (1,000 cu.ft. gas/year)]]+Tbl_MeasureList[[#This Row],[Current ER (EE) Low Measure Gas Site Fuel Savings (1,000 cu.ft gas/year)]]</f>
        <v>-33.592054299385097</v>
      </c>
      <c r="KE38" s="432">
        <f ca="1">IFERROR(Tbl_MeasureList[[#This Row],[ER (EE) High Measure Electric Annual Consumption Savings (kWh/yr)]]*COAL_BTU_PER_SITE_KWH/Btu_per_MMBtu,"-")</f>
        <v>-0.76914156698202862</v>
      </c>
      <c r="KF38" s="428">
        <f ca="1">IFERROR(Tbl_MeasureList[[#This Row],[ER (EE) High Measure Electric Annual Consumption Savings (kWh/yr)]]*COAL_LBS_PER_SITE_KWH,"-")</f>
        <v>-67.468558507195496</v>
      </c>
      <c r="KG38" s="427">
        <f ca="1">IFERROR(Tbl_MeasureList[[#This Row],[ER (EE) High Measure Electric Annual Consumption Savings (kWh/yr)]]*OIL_BTU_PER_SITE_KWH/Btu_per_MMBtu,"-")</f>
        <v>-0.88543143609411135</v>
      </c>
      <c r="KH38" s="428">
        <f ca="1">IFERROR(Tbl_MeasureList[[#This Row],[ER (EE) High Measure Electric Annual Consumption Savings (kWh/yr)]]*OIL_GAL_PER_SITE_KWH,"-")</f>
        <v>-6.41872801547074</v>
      </c>
      <c r="KI38" s="427">
        <f ca="1">IFERROR(Tbl_MeasureList[[#This Row],[ER (EE) High Measure Oil Annual Consumption Savings (MMBtu/yr)]]*Btu_per_MMBtu/OIL_BTU_PER_GAL,"-")</f>
        <v>661.92702750751243</v>
      </c>
      <c r="KJ38" s="428">
        <f ca="1">IFERROR(Tbl_MeasureList[[#This Row],[Current ER (EE) High Measure Oil Source Fuel Savings (gallons oil/year)]]+Tbl_MeasureList[[#This Row],[Current ER (EE) High Measure Oil Site Fuel Savings (gallons oil/year)]],"-")</f>
        <v>655.50829949204171</v>
      </c>
      <c r="KK38" s="427">
        <f ca="1">IFERROR(Tbl_MeasureList[[#This Row],[ER (EE) High Measure Electric Annual Consumption Savings (kWh/yr)]]*GAS_BTU_PER_SITE_KWH/Btu_per_MMBtu,"-")</f>
        <v>-28.594043219133933</v>
      </c>
      <c r="KL38" s="429">
        <f ca="1">IFERROR(Tbl_MeasureList[[#This Row],[ER (EE) High Measure Electric Annual Consumption Savings (kWh/yr)]]*GAS_CUFT_PER_SITE_KWH/1000,"-")</f>
        <v>-27.78818583006213</v>
      </c>
      <c r="KM38" s="430">
        <f ca="1">IFERROR(Tbl_MeasureList[[#This Row],[ER (EE) High Measure Natural Gas Annual Consumption Savings (therms/yr)]]*Btu_per_MMBtu/(GAS_BTU_PER_CUFT*Therm_per_MMBtu*1000),"-")</f>
        <v>0</v>
      </c>
      <c r="KN38" s="431">
        <f ca="1">IFERROR(Tbl_MeasureList[[#This Row],[Current ER (EE) High Measure Gas Source Fuel Savings (1,000 cu.ft. gas/year)]]+Tbl_MeasureList[[#This Row],[Current ER (EE) High Measure Gas Site Fuel Savings (1,000 cu.ft gas/year)]],"-")</f>
        <v>-27.78818583006213</v>
      </c>
    </row>
    <row r="39" spans="2:300" x14ac:dyDescent="0.2">
      <c r="B39" s="16"/>
      <c r="C39" s="228" t="s">
        <v>1316</v>
      </c>
      <c r="D39" s="426" t="str">
        <f>INDEX(Tbl_BaselineSummary[Equipment ID],MATCH(Tbl_MeasureList[[#This Row],[Baseline ID]],Tbl_BaselineSummary[Baseline ID],0))</f>
        <v>EQUI037</v>
      </c>
      <c r="E39" s="342" t="str">
        <f>INDEX(Tbl_EquipmentDefinitions[Equipment Name],MATCH('Measure List'!$D39,Tbl_EquipmentDefinitions[Equipment ID],0))</f>
        <v>Room AC/No AC Blend+Propane Boiler</v>
      </c>
      <c r="F39" s="3" t="s">
        <v>937</v>
      </c>
      <c r="G39" s="342" t="str">
        <f>INDEX(Tbl_EquipmentDefinitions[Function],MATCH('Measure List'!$D39,Tbl_EquipmentDefinitions[Equipment ID],0))</f>
        <v>Cool+Heat</v>
      </c>
      <c r="H39" s="229" t="s">
        <v>111</v>
      </c>
      <c r="I39" s="229" t="s">
        <v>942</v>
      </c>
      <c r="J39" s="342" t="str">
        <f>INDEX(Tbl_EquipmentDefinitions[Equipment Name],MATCH('Measure List'!$I39,Tbl_EquipmentDefinitions[Equipment ID],0))</f>
        <v>DMSHP</v>
      </c>
      <c r="K39" s="342">
        <f>INDEX(Tbl_EquipmentDefinitions[],MATCH(Tbl_MeasureList[[#This Row],[Replacement ID]],Tbl_EquipmentDefinitions[[Equipment ID]:[Equipment ID]],0),MATCH(Tbl_MeasureList[[#Headers],[New Unit Equipment Life (years)]],Tbl_EquipmentDefinitions[#Headers],0))</f>
        <v>18</v>
      </c>
      <c r="L39" s="342">
        <f>INDEX(Tbl_EquipmentDefinitions[],MATCH(Tbl_MeasureList[[#This Row],[Baseline Equipment ID]],Tbl_EquipmentDefinitions[[Equipment ID]:[Equipment ID]],0),MATCH(Tbl_MeasureList[[#Headers],[Remaining Life for Early Replacement (years)]],Tbl_EquipmentDefinitions[#Headers],0))</f>
        <v>10</v>
      </c>
      <c r="M39" s="344" t="str">
        <f>INDEX(Tbl_EquipmentDefinitions[Function],MATCH('Measure List'!$I39,Tbl_EquipmentDefinitions[Equipment ID],0))</f>
        <v>Cool+Heat</v>
      </c>
      <c r="N39" s="381" t="s">
        <v>118</v>
      </c>
      <c r="O39" s="345" t="str">
        <f t="shared" si="0"/>
        <v>OK</v>
      </c>
      <c r="P39" s="344" t="str">
        <f ca="1">IFERROR(INDIRECT(Tbl_MeasureList[[#This Row],[Measure ID]]&amp;"!D5"),"No tab")</f>
        <v>3. Ready</v>
      </c>
      <c r="Q39" s="342"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Electric</v>
      </c>
      <c r="R39" s="344"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Propane</v>
      </c>
      <c r="S39" s="342"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Electric</v>
      </c>
      <c r="T39" s="344"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v>
      </c>
      <c r="U39" s="346">
        <f>INDEX(Tbl_BaselineSummary[Baseline Annual Energy Cost (USD)],MATCH(Tbl_MeasureList[[#This Row],[Baseline ID]],Tbl_BaselineSummary[Baseline ID],0))</f>
        <v>4002.2902759667004</v>
      </c>
      <c r="V39" s="347">
        <f>INDEX(Tbl_BaselineSummary[Baseline Electric Annual Consumption  (kWh)],MATCH(Tbl_MeasureList[[#This Row],[Baseline ID]],Tbl_BaselineSummary[Baseline ID],0))</f>
        <v>1649.521739130435</v>
      </c>
      <c r="W39" s="347">
        <f>INDEX(Tbl_BaselineSummary[Baseline Electric Winter Consumption (kWh)],MATCH(Tbl_MeasureList[[#This Row],[Baseline ID]],Tbl_BaselineSummary[Baseline ID],0))</f>
        <v>197</v>
      </c>
      <c r="X39" s="347">
        <f>INDEX(Tbl_BaselineSummary[Baseline Electric Summer Consumption (kWh)],MATCH(Tbl_MeasureList[[#This Row],[Baseline ID]],Tbl_BaselineSummary[Baseline ID],0))</f>
        <v>1452.521739130435</v>
      </c>
      <c r="Y39" s="348">
        <f>INDEX(Tbl_BaselineSummary[Baseline Electric Baseline Winter Peak Demand (kW)],MATCH(Tbl_MeasureList[[#This Row],[Baseline ID]],Tbl_BaselineSummary[Baseline ID],0))</f>
        <v>3.0220517737296261E-2</v>
      </c>
      <c r="Z39" s="453">
        <f>INDEX(Tbl_BaselineSummary[Baseline Electric Baseline Summer Peak Demand (kW)],MATCH(Tbl_MeasureList[[#This Row],[Baseline ID]],Tbl_BaselineSummary[Baseline ID],0))</f>
        <v>1.9200000000000002</v>
      </c>
      <c r="AA39" s="459">
        <f>INDEX(Tbl_BaselineSummary[Baseline Natural Gas Annual Consumption  (therms)],MATCH(Tbl_MeasureList[[#This Row],[Baseline ID]],Tbl_BaselineSummary[Baseline ID],0))</f>
        <v>0</v>
      </c>
      <c r="AB39" s="456">
        <f>INDEX(Tbl_BaselineSummary[Baseline Propane Annual Consumption  (MMBtu)],MATCH(Tbl_MeasureList[[#This Row],[Baseline ID]],Tbl_BaselineSummary[Baseline ID],0))</f>
        <v>102.26666666666667</v>
      </c>
      <c r="AC39" s="350">
        <f>INDEX(Tbl_BaselineSummary[Baseline Oil Annual Consumption  (MMBtu)],MATCH(Tbl_MeasureList[[#This Row],[Baseline ID]],Tbl_BaselineSummary[Baseline ID],0))</f>
        <v>0</v>
      </c>
      <c r="AD39" s="373">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107.8948348405797</v>
      </c>
      <c r="AE39" s="461">
        <f>(lbCO2_per_Therm_Gas*Tbl_MeasureList[[#This Row],[Baseline Natural Gas Annual Consumption (therms/yr)]]+lbCO2_per_MMBtu_Prop*Tbl_MeasureList[[#This Row],[Baseline Propane Annual Consumption (MMBtu/yr)]]+lbCO2_per_MMBtu_Oil*Tbl_MeasureList[[#This Row],[Baseline Oil Annual Consumption (MMBtu/yr)]])*Lbs_per_ShortTon</f>
        <v>7.1075333333333326</v>
      </c>
      <c r="AF39" s="464">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7.6900784307246379</v>
      </c>
      <c r="AG39" s="466">
        <f>INDEX(Tbl_BaselineSummary[Code Annual Energy Cost (USD)],MATCH(Tbl_MeasureList[[#This Row],[Baseline ID]],Tbl_BaselineSummary[Baseline ID],0))</f>
        <v>3745.4985794388722</v>
      </c>
      <c r="AH39" s="469">
        <f>INDEX(Tbl_BaselineSummary[Deferred Replacement Credit (USD)],MATCH(Tbl_MeasureList[[#This Row],[Baseline ID]],Tbl_BaselineSummary[Baseline ID],0))</f>
        <v>3379.5743739912205</v>
      </c>
      <c r="AI39" s="354">
        <f>INDEX(Tbl_BaselineSummary[A/C-only Deferred Replacement Credit (USD)],MATCH(Tbl_MeasureList[[#This Row],[Baseline ID]],Tbl_BaselineSummary[Baseline ID],0))</f>
        <v>540.79957040967588</v>
      </c>
      <c r="AJ39" s="469">
        <f>INDEX(Tbl_BaselineSummary[Code Installed Costs (USD)],MATCH(Tbl_MeasureList[[#This Row],[Baseline ID]],Tbl_BaselineSummary[Baseline ID],0))</f>
        <v>7429.782608695652</v>
      </c>
      <c r="AK39" s="354">
        <f>INDEX(Tbl_BaselineSummary[Code A/C-only Installed Cost (USD)],MATCH(Tbl_MeasureList[[#This Row],[Baseline ID]],Tbl_BaselineSummary[Baseline ID],0))</f>
        <v>834.78260869565224</v>
      </c>
      <c r="AL39" s="347">
        <f>INDEX(Tbl_BaselineSummary[Code Electric Annual Consumption (kWh)],MATCH(Tbl_MeasureList[[#This Row],[Baseline ID]],Tbl_BaselineSummary[Baseline ID],0))</f>
        <v>1359.0173913043479</v>
      </c>
      <c r="AM39" s="347">
        <f>INDEX(Tbl_BaselineSummary[Code Electric Winter Consumption (kWh)],MATCH(Tbl_MeasureList[[#This Row],[Baseline ID]],Tbl_BaselineSummary[Baseline ID],0))</f>
        <v>197</v>
      </c>
      <c r="AN39" s="347">
        <f>INDEX(Tbl_BaselineSummary[Code Electric Summer Consumption (kWh)],MATCH(Tbl_MeasureList[[#This Row],[Baseline ID]],Tbl_BaselineSummary[Baseline ID],0))</f>
        <v>1162.0173913043479</v>
      </c>
      <c r="AO39" s="355">
        <f>INDEX(Tbl_BaselineSummary[Code Electric Winter Peak Demand (kW)],MATCH(Tbl_MeasureList[[#This Row],[Baseline ID]],Tbl_BaselineSummary[Baseline ID],0))</f>
        <v>3.0220517737296261E-2</v>
      </c>
      <c r="AP39" s="471">
        <f>INDEX(Tbl_BaselineSummary[Code Electric Summer Peak Demand (kW)],MATCH(Tbl_MeasureList[[#This Row],[Baseline ID]],Tbl_BaselineSummary[Baseline ID],0))</f>
        <v>1.5360000000000005</v>
      </c>
      <c r="AQ39" s="350">
        <f>INDEX(Tbl_BaselineSummary[Code Natural Gas Annual Consumption (therms)],MATCH(Tbl_MeasureList[[#This Row],[Baseline ID]],Tbl_BaselineSummary[Baseline ID],0))</f>
        <v>0</v>
      </c>
      <c r="AR39" s="473">
        <f>INDEX(Tbl_BaselineSummary[Code Propane Annual Consumption (MMBtu)],MATCH(Tbl_MeasureList[[#This Row],[Baseline ID]],Tbl_BaselineSummary[Baseline ID],0))</f>
        <v>96.721311475409834</v>
      </c>
      <c r="AS39" s="350">
        <f>INDEX(Tbl_BaselineSummary[Code Oil Annual Consumption (MMBtu)],MATCH(Tbl_MeasureList[[#This Row],[Baseline ID]],Tbl_BaselineSummary[Baseline ID],0))</f>
        <v>0</v>
      </c>
      <c r="AT39" s="351">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101.35827881454027</v>
      </c>
      <c r="AU39" s="350">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6.722131147540984</v>
      </c>
      <c r="AV39" s="475">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7.2020817294540276</v>
      </c>
      <c r="AW39" s="346">
        <f ca="1">INDIRECT(Tbl_MeasureList[[#This Row],[Measure ID]]&amp;"!L26")</f>
        <v>2336.1745599104129</v>
      </c>
      <c r="AX39" s="469">
        <f ca="1">INDIRECT(Tbl_MeasureList[[#This Row],[Measure ID]]&amp;"!M26")</f>
        <v>12004.9</v>
      </c>
      <c r="AY39" s="482">
        <f ca="1">INDIRECT(Tbl_MeasureList[[#This Row],[Measure ID]]&amp;"!D26")</f>
        <v>11810.791506119378</v>
      </c>
      <c r="AZ39" s="482">
        <f ca="1">INDIRECT(Tbl_MeasureList[[#This Row],[Measure ID]]&amp;"!J26")</f>
        <v>10939.271506119378</v>
      </c>
      <c r="BA39" s="482">
        <f ca="1">INDIRECT(Tbl_MeasureList[[#This Row],[Measure ID]]&amp;"!I26")</f>
        <v>871.5200000000001</v>
      </c>
      <c r="BB39" s="471">
        <f ca="1">INDIRECT(Tbl_MeasureList[[#This Row],[Measure ID]]&amp;"!E26")</f>
        <v>1.9902439024390246</v>
      </c>
      <c r="BC39" s="355">
        <f ca="1">INDIRECT(Tbl_MeasureList[[#This Row],[Measure ID]]&amp;"!H26")</f>
        <v>1.5200000000000002</v>
      </c>
      <c r="BD39" s="351">
        <f ca="1">INDIRECT(Tbl_MeasureList[[#This Row],[Measure ID]]&amp;"!D32")</f>
        <v>0</v>
      </c>
      <c r="BE39" s="356">
        <f ca="1">INDIRECT(Tbl_MeasureList[[#This Row],[Measure ID]]&amp;"!D38")</f>
        <v>0</v>
      </c>
      <c r="BF39" s="351">
        <f ca="1">INDIRECT(Tbl_MeasureList[[#This Row],[Measure ID]]&amp;"!D44")</f>
        <v>0</v>
      </c>
      <c r="BG39" s="461">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40.298420618879319</v>
      </c>
      <c r="BH39" s="373">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0</v>
      </c>
      <c r="BI39" s="359">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4.1710991283011198</v>
      </c>
      <c r="BJ39" s="353">
        <f ca="1">INDIRECT(Tbl_MeasureList[[#This Row],[Measure ID]]&amp;"!L27")</f>
        <v>1946.1573712017159</v>
      </c>
      <c r="BK39" s="354">
        <f ca="1">INDIRECT(Tbl_MeasureList[[#This Row],[Measure ID]]&amp;"!M27")</f>
        <v>13014.599999999999</v>
      </c>
      <c r="BL39" s="358">
        <f ca="1">INDIRECT(Tbl_MeasureList[[#This Row],[Measure ID]]&amp;"!D27")</f>
        <v>9839.0160323645905</v>
      </c>
      <c r="BM39" s="358">
        <f ca="1">INDIRECT(Tbl_MeasureList[[#This Row],[Measure ID]]&amp;"!J27")</f>
        <v>9112.7493656979241</v>
      </c>
      <c r="BN39" s="358">
        <f ca="1">INDIRECT(Tbl_MeasureList[[#This Row],[Measure ID]]&amp;"!I27")</f>
        <v>726.26666666666677</v>
      </c>
      <c r="BO39" s="355">
        <f ca="1">INDIRECT(Tbl_MeasureList[[#This Row],[Measure ID]]&amp;"!E27")</f>
        <v>1.6320000000000001</v>
      </c>
      <c r="BP39" s="471">
        <f ca="1">INDIRECT(Tbl_MeasureList[[#This Row],[Measure ID]]&amp;"!H27")</f>
        <v>1.5200000000000002</v>
      </c>
      <c r="BQ39" s="350">
        <f ca="1">INDIRECT(Tbl_MeasureList[[#This Row],[Measure ID]]&amp;"!D33")</f>
        <v>0</v>
      </c>
      <c r="BR39" s="473">
        <f ca="1">INDIRECT(Tbl_MeasureList[[#This Row],[Measure ID]]&amp;"!D39")</f>
        <v>0</v>
      </c>
      <c r="BS39" s="350">
        <f ca="1">INDIRECT(Tbl_MeasureList[[#This Row],[Measure ID]]&amp;"!D45")</f>
        <v>0</v>
      </c>
      <c r="BT39" s="351">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33.570722702427986</v>
      </c>
      <c r="BU39" s="350">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0</v>
      </c>
      <c r="BV39" s="357">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3.4747469019898789</v>
      </c>
      <c r="BW39" s="34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1657.4820155278289</v>
      </c>
      <c r="BX39" s="35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13414.3</v>
      </c>
      <c r="BY39" s="48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8379.5855183408949</v>
      </c>
      <c r="BZ39" s="48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7725.9455183408954</v>
      </c>
      <c r="CA39" s="48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653.6400000000001</v>
      </c>
      <c r="CB39" s="35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1.8</v>
      </c>
      <c r="CC39" s="35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1.5200000000000002</v>
      </c>
      <c r="CD39" s="35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0</v>
      </c>
      <c r="CE39" s="35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0</v>
      </c>
      <c r="CF39" s="35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0</v>
      </c>
      <c r="CG39" s="461">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28.591145788579134</v>
      </c>
      <c r="CH39" s="37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0</v>
      </c>
      <c r="CI39" s="35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2.959334421657271</v>
      </c>
      <c r="CJ39" s="320">
        <f ca="1">-Tbl_MeasureList[[#This Row],[Low Measure Energy Cost (USD/yr)]]+Tbl_MeasureList[[#This Row],[Baseline Energy Cost (USD/yr)]]</f>
        <v>2056.1329047649842</v>
      </c>
      <c r="CK39"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9635.0256260087772</v>
      </c>
      <c r="CL39" s="249">
        <f ca="1">-Tbl_MeasureList[[#This Row],[Low Measure Electric Annual Consumption (kWh/yr)]]+Tbl_MeasureList[[#This Row],[Baseline Electric Annual Consumption (kWh/yr)]]</f>
        <v>-8189.4942932341555</v>
      </c>
      <c r="CM39" s="249">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-8915.7493656979241</v>
      </c>
      <c r="CN39" s="249">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726.25507246376822</v>
      </c>
      <c r="CO39" s="268">
        <f ca="1">-Tbl_MeasureList[[#This Row],[Low Measure Electric Winter Peak Demand (kW)]]+Tbl_MeasureList[[#This Row],[Baseline Electric Winter Peak Demand (kW)]]</f>
        <v>-1.6017794822627038</v>
      </c>
      <c r="CP39" s="479">
        <f ca="1">-Tbl_MeasureList[[#This Row],[Low Measure Electric Summer Peak Demand (kW)]]+Tbl_MeasureList[[#This Row],[Baseline Electric Summer Peak Demand (kW)]]</f>
        <v>0.39999999999999991</v>
      </c>
      <c r="CQ39" s="481">
        <f ca="1">-Tbl_MeasureList[[#This Row],[Low Measure Natural Gas Annual Consumption (therms/yr)]]+Tbl_MeasureList[[#This Row],[Baseline Natural Gas Annual Consumption (therms/yr)]]</f>
        <v>0</v>
      </c>
      <c r="CR39" s="490">
        <f ca="1">-Tbl_MeasureList[[#This Row],[Low Measure Propane Annual Consumption (MMBtu/yr)]]+Tbl_MeasureList[[#This Row],[Baseline Propane Annual Consumption (MMBtu/yr)]]</f>
        <v>102.26666666666667</v>
      </c>
      <c r="CS39" s="252">
        <f ca="1">-Tbl_MeasureList[[#This Row],[Low Measure Oil Annual Consumption (MMBtu/yr)]]+Tbl_MeasureList[[#This Row],[Baseline Oil Annual Consumption (MMBtu/yr)]]</f>
        <v>0</v>
      </c>
      <c r="CT39"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74.324112138151719</v>
      </c>
      <c r="CU39" s="487">
        <f ca="1">-Tbl_MeasureList[[#This Row],[Low Measure Carbon Emissions, Site (tons CO2/yr)]]+Tbl_MeasureList[[#This Row],[Baseline Carbon Emissions, Site (tons CO2/yr)]]</f>
        <v>7.1075333333333326</v>
      </c>
      <c r="CV39" s="491">
        <f ca="1">-Tbl_MeasureList[[#This Row],[Low Measure Carbon Emissions, Source (tons CO2/yr)]]+Tbl_MeasureList[[#This Row],[Baseline Carbon Emissions, Source (tons CO2/yr)]]</f>
        <v>4.215331528734759</v>
      </c>
      <c r="CW39"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2344.8082604388715</v>
      </c>
      <c r="CX39"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10034.725626008778</v>
      </c>
      <c r="CY39"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-6730.0637792104599</v>
      </c>
      <c r="CZ39"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-7528.9455183408954</v>
      </c>
      <c r="DA39"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798.88173913043488</v>
      </c>
      <c r="DB39"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-1.7697794822627038</v>
      </c>
      <c r="DC39"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0.39999999999999991</v>
      </c>
      <c r="DD39"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0</v>
      </c>
      <c r="DE39"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102.26666666666667</v>
      </c>
      <c r="DF39"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0</v>
      </c>
      <c r="DG39" s="270">
        <f ca="1">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79.303689052000578</v>
      </c>
      <c r="DH39"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7.1075333333333326</v>
      </c>
      <c r="DI39"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4.7307440090673669</v>
      </c>
      <c r="DJ39" s="320">
        <f ca="1">-Tbl_MeasureList[[#This Row],[Low Measure Energy Cost (USD/yr)]]+Tbl_MeasureList[[#This Row],[Code (old fuel) Energy Cost (USD/yr)]]</f>
        <v>1799.3412082371563</v>
      </c>
      <c r="DK39" s="267">
        <f ca="1">Tbl_MeasureList[[#This Row],[Low Measure Installed Costs (USD)]]-Tbl_MeasureList[[#This Row],[Code (old fuel) Installed Costs (USD)]]</f>
        <v>5584.8173913043465</v>
      </c>
      <c r="DL39" s="249">
        <f ca="1">-Tbl_MeasureList[[#This Row],[Low Measure Electric Annual Consumption (kWh/yr)]]+Tbl_MeasureList[[#This Row],[Code (old fuel) Electric Annual Consumption (kWh/yr)]]</f>
        <v>-8479.9986410602432</v>
      </c>
      <c r="DM39" s="249">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-8915.7493656979241</v>
      </c>
      <c r="DN39" s="249">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435.75072463768117</v>
      </c>
      <c r="DO39" s="268">
        <f ca="1">-Tbl_MeasureList[[#This Row],[Low Measure Electric Winter Peak Demand (kW)]]+Tbl_MeasureList[[#This Row],[Code (old fuel) Electric Winter Peak Demand (kW)]]</f>
        <v>-1.6017794822627038</v>
      </c>
      <c r="DP39" s="479">
        <f ca="1">-Tbl_MeasureList[[#This Row],[Low Measure Electric Summer Peak Demand (kW)]]+Tbl_MeasureList[[#This Row],[Code (old fuel) Electric Summer Peak Demand (kW)]]</f>
        <v>1.6000000000000236E-2</v>
      </c>
      <c r="DQ39" s="481">
        <f ca="1">-Tbl_MeasureList[[#This Row],[Low Measure Natural Gas Annual Consumption (therms/yr)]]+Tbl_MeasureList[[#This Row],[Code (old fuel) Natural Gas Annual Consumption (therms/yr)]]</f>
        <v>0</v>
      </c>
      <c r="DR39" s="490">
        <f ca="1">-Tbl_MeasureList[[#This Row],[Low Measure Propane Annual Consumption (MMBtu/yr)]]+Tbl_MeasureList[[#This Row],[Code (old fuel) Propane Annual Consumption (MMBtu/yr)]]</f>
        <v>96.721311475409834</v>
      </c>
      <c r="DS39" s="252">
        <f ca="1">-Tbl_MeasureList[[#This Row],[Low Measure Oil Annual Consumption (MMBtu/yr)]]+Tbl_MeasureList[[#This Row],[Code (old fuel) Oil Annual Consumption (MMBtu/yr)]]</f>
        <v>0</v>
      </c>
      <c r="DT39"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67.787556112112284</v>
      </c>
      <c r="DU39" s="487">
        <f ca="1">-Tbl_MeasureList[[#This Row],[Low Measure Carbon Emissions, Site (tons CO2/yr)]]+Tbl_MeasureList[[#This Row],[Code (old fuel) Carbon Emissions, Site (tons CO2/yr)]]</f>
        <v>6.722131147540984</v>
      </c>
      <c r="DV39" s="491">
        <f ca="1">-Tbl_MeasureList[[#This Row],[Low Measure Carbon Emissions, Source (tons CO2/yr)]]+Tbl_MeasureList[[#This Row],[Code (old fuel) Carbon Emissions, Source (tons CO2/yr)]]</f>
        <v>3.7273348274641487</v>
      </c>
      <c r="DW39"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(new fuel) Energy Cost (USD/yr)]],
        "-")</f>
        <v>678.69254438258395</v>
      </c>
      <c r="DX39"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5984.5173913043473</v>
      </c>
      <c r="DY39"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-7020.5681270365467</v>
      </c>
      <c r="DZ39"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-7528.9455183408954</v>
      </c>
      <c r="EA39"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508.37739130434784</v>
      </c>
      <c r="EB39"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-1.7697794822627038</v>
      </c>
      <c r="EC39"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1.6000000000000236E-2</v>
      </c>
      <c r="ED39"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0</v>
      </c>
      <c r="EE39"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96.721311475409834</v>
      </c>
      <c r="EF39"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0</v>
      </c>
      <c r="EG39" s="270">
        <f ca="1">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72.76713302596113</v>
      </c>
      <c r="EH39"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6.722131147540984</v>
      </c>
      <c r="EI39"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4.2427473077967566</v>
      </c>
      <c r="EJ39" s="477">
        <f ca="1">Tbl_MeasureList[[#This Row],[Code (old fuel) Energy Cost (USD/yr)]]-Tbl_MeasureList[[#This Row],[Code (new fuel) Energy Cost (USD/yr)]]</f>
        <v>1409.3240195284593</v>
      </c>
      <c r="EK39" s="496">
        <f ca="1">Tbl_MeasureList[[#This Row],[Code (old fuel) Electric Annual Consumption (kWh/yr)]]-Tbl_MeasureList[[#This Row],[Code (new fuel) Electric Annual Consumption (kWh/yr)]]</f>
        <v>-10451.774114815031</v>
      </c>
      <c r="EL39" s="496">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-10742.271506119378</v>
      </c>
      <c r="EM39" s="496">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290.49739130434784</v>
      </c>
      <c r="EN39" s="500">
        <f ca="1">Tbl_MeasureList[[#This Row],[Code (old fuel) Electric Winter Peak Demand (kW)]]-Tbl_MeasureList[[#This Row],[Code (new fuel) Electric Winter Peak Demand (kW)]]</f>
        <v>-1.9600233847017283</v>
      </c>
      <c r="EO39" s="493">
        <f ca="1">Tbl_MeasureList[[#This Row],[Code (old fuel) Electric Summer Peak Demand (kW)]]-Tbl_MeasureList[[#This Row],[Code (new fuel) Electric Summer Peak Demand (kW)]]</f>
        <v>1.6000000000000236E-2</v>
      </c>
      <c r="EP39" s="502">
        <f ca="1">Tbl_MeasureList[[#This Row],[Code (old fuel) Natural Gas Annual Consumption (therms/yr)]]-Tbl_MeasureList[[#This Row],[Code (new fuel) Natural Gas Annual Consumption (therms/yr)]]</f>
        <v>0</v>
      </c>
      <c r="EQ39" s="215">
        <f ca="1">Tbl_MeasureList[[#This Row],[Code (old fuel) Propane Annual Consumption (MMBtu/yr)]]-Tbl_MeasureList[[#This Row],[Code (new fuel) Propane Annual Consumption (MMBtu/yr)]]</f>
        <v>96.721311475409834</v>
      </c>
      <c r="ER39" s="502">
        <f ca="1">Tbl_MeasureList[[#This Row],[Code (old fuel) Oil Annual Consumption (MMBtu/yr)]]-Tbl_MeasureList[[#This Row],[Code (new fuel) Oil Annual Consumption (MMBtu/yr)]]</f>
        <v>0</v>
      </c>
      <c r="ES39" s="215">
        <f ca="1">Tbl_MeasureList[[#This Row],[Code (old fuel) Energy Consumption on MMBtu Basis (MMBtu/yr)]]-Tbl_MeasureList[[#This Row],[Code (new fuel) Energy Consumption on MMBtu Basis (MMBtu/yr)]]</f>
        <v>61.059858195660951</v>
      </c>
      <c r="ET39" s="502">
        <f ca="1">Tbl_MeasureList[[#This Row],[Code (old fuel) Carbon Emissions, Site (tons CO2/yr)]]-Tbl_MeasureList[[#This Row],[Code (new fuel) Carbon Emissions, Site (tons CO2/yr)]]</f>
        <v>6.722131147540984</v>
      </c>
      <c r="EU39" s="498">
        <f ca="1">Tbl_MeasureList[[#This Row],[Code (old fuel) Carbon Emissions, Source (tons CO2/yr)]]-Tbl_MeasureList[[#This Row],[Code (new fuel) Carbon Emissions, Source (tons CO2/yr)]]</f>
        <v>3.0309826011529077</v>
      </c>
      <c r="EV39" s="450">
        <f ca="1">Tbl_MeasureList[[#This Row],[ER Total Low Measure Electric Annual Consumption Savings (kWh/yr)]]*COAL_BTU_PER_SITE_KWH/Btu_per_MMBtu</f>
        <v>-0.90144101051646963</v>
      </c>
      <c r="EW39" s="411">
        <f ca="1">Tbl_MeasureList[[#This Row],[ER Total Low Measure Electric Annual Consumption Savings (kWh/yr)]]*COAL_LBS_PER_SITE_KWH</f>
        <v>-79.073772852321895</v>
      </c>
      <c r="EX39" s="326">
        <f ca="1">Tbl_MeasureList[[#This Row],[ER Total Low Measure Electric Annual Consumption Savings (kWh/yr)]]*OIL_BTU_PER_SITE_KWH/Btu_per_MMBtu</f>
        <v>-1.0377338096906858</v>
      </c>
      <c r="EY39" s="325">
        <f ca="1">Tbl_MeasureList[[#This Row],[ER Total Low Measure Electric Annual Consumption Savings (kWh/yr)]]*OIL_GAL_PER_SITE_KWH</f>
        <v>-7.5228084359033378</v>
      </c>
      <c r="EZ39" s="326">
        <f ca="1">Tbl_MeasureList[[#This Row],[ER Total Low Measure Oil Annual Consumption Savings (MMBtu/yr)]]*Btu_per_MMBtu/OIL_BTU_PER_GAL</f>
        <v>0</v>
      </c>
      <c r="FA39" s="325">
        <f ca="1">Tbl_MeasureList[[#This Row],[Current ER Total Low Measure Oil Source Fuel Savings (gallons oil/year)]]+Tbl_MeasureList[[#This Row],[Current ER Total Low Measure Oil Site Fuel Savings (gallons oil/year)]]</f>
        <v>-7.5228084359033378</v>
      </c>
      <c r="FB39" s="326">
        <f ca="1">Tbl_MeasureList[[#This Row],[ER Total Low Measure Electric Annual Consumption Savings (kWh/yr)]]*GAS_BTU_PER_SITE_KWH/Btu_per_MMBtu</f>
        <v>-33.512482383896391</v>
      </c>
      <c r="FC39" s="327">
        <f ca="1">Tbl_MeasureList[[#This Row],[ER Total Low Measure Electric Annual Consumption Savings (kWh/yr)]]*GAS_CUFT_PER_SITE_KWH/1000</f>
        <v>-32.56801009125013</v>
      </c>
      <c r="FD39" s="328">
        <f ca="1">Tbl_MeasureList[[#This Row],[ER Total Low Measure Natural Gas Annual Consumption Savings (therms/yr)]]*Btu_per_MMBtu/(GAS_BTU_PER_CUFT*Therm_per_MMBtu*1000)</f>
        <v>0</v>
      </c>
      <c r="FE39" s="329">
        <f ca="1">Tbl_MeasureList[[#This Row],[Current ER Total Low Measure Gas Source Fuel Savings (1,000 cu.ft. gas/year)]]+Tbl_MeasureList[[#This Row],[Current ER Total Low Measure Gas Site Fuel Savings (1,000 cu.ft gas/year)]]</f>
        <v>-32.56801009125013</v>
      </c>
      <c r="FF39" s="324">
        <f ca="1">IFERROR(Tbl_MeasureList[[#This Row],[ER Total High Measure Electric Annual Consumption Savings (kWh/yr)]]*COAL_BTU_PER_SITE_KWH/Btu_per_MMBtu,"-")</f>
        <v>-0.74079732847288104</v>
      </c>
      <c r="FG39" s="325">
        <f ca="1">IFERROR(Tbl_MeasureList[[#This Row],[ER Total High Measure Electric Annual Consumption Savings (kWh/yr)]]*COAL_LBS_PER_SITE_KWH,"-")</f>
        <v>-64.982221795866749</v>
      </c>
      <c r="FH39" s="326">
        <f ca="1">IFERROR(Tbl_MeasureList[[#This Row],[ER Total High Measure Electric Annual Consumption Savings (kWh/yr)]]*OIL_BTU_PER_SITE_KWH/Btu_per_MMBtu,"-")</f>
        <v>-0.85280170850491821</v>
      </c>
      <c r="FI39" s="325">
        <f ca="1">IFERROR(Tbl_MeasureList[[#This Row],[ER Total High Measure Electric Annual Consumption Savings (kWh/yr)]]*OIL_GAL_PER_SITE_KWH,"-")</f>
        <v>-6.1821864402835791</v>
      </c>
      <c r="FJ39" s="326">
        <f ca="1">IFERROR(Tbl_MeasureList[[#This Row],[ER Total High Measure Oil Annual Consumption Savings (MMBtu/yr)]]*Btu_per_MMBtu/OIL_BTU_PER_GAL,"-")</f>
        <v>0</v>
      </c>
      <c r="FK39" s="325">
        <f ca="1">IFERROR(Tbl_MeasureList[[#This Row],[Current ER Total High Measure Oil Source Fuel Savings (gallons oil/year)]]+Tbl_MeasureList[[#This Row],[Current ER Total High Measure Oil Site Fuel Savings (gallons oil/year)]],"-")</f>
        <v>-6.1821864402835791</v>
      </c>
      <c r="FL39" s="326">
        <f ca="1">IFERROR(Tbl_MeasureList[[#This Row],[ER Total High Measure Electric Annual Consumption Savings (kWh/yr)]]*GAS_BTU_PER_SITE_KWH/Btu_per_MMBtu,"-")</f>
        <v>-27.540301728963055</v>
      </c>
      <c r="FM39" s="327">
        <f ca="1">IFERROR(Tbl_MeasureList[[#This Row],[ER Total High Measure Electric Annual Consumption Savings (kWh/yr)]]*GAS_CUFT_PER_SITE_KWH/1000,"-")</f>
        <v>-26.764141621927163</v>
      </c>
      <c r="FN39" s="328">
        <f ca="1">IFERROR(Tbl_MeasureList[[#This Row],[ER Total High Measure Natural Gas Annual Consumption Savings (therms/yr)]]*Btu_per_MMBtu/(GAS_BTU_PER_CUFT*Therm_per_MMBtu*1000),"-")</f>
        <v>0</v>
      </c>
      <c r="FO39" s="329">
        <f ca="1">IFERROR(Tbl_MeasureList[[#This Row],[Current ER Total High Measure Gas Source Fuel Savings (1,000 cu.ft. gas/year)]]+Tbl_MeasureList[[#This Row],[Current ER Total High Measure Gas Site Fuel Savings (1,000 cu.ft gas/year)]],"-")</f>
        <v>-26.764141621927163</v>
      </c>
      <c r="FP39" s="412">
        <f ca="1">Tbl_MeasureList[[#This Row],[ROF Low Measure Electric Annual Consumption Savings (kWh/yr)]]*COAL_BTU_PER_SITE_KWH/Btu_per_MMBtu</f>
        <v>-0.93341765321101611</v>
      </c>
      <c r="FQ39" s="327">
        <f ca="1">Tbl_MeasureList[[#This Row],[ROF Low Measure Electric Annual Consumption Savings (kWh/yr)]]*COAL_LBS_PER_SITE_KWH</f>
        <v>-81.878741509738248</v>
      </c>
      <c r="FR39" s="412">
        <f ca="1">Tbl_MeasureList[[#This Row],[ROF Low Measure Electric Annual Consumption Savings (kWh/yr)]]*OIL_BTU_PER_SITE_KWH/Btu_per_MMBtu</f>
        <v>-1.0745451405014705</v>
      </c>
      <c r="FS39" s="327">
        <f ca="1">Tbl_MeasureList[[#This Row],[ROF Low Measure Electric Annual Consumption Savings (kWh/yr)]]*OIL_GAL_PER_SITE_KWH</f>
        <v>-7.7896635651996844</v>
      </c>
      <c r="FT39" s="412">
        <f ca="1">Tbl_MeasureList[[#This Row],[ROF Low Measure Oil Annual Consumption Savings (MMBtu/yr)]]*Btu_per_MMBtu/OIL_BTU_PER_GAL</f>
        <v>0</v>
      </c>
      <c r="FU39" s="327">
        <f ca="1">Tbl_MeasureList[[#This Row],[Current ROF Low Measure Oil Source Fuel Savings (gallons oil/year)]]+Tbl_MeasureList[[#This Row],[Current ROF Low Measure Oil Site Fuel Savings (gallons oil/year)]]</f>
        <v>-7.7896635651996844</v>
      </c>
      <c r="FV39" s="412">
        <f ca="1">Tbl_MeasureList[[#This Row],[ROF Low Measure Electric Annual Consumption Savings (kWh/yr)]]*GAS_BTU_PER_SITE_KWH/Btu_per_MMBtu</f>
        <v>-34.701264192684036</v>
      </c>
      <c r="FW39" s="327">
        <f ca="1">Tbl_MeasureList[[#This Row],[ROF Low Measure Electric Annual Consumption Savings (kWh/yr)]]*GAS_CUFT_PER_SITE_KWH/1000</f>
        <v>-33.723288816991293</v>
      </c>
      <c r="FX39" s="412">
        <f ca="1">Tbl_MeasureList[[#This Row],[ROF Low Measure Natural Gas Annual Consumption Savings (therms/yr)]]*Btu_per_MMBtu/(GAS_BTU_PER_CUFT*Therm_per_MMBtu*1000)</f>
        <v>0</v>
      </c>
      <c r="FY39" s="327">
        <f ca="1">Tbl_MeasureList[[#This Row],[Current ROF Low Measure Gas Source Fuel Savings (1,000 cu.ft. gas/year)]]+Tbl_MeasureList[[#This Row],[Current ROF Low Measure Gas Site Fuel Savings (1,000 cu.ft gas/year)]]</f>
        <v>-33.723288816991293</v>
      </c>
      <c r="FZ39" s="414">
        <f ca="1">IFERROR(Tbl_MeasureList[[#This Row],[ROF High Measure Electric Annual Consumption Savings (kWh/yr)]]*COAL_BTU_PER_SITE_KWH/Btu_per_MMBtu,"-")</f>
        <v>-0.77277397116742752</v>
      </c>
      <c r="GA39" s="327">
        <f ca="1">IFERROR(Tbl_MeasureList[[#This Row],[ROF High Measure Electric Annual Consumption Savings (kWh/yr)]]*COAL_LBS_PER_SITE_KWH,"-")</f>
        <v>-67.787190453283102</v>
      </c>
      <c r="GB39" s="412">
        <f ca="1">IFERROR(Tbl_MeasureList[[#This Row],[ROF High Measure Electric Annual Consumption Savings (kWh/yr)]]*OIL_BTU_PER_SITE_KWH/Btu_per_MMBtu,"-")</f>
        <v>-0.88961303931570268</v>
      </c>
      <c r="GC39" s="327">
        <f ca="1">IFERROR(Tbl_MeasureList[[#This Row],[ROF High Measure Electric Annual Consumption Savings (kWh/yr)]]*OIL_GAL_PER_SITE_KWH,"-")</f>
        <v>-6.4490415695799239</v>
      </c>
      <c r="GD39" s="412">
        <f ca="1">IFERROR(Tbl_MeasureList[[#This Row],[ROF High Measure Oil Annual Consumption Savings (MMBtu/yr)]]*Btu_per_MMBtu/OIL_BTU_PER_GAL,"-")</f>
        <v>0</v>
      </c>
      <c r="GE39" s="327">
        <f ca="1">IFERROR(Tbl_MeasureList[[#This Row],[Current ROF High Measure Oil Source Fuel Savings (gallons oil/year)]]+Tbl_MeasureList[[#This Row],[Current ROF High Measure Oil Site Fuel Savings (gallons oil/year)]],"-")</f>
        <v>-6.4490415695799239</v>
      </c>
      <c r="GF39" s="412">
        <f ca="1">IFERROR(Tbl_MeasureList[[#This Row],[ROF High Measure Electric Annual Consumption Savings (kWh/yr)]]*GAS_BTU_PER_SITE_KWH/Btu_per_MMBtu,"-")</f>
        <v>-28.729083537750707</v>
      </c>
      <c r="GG39" s="327">
        <f ca="1">IFERROR(Tbl_MeasureList[[#This Row],[ROF High Measure Electric Annual Consumption Savings (kWh/yr)]]*GAS_CUFT_PER_SITE_KWH/1000,"-")</f>
        <v>-27.919420347668321</v>
      </c>
      <c r="GH39" s="412">
        <f ca="1">IFERROR(Tbl_MeasureList[[#This Row],[ROF High Measure Natural Gas Annual Consumption Savings (therms/yr)]]*Btu_per_MMBtu/(GAS_BTU_PER_CUFT*Therm_per_MMBtu*1000),"-")</f>
        <v>0</v>
      </c>
      <c r="GI39" s="327">
        <f ca="1">IFERROR(Tbl_MeasureList[[#This Row],[Current ROF High Measure Gas Source Fuel Savings (1,000 cu.ft. gas/year)]]+Tbl_MeasureList[[#This Row],[Current ROF High Measure Gas Site Fuel Savings (1,000 cu.ft gas/year)]],"-")</f>
        <v>-27.919420347668321</v>
      </c>
      <c r="GJ39" s="324">
        <f ca="1">Tbl_MeasureList[[#This Row],[ER Total Low Measure Electric Annual Consumption Savings (kWh/yr)]]*COAL_BTU_PER_SITE_KWH_CES/Btu_per_MMBtu</f>
        <v>-1.5324497178779983</v>
      </c>
      <c r="GK39" s="325">
        <f ca="1">Tbl_MeasureList[[#This Row],[ER Total Low Measure Electric Annual Consumption Savings (kWh/yr)]]*COAL_LBS_PER_SITE_KWH_CES</f>
        <v>-139.16179784580441</v>
      </c>
      <c r="GL39" s="326">
        <f ca="1">Tbl_MeasureList[[#This Row],[ER Total Low Measure Electric Annual Consumption Savings (kWh/yr)]]*OIL_BTU_PER_SITE_KWH_CES/Btu_per_MMBtu</f>
        <v>-0.47169718622303913</v>
      </c>
      <c r="GM39" s="325">
        <f ca="1">Tbl_MeasureList[[#This Row],[ER Total Low Measure Electric Annual Consumption Savings (kWh/yr)]]*OIL_GAL_PER_SITE_KWH_CES</f>
        <v>-3.1823266557577661</v>
      </c>
      <c r="GN39" s="326">
        <f ca="1">Tbl_MeasureList[[#This Row],[ER Total Low Measure Oil Annual Consumption Savings (MMBtu/yr)]]*Btu_per_MMBtu/OIL_BTU_PER_GAL_CES</f>
        <v>0</v>
      </c>
      <c r="GO39" s="325">
        <f ca="1">Tbl_MeasureList[[#This Row],[CES ER Low Measure Oil Source Fuel Savings (gallons oil/year)]]+Tbl_MeasureList[[#This Row],[CES ER Low Measure Oil Site Fuel Savings (gallons oil/year)]]</f>
        <v>-3.1823266557577661</v>
      </c>
      <c r="GP39" s="326">
        <f ca="1">Tbl_MeasureList[[#This Row],[ER Total Low Measure Electric Annual Consumption Savings (kWh/yr)]]*GAS_BTU_PER_SITE_KWH_CES/Btu_per_MMBtu</f>
        <v>-13.952135523091556</v>
      </c>
      <c r="GQ39" s="327">
        <f ca="1">Tbl_MeasureList[[#This Row],[ER Total Low Measure Electric Annual Consumption Savings (kWh/yr)]]*GAS_CUFT_PER_SITE_KWH_CES/1000</f>
        <v>-13.545762643778211</v>
      </c>
      <c r="GR39" s="328">
        <f ca="1">Tbl_MeasureList[[#This Row],[ER Total Low Measure Natural Gas Annual Consumption Savings (therms/yr)]]*Btu_per_MMBtu/(GAS_BTU_PER_CUFT_CES*Therm_per_MMBtu*1000)</f>
        <v>0</v>
      </c>
      <c r="GS39" s="329">
        <f ca="1">Tbl_MeasureList[[#This Row],[CES ER Low Measure Gas Source Fuel Savings (1,000 cu.ft. gas/year)]]+Tbl_MeasureList[[#This Row],[CES ER Low Measure Gas Site Fuel Savings (1,000 cu.ft gas/year)]]</f>
        <v>-13.545762643778211</v>
      </c>
      <c r="GT39" s="324">
        <f ca="1">IFERROR(Tbl_MeasureList[[#This Row],[ER Total High Measure Electric Annual Consumption Savings (kWh/yr)]]*COAL_BTU_PER_SITE_KWH_CES/Btu_per_MMBtu,"-")</f>
        <v>-1.2593554584038977</v>
      </c>
      <c r="GU39" s="325">
        <f ca="1">IFERROR(Tbl_MeasureList[[#This Row],[ER Total High Measure Electric Annual Consumption Savings (kWh/yr)]]*COAL_LBS_PER_SITE_KWH_CES,"-")</f>
        <v>-114.36210119904628</v>
      </c>
      <c r="GV39" s="326">
        <f ca="1">IFERROR(Tbl_MeasureList[[#This Row],[ER Total High Measure Electric Annual Consumption Savings (kWh/yr)]]*OIL_BTU_PER_SITE_KWH_CES/Btu_per_MMBtu,"-")</f>
        <v>-0.38763714022950835</v>
      </c>
      <c r="GW39" s="325">
        <f ca="1">IFERROR(Tbl_MeasureList[[#This Row],[ER Total High Measure Electric Annual Consumption Savings (kWh/yr)]]*OIL_GAL_PER_SITE_KWH_CES,"-")</f>
        <v>-2.6152117081546065</v>
      </c>
      <c r="GX39" s="326">
        <f ca="1">IFERROR(Tbl_MeasureList[[#This Row],[ER Total High Measure Oil Annual Consumption Savings (MMBtu/yr)]]*Btu_per_MMBtu/OIL_BTU_PER_GAL_CES,"-")</f>
        <v>0</v>
      </c>
      <c r="GY39" s="325">
        <f ca="1">IFERROR(Tbl_MeasureList[[#This Row],[CES ER High Measure Oil Source Fuel Savings (gallons oil/year)]]+Tbl_MeasureList[[#This Row],[CES ER High Measure Oil Site Fuel Savings (gallons oil/year)]],"-")</f>
        <v>-2.6152117081546065</v>
      </c>
      <c r="GZ39" s="326">
        <f ca="1">IFERROR(Tbl_MeasureList[[#This Row],[ER Total High Measure Electric Annual Consumption Savings (kWh/yr)]]*GAS_BTU_PER_SITE_KWH_CES/Btu_per_MMBtu,"-")</f>
        <v>-11.465758270833598</v>
      </c>
      <c r="HA39" s="327">
        <f ca="1">IFERROR(Tbl_MeasureList[[#This Row],[ER Total High Measure Electric Annual Consumption Savings (kWh/yr)]]*GAS_CUFT_PER_SITE_KWH_CES/1000,"-")</f>
        <v>-11.131804146440388</v>
      </c>
      <c r="HB39" s="328">
        <f ca="1">IFERROR(Tbl_MeasureList[[#This Row],[ER Total High Measure Natural Gas Annual Consumption Savings (therms/yr)]]*Btu_per_MMBtu/(GAS_BTU_PER_CUFT_CES*Therm_per_MMBtu*1000),"-")</f>
        <v>0</v>
      </c>
      <c r="HC39" s="329">
        <f ca="1">IFERROR(Tbl_MeasureList[[#This Row],[CES ER High Measure Gas Source Fuel Savings (1,000 cu.ft. gas/year)]]+Tbl_MeasureList[[#This Row],[CES ER High Measure Gas Site Fuel Savings (1,000 cu.ft gas/year)]],"-")</f>
        <v>-11.131804146440388</v>
      </c>
      <c r="HD39" s="315">
        <f ca="1">Tbl_MeasureList[[#This Row],[ROF Low Measure Electric Annual Consumption Savings (kWh/yr)]]*COAL_BTU_PER_SITE_KWH_CES/Btu_per_MMBtu</f>
        <v>-1.5868100104587273</v>
      </c>
      <c r="HE39" s="316">
        <f ca="1">Tbl_MeasureList[[#This Row],[ROF Low Measure Electric Annual Consumption Savings (kWh/yr)]]*COAL_LBS_PER_SITE_KWH_CES</f>
        <v>-144.09825739726909</v>
      </c>
      <c r="HF39" s="317">
        <f ca="1">Tbl_MeasureList[[#This Row],[ROF Low Measure Electric Annual Consumption Savings (kWh/yr)]]*OIL_BTU_PER_SITE_KWH_CES/Btu_per_MMBtu</f>
        <v>-0.48842960931885021</v>
      </c>
      <c r="HG39" s="316">
        <f ca="1">Tbl_MeasureList[[#This Row],[ROF Low Measure Electric Annual Consumption Savings (kWh/yr)]]*OIL_GAL_PER_SITE_KWH_CES</f>
        <v>-3.295212713992675</v>
      </c>
      <c r="HH39" s="317">
        <f ca="1">Tbl_MeasureList[[#This Row],[ROF Low Measure Oil Annual Consumption Savings (MMBtu/yr)]]*Btu_per_MMBtu/OIL_BTU_PER_GAL_CES</f>
        <v>0</v>
      </c>
      <c r="HI39" s="316">
        <f ca="1">Tbl_MeasureList[[#This Row],[CES ROF Low Measure Oil Source Fuel Savings (gallons oil/year)]]+Tbl_MeasureList[[#This Row],[CES ROF Low Measure Oil Site Fuel Savings (gallons oil/year)]]</f>
        <v>-3.295212713992675</v>
      </c>
      <c r="HJ39" s="317">
        <f ca="1">Tbl_MeasureList[[#This Row],[ROF Low Measure Electric Annual Consumption Savings (kWh/yr)]]*GAS_BTU_PER_SITE_KWH_CES/Btu_per_MMBtu</f>
        <v>-14.44705692919907</v>
      </c>
      <c r="HK39" s="316">
        <f ca="1">Tbl_MeasureList[[#This Row],[ROF Low Measure Electric Annual Consumption Savings (kWh/yr)]]*GAS_CUFT_PER_SITE_KWH_CES/1000</f>
        <v>-14.02626886330007</v>
      </c>
      <c r="HL39" s="317">
        <f ca="1">Tbl_MeasureList[[#This Row],[ROF Low Measure Natural Gas Annual Consumption Savings (therms/yr)]]*Btu_per_MMBtu/(GAS_BTU_PER_CUFT_CES*Therm_per_MMBtu*1000)</f>
        <v>0</v>
      </c>
      <c r="HM39" s="318">
        <f ca="1">Tbl_MeasureList[[#This Row],[CES ROF Low Measure Gas Source Fuel Savings (1,000 cu.ft. gas/year)]]+Tbl_MeasureList[[#This Row],[CES ROF Low Measure Gas Site Fuel Savings (1,000 cu.ft gas/year)]]</f>
        <v>-14.02626886330007</v>
      </c>
      <c r="HN39" s="315">
        <f ca="1">IFERROR(Tbl_MeasureList[[#This Row],[ROF High Measure Electric Annual Consumption Savings (kWh/yr)]]*COAL_BTU_PER_SITE_KWH_CES/Btu_per_MMBtu,"-")</f>
        <v>-1.3137157509846267</v>
      </c>
      <c r="HO39" s="316">
        <f ca="1">IFERROR(Tbl_MeasureList[[#This Row],[ROF High Measure Electric Annual Consumption Savings (kWh/yr)]]*COAL_LBS_PER_SITE_KWH_CES,"-")</f>
        <v>-119.29856075051094</v>
      </c>
      <c r="HP39" s="317">
        <f ca="1">IFERROR(Tbl_MeasureList[[#This Row],[ROF High Measure Electric Annual Consumption Savings (kWh/yr)]]*OIL_BTU_PER_SITE_KWH_CES/Btu_per_MMBtu,"-")</f>
        <v>-0.40436956332531943</v>
      </c>
      <c r="HQ39" s="316">
        <f ca="1">IFERROR(Tbl_MeasureList[[#This Row],[ROF High Measure Electric Annual Consumption Savings (kWh/yr)]]*OIL_GAL_PER_SITE_KWH_CES,"-")</f>
        <v>-2.728097766389515</v>
      </c>
      <c r="HR39" s="317">
        <f ca="1">IFERROR(Tbl_MeasureList[[#This Row],[ROF High Measure Oil Annual Consumption Savings (MMBtu/yr)]]*Btu_per_MMBtu/OIL_BTU_PER_GAL_CES,"-")</f>
        <v>0</v>
      </c>
      <c r="HS39" s="316">
        <f ca="1">IFERROR(Tbl_MeasureList[[#This Row],[CES ROF High Measure Oil Source Fuel Savings (gallons oil/year)]]+Tbl_MeasureList[[#This Row],[CES ROF High Measure Oil Site Fuel Savings (gallons oil/year)]],"-")</f>
        <v>-2.728097766389515</v>
      </c>
      <c r="HT39" s="317">
        <f ca="1">IFERROR(Tbl_MeasureList[[#This Row],[ROF High Measure Electric Annual Consumption Savings (kWh/yr)]]*GAS_BTU_PER_SITE_KWH_CES/Btu_per_MMBtu,"-")</f>
        <v>-11.96067967694111</v>
      </c>
      <c r="HU39" s="316">
        <f ca="1">IFERROR(Tbl_MeasureList[[#This Row],[ROF High Measure Electric Annual Consumption Savings (kWh/yr)]]*GAS_CUFT_PER_SITE_KWH_CES/1000,"-")</f>
        <v>-11.612310365962243</v>
      </c>
      <c r="HV39" s="317">
        <f ca="1">IFERROR(Tbl_MeasureList[[#This Row],[ROF High Measure Natural Gas Annual Consumption Savings (therms/yr)]]*Btu_per_MMBtu/(GAS_BTU_PER_CUFT_CES*Therm_per_MMBtu*1000),"-")</f>
        <v>0</v>
      </c>
      <c r="HW39" s="318">
        <f ca="1">IFERROR(Tbl_MeasureList[[#This Row],[CES ROF High Measure Gas Source Fuel Savings (1,000 cu.ft. gas/year)]]+Tbl_MeasureList[[#This Row],[CES ROF High Measure Gas Site Fuel Savings (1,000 cu.ft gas/year)]],"-")</f>
        <v>-11.612310365962243</v>
      </c>
      <c r="HX39" s="346">
        <f>Tbl_MeasureList[[#This Row],[Baseline Energy Cost (USD/yr)]]-Tbl_MeasureList[[#This Row],[Code (old fuel) Energy Cost (USD/yr)]]</f>
        <v>256.79169652782821</v>
      </c>
      <c r="HY39" s="354">
        <f>0</f>
        <v>0</v>
      </c>
      <c r="HZ39" s="347">
        <f>Tbl_MeasureList[[#This Row],[Baseline Electric Annual Consumption (kWh/yr)]]-Tbl_MeasureList[[#This Row],[Code (old fuel) Electric Annual Consumption (kWh/yr)]]</f>
        <v>290.50434782608704</v>
      </c>
      <c r="IA39" s="347">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0</v>
      </c>
      <c r="IB39" s="347">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290.50434782608704</v>
      </c>
      <c r="IC39" s="355">
        <f>Tbl_MeasureList[[#This Row],[Baseline Electric Winter Peak Demand (kW)]]-Tbl_MeasureList[[#This Row],[Code (old fuel) Electric Winter Peak Demand (kW)]]</f>
        <v>0</v>
      </c>
      <c r="ID39" s="355">
        <f>Tbl_MeasureList[[#This Row],[Baseline Electric Summer Peak Demand (kW)]]-Tbl_MeasureList[[#This Row],[Code (old fuel) Electric Summer Peak Demand (kW)]]</f>
        <v>0.38399999999999967</v>
      </c>
      <c r="IE39" s="349">
        <f>Tbl_MeasureList[[#This Row],[Baseline Natural Gas Annual Consumption (therms/yr)]]-Tbl_MeasureList[[#This Row],[Code (old fuel) Natural Gas Annual Consumption (therms/yr)]]</f>
        <v>0</v>
      </c>
      <c r="IF39" s="350">
        <f>Tbl_MeasureList[[#This Row],[Baseline Propane Annual Consumption (MMBtu/yr)]]-Tbl_MeasureList[[#This Row],[Code (old fuel) Propane Annual Consumption (MMBtu/yr)]]</f>
        <v>5.5453551912568315</v>
      </c>
      <c r="IG39" s="351">
        <f>Tbl_MeasureList[[#This Row],[Baseline Oil Annual Consumption (MMBtu/yr)]]-Tbl_MeasureList[[#This Row],[Code (old fuel) Oil Annual Consumption (MMBtu/yr)]]</f>
        <v>0</v>
      </c>
      <c r="IH39" s="373">
        <f>Tbl_MeasureList[[#This Row],[Baseline Energy Consumption on MMBtu Basis (MMBtu/yr)]]-Tbl_MeasureList[[#This Row],[Code (old fuel) Energy Consumption on MMBtu Basis (MMBtu/yr)]]</f>
        <v>6.5365560260394346</v>
      </c>
      <c r="II39" s="373">
        <f>Tbl_MeasureList[[#This Row],[Baseline Carbon Emissions, Site (tons CO2/yr)]]-Tbl_MeasureList[[#This Row],[Code (old fuel) Carbon Emissions, Site (tons CO2/yr)]]</f>
        <v>0.38540218579234864</v>
      </c>
      <c r="IJ39" s="352">
        <f>Tbl_MeasureList[[#This Row],[Baseline Carbon Emissions, Source (tons CO2/yr)]]-Tbl_MeasureList[[#This Row],[Code (old fuel) Carbon Emissions, Source (tons CO2/yr)]]</f>
        <v>0.48799670127061034</v>
      </c>
      <c r="IK39" s="353">
        <f ca="1">Tbl_MeasureList[[#This Row],[Code (new fuel) Energy Cost (USD/yr)]]-Tbl_MeasureList[[#This Row],[Low Measure Energy Cost (USD/yr)]]</f>
        <v>390.01718870869695</v>
      </c>
      <c r="IL39"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9635.0256260087772</v>
      </c>
      <c r="IM39" s="358">
        <f ca="1">Tbl_MeasureList[[#This Row],[Code (old fuel) Electric Annual Consumption (kWh/yr)]]-Tbl_MeasureList[[#This Row],[Low Measure Electric Annual Consumption (kWh/yr)]]</f>
        <v>-8479.9986410602432</v>
      </c>
      <c r="IN39" s="358">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-8915.7493656979241</v>
      </c>
      <c r="IO39" s="358">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435.75072463768117</v>
      </c>
      <c r="IP39" s="355">
        <f ca="1">Tbl_MeasureList[[#This Row],[Code (old fuel) Electric Winter Peak Demand (kW)]]-Tbl_MeasureList[[#This Row],[Low Measure Electric Winter Peak Demand (kW)]]</f>
        <v>-1.6017794822627038</v>
      </c>
      <c r="IQ39" s="355">
        <f ca="1">Tbl_MeasureList[[#This Row],[Code (old fuel) Electric Summer Peak Demand (kW)]]-Tbl_MeasureList[[#This Row],[Low Measure Electric Summer Peak Demand (kW)]]</f>
        <v>1.6000000000000236E-2</v>
      </c>
      <c r="IR39" s="351">
        <f ca="1">Tbl_MeasureList[[#This Row],[Code (old fuel) Natural Gas Annual Consumption (therms/yr)]]-Tbl_MeasureList[[#This Row],[Low Measure Natural Gas Annual Consumption (therms/yr)]]</f>
        <v>0</v>
      </c>
      <c r="IS39" s="356">
        <f ca="1">Tbl_MeasureList[[#This Row],[Code (old fuel) Propane Annual Consumption (MMBtu/yr)]]-Tbl_MeasureList[[#This Row],[Low Measure Propane Annual Consumption (MMBtu/yr)]]</f>
        <v>96.721311475409834</v>
      </c>
      <c r="IT39" s="351">
        <f ca="1">Tbl_MeasureList[[#This Row],[Code (old fuel) Oil Annual Consumption (MMBtu/yr)]]-Tbl_MeasureList[[#This Row],[Low Measure Oil Annual Consumption (MMBtu/yr)]]</f>
        <v>0</v>
      </c>
      <c r="IU39" s="351">
        <f ca="1">Tbl_MeasureList[[#This Row],[Code (old fuel) Energy Consumption on MMBtu Basis (MMBtu/yr)]]-Tbl_MeasureList[[#This Row],[Low Measure Energy Consumption on MMBtu Basis (MMBtu/yr)]]</f>
        <v>67.787556112112284</v>
      </c>
      <c r="IV39" s="351">
        <f ca="1">Tbl_MeasureList[[#This Row],[Code (old fuel) Carbon Emissions, Site (tons CO2/yr)]]-Tbl_MeasureList[[#This Row],[Low Measure Carbon Emissions, Site (tons CO2/yr)]]</f>
        <v>6.722131147540984</v>
      </c>
      <c r="IW39" s="357">
        <f ca="1">Tbl_MeasureList[[#This Row],[Code (old fuel) Carbon Emissions, Source (tons CO2/yr)]]-Tbl_MeasureList[[#This Row],[Low Measure Carbon Emissions, Source (tons CO2/yr)]]</f>
        <v>3.7273348274641487</v>
      </c>
      <c r="IX39" s="3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2088.0165639110432</v>
      </c>
      <c r="IY39" s="20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10034.725626008778</v>
      </c>
      <c r="IZ39" s="35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-7020.5681270365467</v>
      </c>
      <c r="JA39" s="35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-7528.9455183408954</v>
      </c>
      <c r="JB39" s="35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508.37739130434784</v>
      </c>
      <c r="JC39" s="35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-1.7697794822627038</v>
      </c>
      <c r="JD39" s="35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1.6000000000000236E-2</v>
      </c>
      <c r="JE39" s="35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0</v>
      </c>
      <c r="JF39" s="35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96.721311475409834</v>
      </c>
      <c r="JG39" s="35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0</v>
      </c>
      <c r="JH39" s="35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72.76713302596113</v>
      </c>
      <c r="JI39" s="35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6.722131147540984</v>
      </c>
      <c r="JJ39" s="50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4.2427473077967566</v>
      </c>
      <c r="JK39" s="432">
        <f>Tbl_MeasureList[[#This Row],[ER (Retire) Electric Annual Consumption Savings (kWh/yr)]]*COAL_BTU_PER_SITE_KWH/Btu_per_MMBtu</f>
        <v>3.1976642694546462E-2</v>
      </c>
      <c r="JL39" s="428">
        <f>Tbl_MeasureList[[#This Row],[ER (Retire) Electric Annual Consumption Savings (kWh/yr)]]*COAL_LBS_PER_SITE_KWH</f>
        <v>2.8049686574163557</v>
      </c>
      <c r="JM39" s="427">
        <f>Tbl_MeasureList[[#This Row],[ER (Retire) Electric Annual Consumption Savings (kWh/yr)]]*OIL_BTU_PER_SITE_KWH/Btu_per_MMBtu</f>
        <v>3.6811330810784401E-2</v>
      </c>
      <c r="JN39" s="428">
        <f>Tbl_MeasureList[[#This Row],[ER (Retire) Electric Annual Consumption Savings (kWh/yr)]]*OIL_GAL_PER_SITE_KWH</f>
        <v>0.26685512929634558</v>
      </c>
      <c r="JO39" s="427">
        <f>Tbl_MeasureList[[#This Row],[ER (Retire) Oil Annual Consumption Savings (MMBtu/yr)]]*Btu_per_MMBtu/OIL_BTU_PER_GAL</f>
        <v>0</v>
      </c>
      <c r="JP39" s="428">
        <f ca="1">Tbl_MeasureList[[#This Row],[Current ER (Retire) Oil Source Fuel Savings (gallons oil/year)]]+Tbl_MeasureList[[#This Row],[Current ER Total Low Measure Oil Site Fuel Savings (gallons oil/year)]]</f>
        <v>0.26685512929634558</v>
      </c>
      <c r="JQ39" s="427">
        <f>Tbl_MeasureList[[#This Row],[ER (Retire) Electric Annual Consumption Savings (kWh/yr)]]*GAS_BTU_PER_SITE_KWH/Btu_per_MMBtu</f>
        <v>1.1887818087876516</v>
      </c>
      <c r="JR39" s="429">
        <f>Tbl_MeasureList[[#This Row],[ER (Retire) Electric Annual Consumption Savings (kWh/yr)]]*GAS_CUFT_PER_SITE_KWH/1000</f>
        <v>1.1552787257411581</v>
      </c>
      <c r="JS39" s="430">
        <f>Tbl_MeasureList[[#This Row],[ER (Retire) Natural Gas Annual Consumption Savings (therms/yr)]]*Btu_per_MMBtu/(GAS_BTU_PER_CUFT*Therm_per_MMBtu*1000)</f>
        <v>0</v>
      </c>
      <c r="JT39" s="431">
        <f ca="1">Tbl_MeasureList[[#This Row],[Current ER (Retire) Gas Source Fuel Savings (1,000 cu.ft. gas/year)]]+Tbl_MeasureList[[#This Row],[Current ER Total Low Measure Gas Site Fuel Savings (1,000 cu.ft gas/year)]]</f>
        <v>1.1552787257411581</v>
      </c>
      <c r="JU39" s="432">
        <f ca="1">Tbl_MeasureList[[#This Row],[ER (EE) Low Measure Electric Annual Consumption Savings (kWh/yr)]]*COAL_BTU_PER_SITE_KWH/Btu_per_MMBtu</f>
        <v>-0.93341765321101611</v>
      </c>
      <c r="JV39" s="428">
        <f ca="1">Tbl_MeasureList[[#This Row],[ER (EE) Low Measure Electric Annual Consumption Savings (kWh/yr)]]*COAL_LBS_PER_SITE_KWH</f>
        <v>-81.878741509738248</v>
      </c>
      <c r="JW39" s="427">
        <f ca="1">Tbl_MeasureList[[#This Row],[ER (EE) Low Measure Electric Annual Consumption Savings (kWh/yr)]]*OIL_BTU_PER_SITE_KWH/Btu_per_MMBtu</f>
        <v>-1.0745451405014705</v>
      </c>
      <c r="JX39" s="428">
        <f ca="1">Tbl_MeasureList[[#This Row],[ER (EE) Low Measure Electric Annual Consumption Savings (kWh/yr)]]*OIL_GAL_PER_SITE_KWH</f>
        <v>-7.7896635651996844</v>
      </c>
      <c r="JY39" s="427">
        <f ca="1">Tbl_MeasureList[[#This Row],[ER (EE) Low Measure Oil Annual Consumption Savings (MMBtu/yr)]]*Btu_per_MMBtu/OIL_BTU_PER_GAL</f>
        <v>0</v>
      </c>
      <c r="JZ39" s="428">
        <f ca="1">Tbl_MeasureList[[#This Row],[Current ER (EE) Low Measure Oil Source Fuel Savings (gallons oil/year)]]+Tbl_MeasureList[[#This Row],[Current ER (EE) Low Measure Oil Site Fuel Savings (gallons oil/year)]]</f>
        <v>-7.7896635651996844</v>
      </c>
      <c r="KA39" s="427">
        <f ca="1">Tbl_MeasureList[[#This Row],[ER (EE) Low Measure Electric Annual Consumption Savings (kWh/yr)]]*GAS_BTU_PER_SITE_KWH/Btu_per_MMBtu</f>
        <v>-34.701264192684036</v>
      </c>
      <c r="KB39" s="429">
        <f ca="1">Tbl_MeasureList[[#This Row],[ER (EE) Low Measure Electric Annual Consumption Savings (kWh/yr)]]*GAS_CUFT_PER_SITE_KWH/1000</f>
        <v>-33.723288816991293</v>
      </c>
      <c r="KC39" s="430">
        <f ca="1">Tbl_MeasureList[[#This Row],[ER (EE) Low Measure Natural Gas Annual Consumption Savings (therms/yr)]]*Btu_per_MMBtu/(GAS_BTU_PER_CUFT*Therm_per_MMBtu*1000)</f>
        <v>0</v>
      </c>
      <c r="KD39" s="431">
        <f ca="1">Tbl_MeasureList[[#This Row],[Current ER (EE) Low Measure Gas Source Fuel Savings (1,000 cu.ft. gas/year)]]+Tbl_MeasureList[[#This Row],[Current ER (EE) Low Measure Gas Site Fuel Savings (1,000 cu.ft gas/year)]]</f>
        <v>-33.723288816991293</v>
      </c>
      <c r="KE39" s="432">
        <f ca="1">IFERROR(Tbl_MeasureList[[#This Row],[ER (EE) High Measure Electric Annual Consumption Savings (kWh/yr)]]*COAL_BTU_PER_SITE_KWH/Btu_per_MMBtu,"-")</f>
        <v>-0.77277397116742752</v>
      </c>
      <c r="KF39" s="428">
        <f ca="1">IFERROR(Tbl_MeasureList[[#This Row],[ER (EE) High Measure Electric Annual Consumption Savings (kWh/yr)]]*COAL_LBS_PER_SITE_KWH,"-")</f>
        <v>-67.787190453283102</v>
      </c>
      <c r="KG39" s="427">
        <f ca="1">IFERROR(Tbl_MeasureList[[#This Row],[ER (EE) High Measure Electric Annual Consumption Savings (kWh/yr)]]*OIL_BTU_PER_SITE_KWH/Btu_per_MMBtu,"-")</f>
        <v>-0.88961303931570268</v>
      </c>
      <c r="KH39" s="428">
        <f ca="1">IFERROR(Tbl_MeasureList[[#This Row],[ER (EE) High Measure Electric Annual Consumption Savings (kWh/yr)]]*OIL_GAL_PER_SITE_KWH,"-")</f>
        <v>-6.4490415695799239</v>
      </c>
      <c r="KI39" s="427">
        <f ca="1">IFERROR(Tbl_MeasureList[[#This Row],[ER (EE) High Measure Oil Annual Consumption Savings (MMBtu/yr)]]*Btu_per_MMBtu/OIL_BTU_PER_GAL,"-")</f>
        <v>0</v>
      </c>
      <c r="KJ39" s="428">
        <f ca="1">IFERROR(Tbl_MeasureList[[#This Row],[Current ER (EE) High Measure Oil Source Fuel Savings (gallons oil/year)]]+Tbl_MeasureList[[#This Row],[Current ER (EE) High Measure Oil Site Fuel Savings (gallons oil/year)]],"-")</f>
        <v>-6.4490415695799239</v>
      </c>
      <c r="KK39" s="427">
        <f ca="1">IFERROR(Tbl_MeasureList[[#This Row],[ER (EE) High Measure Electric Annual Consumption Savings (kWh/yr)]]*GAS_BTU_PER_SITE_KWH/Btu_per_MMBtu,"-")</f>
        <v>-28.729083537750707</v>
      </c>
      <c r="KL39" s="429">
        <f ca="1">IFERROR(Tbl_MeasureList[[#This Row],[ER (EE) High Measure Electric Annual Consumption Savings (kWh/yr)]]*GAS_CUFT_PER_SITE_KWH/1000,"-")</f>
        <v>-27.919420347668321</v>
      </c>
      <c r="KM39" s="430">
        <f ca="1">IFERROR(Tbl_MeasureList[[#This Row],[ER (EE) High Measure Natural Gas Annual Consumption Savings (therms/yr)]]*Btu_per_MMBtu/(GAS_BTU_PER_CUFT*Therm_per_MMBtu*1000),"-")</f>
        <v>0</v>
      </c>
      <c r="KN39" s="431">
        <f ca="1">IFERROR(Tbl_MeasureList[[#This Row],[Current ER (EE) High Measure Gas Source Fuel Savings (1,000 cu.ft. gas/year)]]+Tbl_MeasureList[[#This Row],[Current ER (EE) High Measure Gas Site Fuel Savings (1,000 cu.ft gas/year)]],"-")</f>
        <v>-27.919420347668321</v>
      </c>
    </row>
    <row r="40" spans="2:300" x14ac:dyDescent="0.2">
      <c r="B40" s="16"/>
      <c r="C40" s="228" t="s">
        <v>1317</v>
      </c>
      <c r="D40" s="426" t="str">
        <f>INDEX(Tbl_BaselineSummary[Equipment ID],MATCH(Tbl_MeasureList[[#This Row],[Baseline ID]],Tbl_BaselineSummary[Baseline ID],0))</f>
        <v>EQUI017</v>
      </c>
      <c r="E40" s="342" t="str">
        <f>INDEX(Tbl_EquipmentDefinitions[Equipment Name],MATCH('Measure List'!$D40,Tbl_EquipmentDefinitions[Equipment ID],0))</f>
        <v>Oil Boiler+Indirect WH</v>
      </c>
      <c r="F40" s="3" t="s">
        <v>235</v>
      </c>
      <c r="G40" s="342" t="str">
        <f>INDEX(Tbl_EquipmentDefinitions[Function],MATCH('Measure List'!$D40,Tbl_EquipmentDefinitions[Equipment ID],0))</f>
        <v>Heat+HW</v>
      </c>
      <c r="H40" s="229" t="s">
        <v>111</v>
      </c>
      <c r="I40" s="3" t="s">
        <v>45</v>
      </c>
      <c r="J40" s="342" t="str">
        <f>INDEX(Tbl_EquipmentDefinitions[Equipment Name],MATCH('Measure List'!$I40,Tbl_EquipmentDefinitions[Equipment ID],0))</f>
        <v>Gas Combination Boiler</v>
      </c>
      <c r="K40" s="342">
        <f>INDEX(Tbl_EquipmentDefinitions[],MATCH(Tbl_MeasureList[[#This Row],[Replacement ID]],Tbl_EquipmentDefinitions[[Equipment ID]:[Equipment ID]],0),MATCH(Tbl_MeasureList[[#Headers],[New Unit Equipment Life (years)]],Tbl_EquipmentDefinitions[#Headers],0))</f>
        <v>19</v>
      </c>
      <c r="L40" s="342">
        <f>INDEX(Tbl_EquipmentDefinitions[],MATCH(Tbl_MeasureList[[#This Row],[Baseline Equipment ID]],Tbl_EquipmentDefinitions[[Equipment ID]:[Equipment ID]],0),MATCH(Tbl_MeasureList[[#Headers],[Remaining Life for Early Replacement (years)]],Tbl_EquipmentDefinitions[#Headers],0))</f>
        <v>10</v>
      </c>
      <c r="M40" s="344" t="str">
        <f>INDEX(Tbl_EquipmentDefinitions[Function],MATCH('Measure List'!$I40,Tbl_EquipmentDefinitions[Equipment ID],0))</f>
        <v>Heat+HW</v>
      </c>
      <c r="N40" s="381" t="s">
        <v>118</v>
      </c>
      <c r="O40" s="345" t="str">
        <f t="shared" si="0"/>
        <v>OK</v>
      </c>
      <c r="P40" s="344" t="str">
        <f ca="1">IFERROR(INDIRECT(Tbl_MeasureList[[#This Row],[Measure ID]]&amp;"!D5"),"No tab")</f>
        <v>3. Ready</v>
      </c>
      <c r="Q40" s="342" t="str">
        <f>IF(ISERR(SEARCH("+",INDEX(Tbl_EquipmentDefinitions[Fuel Type],MATCH(Tbl_MeasureList[[#This Row],[Baseline Equipment ID]],Tbl_EquipmentDefinitions[Equipment ID],0)),1)),
       INDEX(Tbl_EquipmentDefinitions[Fuel Type],MATCH(Tbl_MeasureList[[#This Row],[Baseline Equipment ID]],Tbl_EquipmentDefinitions[Equipment ID],0)),
       LEFT(INDEX(Tbl_EquipmentDefinitions[Fuel Type],MATCH(Tbl_MeasureList[[#This Row],[Baseline Equipment ID]],Tbl_EquipmentDefinitions[Equipment ID],0)),
                 SEARCH("+",INDEX(Tbl_EquipmentDefinitions[Fuel Type],MATCH(Tbl_MeasureList[[#This Row],[Baseline Equipment ID]],Tbl_EquipmentDefinitions[Equipment ID],0)),1)-1)
       )</f>
        <v>Oil</v>
      </c>
      <c r="R40" s="344" t="str">
        <f>IF(ISERR(SEARCH("+",INDEX(Tbl_EquipmentDefinitions[Fuel Type],MATCH(Tbl_MeasureList[[#This Row],[Baseline Equipment ID]],Tbl_EquipmentDefinitions[Equipment ID],0)),1)),
       "-",
       RIGHT(INDEX(Tbl_EquipmentDefinitions[Fuel Type],MATCH(Tbl_MeasureList[[#This Row],[Baseline Equipment ID]],Tbl_EquipmentDefinitions[Equipment ID],0)),
                     LEN(INDEX(Tbl_EquipmentDefinitions[Fuel Type],MATCH(Tbl_MeasureList[[#This Row],[Baseline Equipment ID]],Tbl_EquipmentDefinitions[Equipment ID],0)))
                     -SEARCH("+",INDEX(Tbl_EquipmentDefinitions[Fuel Type],MATCH(Tbl_MeasureList[[#This Row],[Baseline Equipment ID]],Tbl_EquipmentDefinitions[Equipment ID],0)),1))
       )</f>
        <v>-</v>
      </c>
      <c r="S40" s="342" t="str">
        <f>IF(ISERR(SEARCH("+",INDEX(Tbl_EquipmentDefinitions[Fuel Type],MATCH(Tbl_MeasureList[[#This Row],[Replacement ID]],Tbl_EquipmentDefinitions[Equipment ID],0)),1)),
       INDEX(Tbl_EquipmentDefinitions[Fuel Type],MATCH(Tbl_MeasureList[[#This Row],[Replacement ID]],Tbl_EquipmentDefinitions[Equipment ID],0)),
       LEFT(INDEX(Tbl_EquipmentDefinitions[Fuel Type],MATCH(Tbl_MeasureList[[#This Row],[Replacement ID]],Tbl_EquipmentDefinitions[Equipment ID],0)),
                 SEARCH("+",INDEX(Tbl_EquipmentDefinitions[Fuel Type],MATCH(Tbl_MeasureList[[#This Row],[Replacement ID]],Tbl_EquipmentDefinitions[Equipment ID],0)),1)-1)
       )</f>
        <v>Natural Gas</v>
      </c>
      <c r="T40" s="344" t="str">
        <f>IF(ISERR(SEARCH("+",INDEX(Tbl_EquipmentDefinitions[Fuel Type],MATCH(Tbl_MeasureList[[#This Row],[Replacement ID]],Tbl_EquipmentDefinitions[Equipment ID],0)),1)),
       "-",
       RIGHT(INDEX(Tbl_EquipmentDefinitions[Fuel Type],MATCH(Tbl_MeasureList[[#This Row],[Replacement ID]],Tbl_EquipmentDefinitions[Equipment ID],0)),
                     LEN(INDEX(Tbl_EquipmentDefinitions[Fuel Type],MATCH(Tbl_MeasureList[[#This Row],[Replacement ID]],Tbl_EquipmentDefinitions[Equipment ID],0)))
                     -SEARCH("+",INDEX(Tbl_EquipmentDefinitions[Fuel Type],MATCH(Tbl_MeasureList[[#This Row],[Replacement ID]],Tbl_EquipmentDefinitions[Equipment ID],0)),1))
       )</f>
        <v>-</v>
      </c>
      <c r="U40" s="346">
        <f>INDEX(Tbl_BaselineSummary[Baseline Annual Energy Cost (USD)],MATCH(Tbl_MeasureList[[#This Row],[Baseline ID]],Tbl_BaselineSummary[Baseline ID],0))</f>
        <v>2766.9662989400827</v>
      </c>
      <c r="V40" s="347">
        <f>INDEX(Tbl_BaselineSummary[Baseline Electric Annual Consumption  (kWh)],MATCH(Tbl_MeasureList[[#This Row],[Baseline ID]],Tbl_BaselineSummary[Baseline ID],0))</f>
        <v>230</v>
      </c>
      <c r="W40" s="347" t="str">
        <f>INDEX(Tbl_BaselineSummary[Baseline Electric Winter Consumption (kWh)],MATCH(Tbl_MeasureList[[#This Row],[Baseline ID]],Tbl_BaselineSummary[Baseline ID],0))</f>
        <v>n/a</v>
      </c>
      <c r="X40" s="347" t="str">
        <f>INDEX(Tbl_BaselineSummary[Baseline Electric Summer Consumption (kWh)],MATCH(Tbl_MeasureList[[#This Row],[Baseline ID]],Tbl_BaselineSummary[Baseline ID],0))</f>
        <v>n/a</v>
      </c>
      <c r="Y40" s="348">
        <f>INDEX(Tbl_BaselineSummary[Baseline Electric Baseline Winter Peak Demand (kW)],MATCH(Tbl_MeasureList[[#This Row],[Baseline ID]],Tbl_BaselineSummary[Baseline ID],0))</f>
        <v>3.5282837967401733E-2</v>
      </c>
      <c r="Z40" s="453">
        <f>INDEX(Tbl_BaselineSummary[Baseline Electric Baseline Summer Peak Demand (kW)],MATCH(Tbl_MeasureList[[#This Row],[Baseline ID]],Tbl_BaselineSummary[Baseline ID],0))</f>
        <v>0</v>
      </c>
      <c r="AA40" s="459">
        <f>INDEX(Tbl_BaselineSummary[Baseline Natural Gas Annual Consumption  (therms)],MATCH(Tbl_MeasureList[[#This Row],[Baseline ID]],Tbl_BaselineSummary[Baseline ID],0))</f>
        <v>0</v>
      </c>
      <c r="AB40" s="456">
        <f>INDEX(Tbl_BaselineSummary[Baseline Propane Annual Consumption  (MMBtu)],MATCH(Tbl_MeasureList[[#This Row],[Baseline ID]],Tbl_BaselineSummary[Baseline ID],0))</f>
        <v>0</v>
      </c>
      <c r="AC40" s="350">
        <f>INDEX(Tbl_BaselineSummary[Baseline Oil Annual Consumption  (MMBtu)],MATCH(Tbl_MeasureList[[#This Row],[Baseline ID]],Tbl_BaselineSummary[Baseline ID],0))</f>
        <v>123.19440000000002</v>
      </c>
      <c r="AD40" s="373">
        <f>IFERROR(SUM(
           Tbl_MeasureList[[#This Row],[Baseline Electric Annual Consumption (kWh/yr)]]/(Btu_per_MMBtu*KWH_PER_BTU),
           Tbl_MeasureList[[#This Row],[Baseline Natural Gas Annual Consumption (therms/yr)]]/Therm_per_MMBtu,
           Tbl_MeasureList[[#This Row],[Baseline Propane Annual Consumption (MMBtu/yr)]],
           Tbl_MeasureList[[#This Row],[Baseline Oil Annual Consumption (MMBtu/yr)]]),"-")</f>
        <v>123.97916000000002</v>
      </c>
      <c r="AE40" s="461">
        <f>(lbCO2_per_Therm_Gas*Tbl_MeasureList[[#This Row],[Baseline Natural Gas Annual Consumption (therms/yr)]]+lbCO2_per_MMBtu_Prop*Tbl_MeasureList[[#This Row],[Baseline Propane Annual Consumption (MMBtu/yr)]]+lbCO2_per_MMBtu_Oil*Tbl_MeasureList[[#This Row],[Baseline Oil Annual Consumption (MMBtu/yr)]])*Lbs_per_ShortTon</f>
        <v>9.9356283600000026</v>
      </c>
      <c r="AF40" s="464">
        <f>(lbCO2_per_MWh_Elec*Tbl_MeasureList[[#This Row],[Baseline Electric Annual Consumption (kWh/yr)]]/kWh_per_MWh+lbCO2_per_Therm_Gas*Tbl_MeasureList[[#This Row],[Baseline Natural Gas Annual Consumption (therms/yr)]]+lbCO2_per_MMBtu_Prop*Tbl_MeasureList[[#This Row],[Baseline Propane Annual Consumption (MMBtu/yr)]]+lbCO2_per_MMBtu_Oil*Tbl_MeasureList[[#This Row],[Baseline Oil Annual Consumption (MMBtu/yr)]])*Lbs_per_ShortTon</f>
        <v>10.016855160000002</v>
      </c>
      <c r="AG40" s="466">
        <f>INDEX(Tbl_BaselineSummary[Code Annual Energy Cost (USD)],MATCH(Tbl_MeasureList[[#This Row],[Baseline ID]],Tbl_BaselineSummary[Baseline ID],0))</f>
        <v>2470.5056240536455</v>
      </c>
      <c r="AH40" s="469">
        <f>INDEX(Tbl_BaselineSummary[Deferred Replacement Credit (USD)],MATCH(Tbl_MeasureList[[#This Row],[Baseline ID]],Tbl_BaselineSummary[Baseline ID],0))</f>
        <v>4498.9953369271116</v>
      </c>
      <c r="AI40" s="354">
        <f>INDEX(Tbl_BaselineSummary[A/C-only Deferred Replacement Credit (USD)],MATCH(Tbl_MeasureList[[#This Row],[Baseline ID]],Tbl_BaselineSummary[Baseline ID],0))</f>
        <v>0</v>
      </c>
      <c r="AJ40" s="469">
        <f>INDEX(Tbl_BaselineSummary[Code Installed Costs (USD)],MATCH(Tbl_MeasureList[[#This Row],[Baseline ID]],Tbl_BaselineSummary[Baseline ID],0))</f>
        <v>10452</v>
      </c>
      <c r="AK40" s="354">
        <f>INDEX(Tbl_BaselineSummary[Code A/C-only Installed Cost (USD)],MATCH(Tbl_MeasureList[[#This Row],[Baseline ID]],Tbl_BaselineSummary[Baseline ID],0))</f>
        <v>0</v>
      </c>
      <c r="AL40" s="347">
        <f>INDEX(Tbl_BaselineSummary[Code Electric Annual Consumption (kWh)],MATCH(Tbl_MeasureList[[#This Row],[Baseline ID]],Tbl_BaselineSummary[Baseline ID],0))</f>
        <v>230</v>
      </c>
      <c r="AM40" s="347" t="str">
        <f>INDEX(Tbl_BaselineSummary[Code Electric Winter Consumption (kWh)],MATCH(Tbl_MeasureList[[#This Row],[Baseline ID]],Tbl_BaselineSummary[Baseline ID],0))</f>
        <v>n/a</v>
      </c>
      <c r="AN40" s="347" t="str">
        <f>INDEX(Tbl_BaselineSummary[Code Electric Summer Consumption (kWh)],MATCH(Tbl_MeasureList[[#This Row],[Baseline ID]],Tbl_BaselineSummary[Baseline ID],0))</f>
        <v>n/a</v>
      </c>
      <c r="AO40" s="355">
        <f>INDEX(Tbl_BaselineSummary[Code Electric Winter Peak Demand (kW)],MATCH(Tbl_MeasureList[[#This Row],[Baseline ID]],Tbl_BaselineSummary[Baseline ID],0))</f>
        <v>3.5282837967401733E-2</v>
      </c>
      <c r="AP40" s="471">
        <f>INDEX(Tbl_BaselineSummary[Code Electric Summer Peak Demand (kW)],MATCH(Tbl_MeasureList[[#This Row],[Baseline ID]],Tbl_BaselineSummary[Baseline ID],0))</f>
        <v>0</v>
      </c>
      <c r="AQ40" s="350">
        <f>INDEX(Tbl_BaselineSummary[Code Natural Gas Annual Consumption (therms)],MATCH(Tbl_MeasureList[[#This Row],[Baseline ID]],Tbl_BaselineSummary[Baseline ID],0))</f>
        <v>0</v>
      </c>
      <c r="AR40" s="473">
        <f>INDEX(Tbl_BaselineSummary[Code Propane Annual Consumption (MMBtu)],MATCH(Tbl_MeasureList[[#This Row],[Baseline ID]],Tbl_BaselineSummary[Baseline ID],0))</f>
        <v>0</v>
      </c>
      <c r="AS40" s="350">
        <f>INDEX(Tbl_BaselineSummary[Code Oil Annual Consumption (MMBtu)],MATCH(Tbl_MeasureList[[#This Row],[Baseline ID]],Tbl_BaselineSummary[Baseline ID],0))</f>
        <v>109.99500000000002</v>
      </c>
      <c r="AT40" s="351">
        <f>IFERROR(SUM(
           Tbl_MeasureList[[#This Row],[Code (old fuel) Electric Annual Consumption (kWh/yr)]]/(Btu_per_MMBtu*KWH_PER_BTU),
           Tbl_MeasureList[[#This Row],[Code (old fuel) Natural Gas Annual Consumption (therms/yr)]]/Therm_per_MMBtu,
           Tbl_MeasureList[[#This Row],[Code (old fuel) Propane Annual Consumption (MMBtu/yr)]],
           Tbl_MeasureList[[#This Row],[Code (old fuel) Oil Annual Consumption (MMBtu/yr)]]),"-")</f>
        <v>110.77976000000002</v>
      </c>
      <c r="AU40" s="350">
        <f>(lbCO2_per_Therm_Gas*Tbl_MeasureList[[#This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8.8710967500000031</v>
      </c>
      <c r="AV40" s="475">
        <f>(lbCO2_per_MWh_Elec*Tbl_MeasureList[[#This Row],[Code (old fuel) Electric Annual Consumption (kWh/yr)]]/kWh_per_MWh+lbCO2_per_Therm_Gas*Tbl_MeasureList[[#This Row],[Code (old fuel) Natural Gas Annual Consumption (therms/yr)]]+lbCO2_per_MMBtu_Prop*Tbl_MeasureList[[#This Row],[Code (old fuel) Propane Annual Consumption (MMBtu/yr)]]+lbCO2_per_MMBtu_Oil*Tbl_MeasureList[[#This Row],[Code (old fuel) Oil Annual Consumption (MMBtu/yr)]])*Lbs_per_ShortTon</f>
        <v>8.9523235500000027</v>
      </c>
      <c r="AW40" s="346">
        <f ca="1">INDIRECT(Tbl_MeasureList[[#This Row],[Measure ID]]&amp;"!L26")</f>
        <v>1688.8295333333335</v>
      </c>
      <c r="AX40" s="469">
        <f ca="1">INDIRECT(Tbl_MeasureList[[#This Row],[Measure ID]]&amp;"!M26")</f>
        <v>16130</v>
      </c>
      <c r="AY40" s="482">
        <f ca="1">INDIRECT(Tbl_MeasureList[[#This Row],[Measure ID]]&amp;"!D26")</f>
        <v>329</v>
      </c>
      <c r="AZ40" s="482" t="str">
        <f ca="1">INDIRECT(Tbl_MeasureList[[#This Row],[Measure ID]]&amp;"!J26")</f>
        <v>n/a</v>
      </c>
      <c r="BA40" s="482" t="str">
        <f ca="1">INDIRECT(Tbl_MeasureList[[#This Row],[Measure ID]]&amp;"!I26")</f>
        <v>n/a</v>
      </c>
      <c r="BB40" s="471">
        <f ca="1">INDIRECT(Tbl_MeasureList[[#This Row],[Measure ID]]&amp;"!E26")</f>
        <v>5.0469798657718119E-2</v>
      </c>
      <c r="BC40" s="355">
        <f ca="1">INDIRECT(Tbl_MeasureList[[#This Row],[Measure ID]]&amp;"!H26")</f>
        <v>0</v>
      </c>
      <c r="BD40" s="351">
        <f ca="1">INDIRECT(Tbl_MeasureList[[#This Row],[Measure ID]]&amp;"!D32")</f>
        <v>1006.6666666666667</v>
      </c>
      <c r="BE40" s="356">
        <f ca="1">INDIRECT(Tbl_MeasureList[[#This Row],[Measure ID]]&amp;"!D38")</f>
        <v>0</v>
      </c>
      <c r="BF40" s="351">
        <f ca="1">INDIRECT(Tbl_MeasureList[[#This Row],[Measure ID]]&amp;"!D44")</f>
        <v>0</v>
      </c>
      <c r="BG40" s="461">
        <f ca="1">IFERROR(SUM(
           Tbl_MeasureList[[#This Row],[Code (new fuel) Electric Annual Consumption (kWh/yr)]]/(Btu_per_MMBtu*KWH_PER_BTU),
           Tbl_MeasureList[[#This Row],[Code (new fuel) Natural Gas Annual Consumption (therms/yr)]]/Therm_per_MMBtu,
           Tbl_MeasureList[[#This Row],[Code (new fuel) Propane Annual Consumption (MMBtu/yr)]],
           Tbl_MeasureList[[#This Row],[Code (new fuel) Oil Annual Consumption (MMBtu/yr)]]),"-")</f>
        <v>101.78921466666667</v>
      </c>
      <c r="BH40" s="373">
        <f ca="1">(lbCO2_per_Therm_Gas*Tbl_MeasureList[[#This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5.8890000000000002</v>
      </c>
      <c r="BI40" s="359">
        <f ca="1">(lbCO2_per_MWh_Elec*Tbl_MeasureList[[#This Row],[Code (new fuel) Electric Annual Consumption (kWh/yr)]]/kWh_per_MWh+lbCO2_per_Therm_Gas*Tbl_MeasureList[[#This Row],[Code (new fuel) Natural Gas Annual Consumption (therms/yr)]]+lbCO2_per_MMBtu_Prop*Tbl_MeasureList[[#This Row],[Code (new fuel) Propane Annual Consumption (MMBtu/yr)]]+lbCO2_per_MMBtu_Oil*Tbl_MeasureList[[#This Row],[Code (new fuel) Oil Annual Consumption (MMBtu/yr)]])*Lbs_per_ShortTon</f>
        <v>6.0051896399999993</v>
      </c>
      <c r="BJ40" s="353">
        <f ca="1">INDIRECT(Tbl_MeasureList[[#This Row],[Measure ID]]&amp;"!L27")</f>
        <v>1688.8295333333335</v>
      </c>
      <c r="BK40" s="354">
        <f ca="1">INDIRECT(Tbl_MeasureList[[#This Row],[Measure ID]]&amp;"!M27")</f>
        <v>16130</v>
      </c>
      <c r="BL40" s="358">
        <f ca="1">INDIRECT(Tbl_MeasureList[[#This Row],[Measure ID]]&amp;"!D27")</f>
        <v>329</v>
      </c>
      <c r="BM40" s="358" t="str">
        <f ca="1">INDIRECT(Tbl_MeasureList[[#This Row],[Measure ID]]&amp;"!J27")</f>
        <v>n/a</v>
      </c>
      <c r="BN40" s="358" t="str">
        <f ca="1">INDIRECT(Tbl_MeasureList[[#This Row],[Measure ID]]&amp;"!I27")</f>
        <v>n/a</v>
      </c>
      <c r="BO40" s="355">
        <f ca="1">INDIRECT(Tbl_MeasureList[[#This Row],[Measure ID]]&amp;"!E27")</f>
        <v>5.0469798657718119E-2</v>
      </c>
      <c r="BP40" s="471">
        <f ca="1">INDIRECT(Tbl_MeasureList[[#This Row],[Measure ID]]&amp;"!H27")</f>
        <v>0</v>
      </c>
      <c r="BQ40" s="350">
        <f ca="1">INDIRECT(Tbl_MeasureList[[#This Row],[Measure ID]]&amp;"!D33")</f>
        <v>1006.6666666666667</v>
      </c>
      <c r="BR40" s="473">
        <f ca="1">INDIRECT(Tbl_MeasureList[[#This Row],[Measure ID]]&amp;"!D39")</f>
        <v>0</v>
      </c>
      <c r="BS40" s="350">
        <f ca="1">INDIRECT(Tbl_MeasureList[[#This Row],[Measure ID]]&amp;"!D45")</f>
        <v>0</v>
      </c>
      <c r="BT40" s="351">
        <f ca="1">IFERROR(SUM(
           Tbl_MeasureList[[#This Row],[Low Measure Electric Annual Consumption (kWh/yr)]]/(Btu_per_MMBtu*KWH_PER_BTU),
           Tbl_MeasureList[[#This Row],[Low Measure Natural Gas Annual Consumption (therms/yr)]]/Therm_per_MMBtu,
           Tbl_MeasureList[[#This Row],[Low Measure Propane Annual Consumption (MMBtu/yr)]],
           Tbl_MeasureList[[#This Row],[Low Measure Oil Annual Consumption (MMBtu/yr)]]),"-")</f>
        <v>101.78921466666667</v>
      </c>
      <c r="BU40" s="350">
        <f ca="1">(lbCO2_per_Therm_Gas*Tbl_MeasureList[[#This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5.8890000000000002</v>
      </c>
      <c r="BV40" s="357">
        <f ca="1">(lbCO2_per_MWh_Elec*Tbl_MeasureList[[#This Row],[Low Measure Electric Annual Consumption (kWh/yr)]]/kWh_per_MWh+lbCO2_per_Therm_Gas*Tbl_MeasureList[[#This Row],[Low Measure Natural Gas Annual Consumption (therms/yr)]]+lbCO2_per_MMBtu_Prop*Tbl_MeasureList[[#This Row],[Low Measure Propane Annual Consumption (MMBtu/yr)]]+lbCO2_per_MMBtu_Oil*Tbl_MeasureList[[#This Row],[Low Measure Oil Annual Consumption (MMBtu/yr)]])*Lbs_per_ShortTon</f>
        <v>6.0051896399999993</v>
      </c>
      <c r="BW40" s="34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ID]]&amp;"!L28"),
       "-")</f>
        <v>1600.0062315789478</v>
      </c>
      <c r="BX40" s="354">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ID]]&amp;"!M28"),
        "-")</f>
        <v>16130</v>
      </c>
      <c r="BY40" s="48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ID]]&amp;"!D28"),
       "-")</f>
        <v>312</v>
      </c>
      <c r="BZ40" s="486"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ID]]&amp;"!J28"),
       "-")</f>
        <v>n/a</v>
      </c>
      <c r="CA40" s="486"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ID]]&amp;"!I28"),
       "-")</f>
        <v>n/a</v>
      </c>
      <c r="CB40" s="35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ID]]&amp;"!E28"),
         "-")</f>
        <v>4.7861936720997124E-2</v>
      </c>
      <c r="CC40" s="35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ID]]&amp;"!H28"),
         "-")</f>
        <v>0</v>
      </c>
      <c r="CD40" s="35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ID]]&amp;"!D34"),
        "-")</f>
        <v>953.68421052631595</v>
      </c>
      <c r="CE40" s="35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ID]]&amp;"!D40"),
       "-")</f>
        <v>0</v>
      </c>
      <c r="CF40" s="35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INDIRECT(Tbl_MeasureList[[#This Row],[Measure ID]]&amp;"!D46"),
       "-")</f>
        <v>0</v>
      </c>
      <c r="CG40" s="461">
        <f ca="1">IFERROR(SUM(
           Tbl_MeasureList[[#This Row],[High Measure Electric Annual Consumption (kWh/yr)]]/(Btu_per_MMBtu*KWH_PER_BTU),
           Tbl_MeasureList[[#This Row],[High Measure Natural Gas Annual Consumption (therms/yr)]]/Therm_per_MMBtu,
           Tbl_MeasureList[[#This Row],[High Measure Propane Annual Consumption (MMBtu/yr)]],
           Tbl_MeasureList[[#This Row],[High Measure Oil Annual Consumption (MMBtu/yr)]]),"-")</f>
        <v>96.432965052631587</v>
      </c>
      <c r="CH40" s="37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5.5790526315789482</v>
      </c>
      <c r="CI40" s="35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(lbCO2_per_MWh_Elec*Tbl_MeasureList[[#This Row],[High Measure Electric Annual Consumption (kWh/yr)]]/kWh_per_MWh+lbCO2_per_Therm_Gas*Tbl_MeasureList[[#This Row],[High Measure Natural Gas Annual Consumption (therms/yr)]]+lbCO2_per_MMBtu_Prop*Tbl_MeasureList[[#This Row],[High Measure Propane Annual Consumption (MMBtu/yr)]]+lbCO2_per_MMBtu_Oil*Tbl_MeasureList[[#This Row],[High Measure Oil Annual Consumption (MMBtu/yr)]])*Lbs_per_ShortTon,
        "-")</f>
        <v>5.6892385515789483</v>
      </c>
      <c r="CJ40" s="320">
        <f ca="1">-Tbl_MeasureList[[#This Row],[Low Measure Energy Cost (USD/yr)]]+Tbl_MeasureList[[#This Row],[Baseline Energy Cost (USD/yr)]]</f>
        <v>1078.1367656067491</v>
      </c>
      <c r="CK40" s="267">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11631.004663072888</v>
      </c>
      <c r="CL40" s="249">
        <f ca="1">-Tbl_MeasureList[[#This Row],[Low Measure Electric Annual Consumption (kWh/yr)]]+Tbl_MeasureList[[#This Row],[Baseline Electric Annual Consumption (kWh/yr)]]</f>
        <v>-99</v>
      </c>
      <c r="CM40" s="249" t="str">
        <f ca="1">IF(OR(Tbl_MeasureList[[#This Row],[Low Measure Electric Winter Consumption (kWh/yr)]]="n/a",Tbl_MeasureList[[#This Row],[Baseline Electric Winter Consumption (kWh/yr)]]="n/a"),"-",-Tbl_MeasureList[[#This Row],[Low Measure Electric Winter Consumption (kWh/yr)]]+Tbl_MeasureList[[#This Row],[Baseline Electric Winter Consumption (kWh/yr)]])</f>
        <v>-</v>
      </c>
      <c r="CN40" s="249" t="str">
        <f ca="1">IF(OR(Tbl_MeasureList[[#This Row],[Low Measure Electric Summer Consumption (kWh/yr)]]="n/a",Tbl_MeasureList[[#This Row],[Baseline Electric Summer Consumption (kWh/yr)]]="n/a"),"-",-Tbl_MeasureList[[#This Row],[Low Measure Electric Summer Consumption (kWh/yr)]]+Tbl_MeasureList[[#This Row],[Baseline Electric Summer Consumption (kWh/yr)]])</f>
        <v>-</v>
      </c>
      <c r="CO40" s="268">
        <f ca="1">-Tbl_MeasureList[[#This Row],[Low Measure Electric Winter Peak Demand (kW)]]+Tbl_MeasureList[[#This Row],[Baseline Electric Winter Peak Demand (kW)]]</f>
        <v>-1.5186960690316387E-2</v>
      </c>
      <c r="CP40" s="479">
        <f ca="1">-Tbl_MeasureList[[#This Row],[Low Measure Electric Summer Peak Demand (kW)]]+Tbl_MeasureList[[#This Row],[Baseline Electric Summer Peak Demand (kW)]]</f>
        <v>0</v>
      </c>
      <c r="CQ40" s="481">
        <f ca="1">-Tbl_MeasureList[[#This Row],[Low Measure Natural Gas Annual Consumption (therms/yr)]]+Tbl_MeasureList[[#This Row],[Baseline Natural Gas Annual Consumption (therms/yr)]]</f>
        <v>-1006.6666666666667</v>
      </c>
      <c r="CR40" s="490">
        <f ca="1">-Tbl_MeasureList[[#This Row],[Low Measure Propane Annual Consumption (MMBtu/yr)]]+Tbl_MeasureList[[#This Row],[Baseline Propane Annual Consumption (MMBtu/yr)]]</f>
        <v>0</v>
      </c>
      <c r="CS40" s="252">
        <f ca="1">-Tbl_MeasureList[[#This Row],[Low Measure Oil Annual Consumption (MMBtu/yr)]]+Tbl_MeasureList[[#This Row],[Baseline Oil Annual Consumption (MMBtu/yr)]]</f>
        <v>123.19440000000002</v>
      </c>
      <c r="CT40" s="490">
        <f ca="1">SUM(
           Tbl_MeasureList[[#This Row],[ER Total Low Measure Electric Annual Consumption Savings (kWh/yr)]]/(Btu_per_MMBtu*KWH_PER_BTU),
           Tbl_MeasureList[[#This Row],[ER Total Low Measure Natural Gas Annual Consumption Savings (therms/yr)]]/Therm_per_MMBtu,
           Tbl_MeasureList[[#This Row],[ER Total Low Measure Propane Annual Consumption Savings (MMBtu/yr)]],
           Tbl_MeasureList[[#This Row],[ER Total Low Measure Oil Annual Consumption Savings (MMBtu/yr)]])</f>
        <v>22.189945333333341</v>
      </c>
      <c r="CU40" s="487">
        <f ca="1">-Tbl_MeasureList[[#This Row],[Low Measure Carbon Emissions, Site (tons CO2/yr)]]+Tbl_MeasureList[[#This Row],[Baseline Carbon Emissions, Site (tons CO2/yr)]]</f>
        <v>4.0466283600000024</v>
      </c>
      <c r="CV40" s="491">
        <f ca="1">-Tbl_MeasureList[[#This Row],[Low Measure Carbon Emissions, Source (tons CO2/yr)]]+Tbl_MeasureList[[#This Row],[Baseline Carbon Emissions, Source (tons CO2/yr)]]</f>
        <v>4.0116655200000029</v>
      </c>
      <c r="CW40"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Row],[Baseline Energy Cost (USD/yr)]],
        "-")</f>
        <v>1166.9600673611349</v>
      </c>
      <c r="CX40"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11631.004663072888</v>
      </c>
      <c r="CY40"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Row],[Baseline Electric Annual Consumption (kWh/yr)]],
       "-")</f>
        <v>-82</v>
      </c>
      <c r="CZ40"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Row],[Baseline Electric Winter Consumption (kWh/yr)]]="n/a"),"-",-Tbl_MeasureList[[#This Row],[High Measure Electric Winter Consumption (kWh/yr)]]+Tbl_MeasureList[[#This Row],[Baseline Electric Winter Consumption (kWh/yr)]]),
       "-")</f>
        <v>-</v>
      </c>
      <c r="DA40"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Row],[Baseline Electric Summer Consumption (kWh/yr)]]="n/a"),"-",-Tbl_MeasureList[[#This Row],[High Measure Electric Summer Consumption (kWh/yr)]]+Tbl_MeasureList[[#This Row],[Baseline Electric Summer Consumption (kWh/yr)]]),
       "-")</f>
        <v>-</v>
      </c>
      <c r="DB40"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Row],[Baseline Electric Winter Peak Demand (kW)]],
        "-")</f>
        <v>-1.2579098753595391E-2</v>
      </c>
      <c r="DC40"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Row],[Baseline Electric Summer Peak Demand (kW)]],
        "-")</f>
        <v>0</v>
      </c>
      <c r="DD40"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Row],[Baseline Natural Gas Annual Consumption (therms/yr)]],
        "-")</f>
        <v>-953.68421052631595</v>
      </c>
      <c r="DE40"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Row],[Baseline Propane Annual Consumption (MMBtu/yr)]],
        "-")</f>
        <v>0</v>
      </c>
      <c r="DF40"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Row],[Baseline Oil Annual Consumption (MMBtu/yr)]],
        "-")</f>
        <v>123.19440000000002</v>
      </c>
      <c r="DG40" s="270">
        <f ca="1">IFERROR(SUM(
           Tbl_MeasureList[[#This Row],[ER Total High Measure Electric Annual Consumption Savings (kWh/yr)]]/(Btu_per_MMBtu*KWH_PER_BTU),
           Tbl_MeasureList[[#This Row],[ER Total High Measure Natural Gas Annual Consumption Savings (therms/yr)]]/Therm_per_MMBtu,
           Tbl_MeasureList[[#This Row],[ER Total High Measure Propane Annual Consumption Savings (MMBtu/yr)]],
           Tbl_MeasureList[[#This Row],[ER Total High Measure Oil Annual Consumption Savings (MMBtu/yr)]]),"-")</f>
        <v>27.54619494736842</v>
      </c>
      <c r="DH40"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Row],[Baseline Carbon Emissions, Site (tons CO2/yr)]],
        "-")</f>
        <v>4.3565757284210544</v>
      </c>
      <c r="DI40"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Row],[Baseline Carbon Emissions, Source (tons CO2/yr)]],
        "-")</f>
        <v>4.3276166084210539</v>
      </c>
      <c r="DJ40" s="320">
        <f ca="1">-Tbl_MeasureList[[#This Row],[Low Measure Energy Cost (USD/yr)]]+Tbl_MeasureList[[#This Row],[Code (old fuel) Energy Cost (USD/yr)]]</f>
        <v>781.676090720312</v>
      </c>
      <c r="DK40" s="267">
        <f ca="1">Tbl_MeasureList[[#This Row],[Low Measure Installed Costs (USD)]]-Tbl_MeasureList[[#This Row],[Code (old fuel) Installed Costs (USD)]]</f>
        <v>5678</v>
      </c>
      <c r="DL40" s="249">
        <f ca="1">-Tbl_MeasureList[[#This Row],[Low Measure Electric Annual Consumption (kWh/yr)]]+Tbl_MeasureList[[#This Row],[Code (old fuel) Electric Annual Consumption (kWh/yr)]]</f>
        <v>-99</v>
      </c>
      <c r="DM40" s="249" t="str">
        <f ca="1">IF(OR(Tbl_MeasureList[[#This Row],[Low Measure Electric Winter Consumption (kWh/yr)]]="n/a",Tbl_MeasureList[[#This Row],[Code (old fuel) Electric Winter Consumption (kWh/yr)]]="n/a"),"-",-Tbl_MeasureList[[#This Row],[Low Measure Electric Winter Consumption (kWh/yr)]]+Tbl_MeasureList[[#This Row],[Code (old fuel) Electric Winter Consumption (kWh/yr)]])</f>
        <v>-</v>
      </c>
      <c r="DN40" s="249" t="str">
        <f ca="1">IF(OR(Tbl_MeasureList[[#This Row],[Low Measure Electric Summer Consumption (kWh/yr)]]="n/a",Tbl_MeasureList[[#This Row],[Code (old fuel) Electric Summer Consumption (kWh/yr)]]="n/a"),"-",-Tbl_MeasureList[[#This Row],[Low Measure Electric Summer Consumption (kWh/yr)]]+Tbl_MeasureList[[#This Row],[Code (old fuel) Electric Summer Consumption (kWh/yr)]])</f>
        <v>-</v>
      </c>
      <c r="DO40" s="268">
        <f ca="1">-Tbl_MeasureList[[#This Row],[Low Measure Electric Winter Peak Demand (kW)]]+Tbl_MeasureList[[#This Row],[Code (old fuel) Electric Winter Peak Demand (kW)]]</f>
        <v>-1.5186960690316387E-2</v>
      </c>
      <c r="DP40" s="479">
        <f ca="1">-Tbl_MeasureList[[#This Row],[Low Measure Electric Summer Peak Demand (kW)]]+Tbl_MeasureList[[#This Row],[Code (old fuel) Electric Summer Peak Demand (kW)]]</f>
        <v>0</v>
      </c>
      <c r="DQ40" s="481">
        <f ca="1">-Tbl_MeasureList[[#This Row],[Low Measure Natural Gas Annual Consumption (therms/yr)]]+Tbl_MeasureList[[#This Row],[Code (old fuel) Natural Gas Annual Consumption (therms/yr)]]</f>
        <v>-1006.6666666666667</v>
      </c>
      <c r="DR40" s="490">
        <f ca="1">-Tbl_MeasureList[[#This Row],[Low Measure Propane Annual Consumption (MMBtu/yr)]]+Tbl_MeasureList[[#This Row],[Code (old fuel) Propane Annual Consumption (MMBtu/yr)]]</f>
        <v>0</v>
      </c>
      <c r="DS40" s="252">
        <f ca="1">-Tbl_MeasureList[[#This Row],[Low Measure Oil Annual Consumption (MMBtu/yr)]]+Tbl_MeasureList[[#This Row],[Code (old fuel) Oil Annual Consumption (MMBtu/yr)]]</f>
        <v>109.99500000000002</v>
      </c>
      <c r="DT40" s="490">
        <f ca="1">SUM(
           Tbl_MeasureList[[#This Row],[ROF Low Measure Electric Annual Consumption Savings (kWh/yr)]]/(Btu_per_MMBtu*KWH_PER_BTU),
           Tbl_MeasureList[[#This Row],[ROF Low Measure Natural Gas Annual Consumption Savings (therms/yr)]]/Therm_per_MMBtu,
           Tbl_MeasureList[[#This Row],[ROF Low Measure Propane Annual Consumption Savings (MMBtu/yr)]],
           Tbl_MeasureList[[#This Row],[ROF Low Measure Oil Annual Consumption Savings (MMBtu/yr)]])</f>
        <v>8.990545333333344</v>
      </c>
      <c r="DU40" s="487">
        <f ca="1">-Tbl_MeasureList[[#This Row],[Low Measure Carbon Emissions, Site (tons CO2/yr)]]+Tbl_MeasureList[[#This Row],[Code (old fuel) Carbon Emissions, Site (tons CO2/yr)]]</f>
        <v>2.9820967500000028</v>
      </c>
      <c r="DV40" s="491">
        <f ca="1">-Tbl_MeasureList[[#This Row],[Low Measure Carbon Emissions, Source (tons CO2/yr)]]+Tbl_MeasureList[[#This Row],[Code (old fuel) Carbon Emissions, Source (tons CO2/yr)]]</f>
        <v>2.9471339100000034</v>
      </c>
      <c r="DW40" s="48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Energy Cost (USD/yr)]]+Tbl_MeasureList[[#This Row],[Code (new fuel) Energy Cost (USD/yr)]],
        "-")</f>
        <v>88.823301754385739</v>
      </c>
      <c r="DX40" s="477">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Installed Costs (USD)]]-Tbl_MeasureList[[#This Row],[Code (old fuel) Installed Costs (USD)]],
        "-")</f>
        <v>5678</v>
      </c>
      <c r="DY40" s="48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Annual Consumption (kWh/yr)]]+Tbl_MeasureList[[#This Row],[Code (old fuel) Electric Annual Consumption (kWh/yr)]],
        "-")</f>
        <v>-82</v>
      </c>
      <c r="DZ40"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Winter Consumption (kWh/yr)]]="n/a",Tbl_MeasureList[[#This Row],[Code (old fuel) Electric Winter Consumption (kWh/yr)]]="n/a"),"-",-Tbl_MeasureList[[#This Row],[High Measure Electric Winter Consumption (kWh/yr)]]+Tbl_MeasureList[[#This Row],[Code (old fuel) Electric Winter Consumption (kWh/yr)]]),
        "-")</f>
        <v>-</v>
      </c>
      <c r="EA40" s="485"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Row],[High Measure Electric Summer Consumption (kWh/yr)]]="n/a",Tbl_MeasureList[[#This Row],[Code (old fuel) Electric Summer Consumption (kWh/yr)]]="n/a"),"-",-Tbl_MeasureList[[#This Row],[High Measure Electric Summer Consumption (kWh/yr)]]+Tbl_MeasureList[[#This Row],[Code (old fuel) Electric Summer Consumption (kWh/yr)]]),
        "-")</f>
        <v>-</v>
      </c>
      <c r="EB40" s="47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Winter Peak Demand (kW)]]+Tbl_MeasureList[[#This Row],[Code (old fuel) Electric Winter Peak Demand (kW)]],
        "-")</f>
        <v>-1.2579098753595391E-2</v>
      </c>
      <c r="EC40" s="26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Electric Summer Peak Demand (kW)]]+Tbl_MeasureList[[#This Row],[Code (old fuel) Electric Summer Peak Demand (kW)]],
        "-")</f>
        <v>0</v>
      </c>
      <c r="ED40" s="269">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Natural Gas Annual Consumption (therms/yr)]]+Tbl_MeasureList[[#This Row],[Code (old fuel) Natural Gas Annual Consumption (therms/yr)]],
        "-")</f>
        <v>-953.68421052631595</v>
      </c>
      <c r="EE40" s="270">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Propane Annual Consumption (MMBtu/yr)]]+Tbl_MeasureList[[#This Row],[Code (old fuel) Propane Annual Consumption (MMBtu/yr)]],
        "-")</f>
        <v>0</v>
      </c>
      <c r="EF40" s="2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Oil Annual Consumption (MMBtu/yr)]]+Tbl_MeasureList[[#This Row],[Code (old fuel) Oil Annual Consumption (MMBtu/yr)]],
        "-")</f>
        <v>109.99500000000002</v>
      </c>
      <c r="EG40" s="270">
        <f ca="1">IFERROR(SUM(
           Tbl_MeasureList[[#This Row],[ROF High Measure Electric Annual Consumption Savings (kWh/yr)]]/(Btu_per_MMBtu*KWH_PER_BTU),
           Tbl_MeasureList[[#This Row],[ROF High Measure Natural Gas Annual Consumption Savings (therms/yr)]]/Therm_per_MMBtu,
           Tbl_MeasureList[[#This Row],[ROF High Measure Propane Annual Consumption Savings (MMBtu/yr)]],
           Tbl_MeasureList[[#This Row],[ROF High Measure Oil Annual Consumption Savings (MMBtu/yr)]]),"-")</f>
        <v>14.346794947368423</v>
      </c>
      <c r="EH40" s="38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Site (tons CO2/yr)]]+Tbl_MeasureList[[#This Row],[Code (old fuel) Carbon Emissions, Site (tons CO2/yr)]],
       "-")</f>
        <v>3.2920441184210549</v>
      </c>
      <c r="EI40" s="32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Row],[High Measure Carbon Emissions, Source (tons CO2/yr)]]+Tbl_MeasureList[[#This Row],[Code (old fuel) Carbon Emissions, Source (tons CO2/yr)]],
       "-")</f>
        <v>3.2630849984210544</v>
      </c>
      <c r="EJ40" s="477">
        <f ca="1">Tbl_MeasureList[[#This Row],[Code (old fuel) Energy Cost (USD/yr)]]-Tbl_MeasureList[[#This Row],[Code (new fuel) Energy Cost (USD/yr)]]</f>
        <v>781.676090720312</v>
      </c>
      <c r="EK40" s="496">
        <f ca="1">Tbl_MeasureList[[#This Row],[Code (old fuel) Electric Annual Consumption (kWh/yr)]]-Tbl_MeasureList[[#This Row],[Code (new fuel) Electric Annual Consumption (kWh/yr)]]</f>
        <v>-99</v>
      </c>
      <c r="EL40" s="496" t="str">
        <f ca="1">IF(OR(Tbl_MeasureList[[#This Row],[Code (old fuel) Electric Winter Consumption (kWh/yr)]]="n/a",Tbl_MeasureList[[#This Row],[Code (new fuel) Electric Winter Consumption (kWh/yr)]]="n/a"),"-",Tbl_MeasureList[[#This Row],[Code (old fuel) Electric Winter Consumption (kWh/yr)]]-Tbl_MeasureList[[#This Row],[Code (new fuel) Electric Winter Consumption (kWh/yr)]])</f>
        <v>-</v>
      </c>
      <c r="EM40" s="496" t="str">
        <f ca="1">IF(OR(Tbl_MeasureList[[#This Row],[Code (old fuel) Electric Summer Consumption (kWh/yr)]]="n/a",Tbl_MeasureList[[#This Row],[Code (new fuel) Electric Summer Consumption (kWh/yr)]]="n/a"),"-",Tbl_MeasureList[[#This Row],[Code (old fuel) Electric Summer Consumption (kWh/yr)]]-Tbl_MeasureList[[#This Row],[Code (new fuel) Electric Summer Consumption (kWh/yr)]])</f>
        <v>-</v>
      </c>
      <c r="EN40" s="500">
        <f ca="1">Tbl_MeasureList[[#This Row],[Code (old fuel) Electric Winter Peak Demand (kW)]]-Tbl_MeasureList[[#This Row],[Code (new fuel) Electric Winter Peak Demand (kW)]]</f>
        <v>-1.5186960690316387E-2</v>
      </c>
      <c r="EO40" s="493">
        <f ca="1">Tbl_MeasureList[[#This Row],[Code (old fuel) Electric Summer Peak Demand (kW)]]-Tbl_MeasureList[[#This Row],[Code (new fuel) Electric Summer Peak Demand (kW)]]</f>
        <v>0</v>
      </c>
      <c r="EP40" s="502">
        <f ca="1">Tbl_MeasureList[[#This Row],[Code (old fuel) Natural Gas Annual Consumption (therms/yr)]]-Tbl_MeasureList[[#This Row],[Code (new fuel) Natural Gas Annual Consumption (therms/yr)]]</f>
        <v>-1006.6666666666667</v>
      </c>
      <c r="EQ40" s="215">
        <f ca="1">Tbl_MeasureList[[#This Row],[Code (old fuel) Propane Annual Consumption (MMBtu/yr)]]-Tbl_MeasureList[[#This Row],[Code (new fuel) Propane Annual Consumption (MMBtu/yr)]]</f>
        <v>0</v>
      </c>
      <c r="ER40" s="502">
        <f ca="1">Tbl_MeasureList[[#This Row],[Code (old fuel) Oil Annual Consumption (MMBtu/yr)]]-Tbl_MeasureList[[#This Row],[Code (new fuel) Oil Annual Consumption (MMBtu/yr)]]</f>
        <v>109.99500000000002</v>
      </c>
      <c r="ES40" s="215">
        <f ca="1">Tbl_MeasureList[[#This Row],[Code (old fuel) Energy Consumption on MMBtu Basis (MMBtu/yr)]]-Tbl_MeasureList[[#This Row],[Code (new fuel) Energy Consumption on MMBtu Basis (MMBtu/yr)]]</f>
        <v>8.9905453333333583</v>
      </c>
      <c r="ET40" s="502">
        <f ca="1">Tbl_MeasureList[[#This Row],[Code (old fuel) Carbon Emissions, Site (tons CO2/yr)]]-Tbl_MeasureList[[#This Row],[Code (new fuel) Carbon Emissions, Site (tons CO2/yr)]]</f>
        <v>2.9820967500000028</v>
      </c>
      <c r="EU40" s="498">
        <f ca="1">Tbl_MeasureList[[#This Row],[Code (old fuel) Carbon Emissions, Source (tons CO2/yr)]]-Tbl_MeasureList[[#This Row],[Code (new fuel) Carbon Emissions, Source (tons CO2/yr)]]</f>
        <v>2.9471339100000034</v>
      </c>
      <c r="EV40" s="450">
        <f ca="1">Tbl_MeasureList[[#This Row],[ER Total Low Measure Electric Annual Consumption Savings (kWh/yr)]]*COAL_BTU_PER_SITE_KWH/Btu_per_MMBtu</f>
        <v>-1.089721255619646E-2</v>
      </c>
      <c r="EW40" s="411">
        <f ca="1">Tbl_MeasureList[[#This Row],[ER Total Low Measure Electric Annual Consumption Savings (kWh/yr)]]*COAL_LBS_PER_SITE_KWH</f>
        <v>-0.9558958382628473</v>
      </c>
      <c r="EX40" s="326">
        <f ca="1">Tbl_MeasureList[[#This Row],[ER Total Low Measure Electric Annual Consumption Savings (kWh/yr)]]*OIL_BTU_PER_SITE_KWH/Btu_per_MMBtu</f>
        <v>-1.2544809664774313E-2</v>
      </c>
      <c r="EY40" s="325">
        <f ca="1">Tbl_MeasureList[[#This Row],[ER Total Low Measure Electric Annual Consumption Savings (kWh/yr)]]*OIL_GAL_PER_SITE_KWH</f>
        <v>-9.0940662327553101E-2</v>
      </c>
      <c r="EZ40" s="326">
        <f ca="1">Tbl_MeasureList[[#This Row],[ER Total Low Measure Oil Annual Consumption Savings (MMBtu/yr)]]*Btu_per_MMBtu/OIL_BTU_PER_GAL</f>
        <v>893.06897676610254</v>
      </c>
      <c r="FA40" s="325">
        <f ca="1">Tbl_MeasureList[[#This Row],[Current ER Total Low Measure Oil Source Fuel Savings (gallons oil/year)]]+Tbl_MeasureList[[#This Row],[Current ER Total Low Measure Oil Site Fuel Savings (gallons oil/year)]]</f>
        <v>892.97803610377503</v>
      </c>
      <c r="FB40" s="326">
        <f ca="1">Tbl_MeasureList[[#This Row],[ER Total Low Measure Electric Annual Consumption Savings (kWh/yr)]]*GAS_BTU_PER_SITE_KWH/Btu_per_MMBtu</f>
        <v>-0.4051209558503176</v>
      </c>
      <c r="FC40" s="327">
        <f ca="1">Tbl_MeasureList[[#This Row],[ER Total Low Measure Electric Annual Consumption Savings (kWh/yr)]]*GAS_CUFT_PER_SITE_KWH/1000</f>
        <v>-0.39370355281857877</v>
      </c>
      <c r="FD40" s="328">
        <f ca="1">Tbl_MeasureList[[#This Row],[ER Total Low Measure Natural Gas Annual Consumption Savings (therms/yr)]]*Btu_per_MMBtu/(GAS_BTU_PER_CUFT*Therm_per_MMBtu*1000)</f>
        <v>-97.829608033689681</v>
      </c>
      <c r="FE40" s="329">
        <f ca="1">Tbl_MeasureList[[#This Row],[Current ER Total Low Measure Gas Source Fuel Savings (1,000 cu.ft. gas/year)]]+Tbl_MeasureList[[#This Row],[Current ER Total Low Measure Gas Site Fuel Savings (1,000 cu.ft gas/year)]]</f>
        <v>-98.22331158650826</v>
      </c>
      <c r="FF40" s="324">
        <f ca="1">IFERROR(Tbl_MeasureList[[#This Row],[ER Total High Measure Electric Annual Consumption Savings (kWh/yr)]]*COAL_BTU_PER_SITE_KWH/Btu_per_MMBtu,"-")</f>
        <v>-9.0259740364455523E-3</v>
      </c>
      <c r="FG40" s="325">
        <f ca="1">IFERROR(Tbl_MeasureList[[#This Row],[ER Total High Measure Electric Annual Consumption Savings (kWh/yr)]]*COAL_LBS_PER_SITE_KWH,"-")</f>
        <v>-0.79175210846013611</v>
      </c>
      <c r="FH40" s="326">
        <f ca="1">IFERROR(Tbl_MeasureList[[#This Row],[ER Total High Measure Electric Annual Consumption Savings (kWh/yr)]]*OIL_BTU_PER_SITE_KWH/Btu_per_MMBtu,"-")</f>
        <v>-1.0390650429409027E-2</v>
      </c>
      <c r="FI40" s="325">
        <f ca="1">IFERROR(Tbl_MeasureList[[#This Row],[ER Total High Measure Electric Annual Consumption Savings (kWh/yr)]]*OIL_GAL_PER_SITE_KWH,"-")</f>
        <v>-7.5324588998579328E-2</v>
      </c>
      <c r="FJ40" s="326">
        <f ca="1">IFERROR(Tbl_MeasureList[[#This Row],[ER Total High Measure Oil Annual Consumption Savings (MMBtu/yr)]]*Btu_per_MMBtu/OIL_BTU_PER_GAL,"-")</f>
        <v>893.06897676610254</v>
      </c>
      <c r="FK40" s="325">
        <f ca="1">IFERROR(Tbl_MeasureList[[#This Row],[Current ER Total High Measure Oil Source Fuel Savings (gallons oil/year)]]+Tbl_MeasureList[[#This Row],[Current ER Total High Measure Oil Site Fuel Savings (gallons oil/year)]],"-")</f>
        <v>892.99365217710397</v>
      </c>
      <c r="FL40" s="326">
        <f ca="1">IFERROR(Tbl_MeasureList[[#This Row],[ER Total High Measure Electric Annual Consumption Savings (kWh/yr)]]*GAS_BTU_PER_SITE_KWH/Btu_per_MMBtu,"-")</f>
        <v>-0.33555473110834388</v>
      </c>
      <c r="FM40" s="327">
        <f ca="1">IFERROR(Tbl_MeasureList[[#This Row],[ER Total High Measure Electric Annual Consumption Savings (kWh/yr)]]*GAS_CUFT_PER_SITE_KWH/1000,"-")</f>
        <v>-0.32609789223357027</v>
      </c>
      <c r="FN40" s="328">
        <f ca="1">IFERROR(Tbl_MeasureList[[#This Row],[ER Total High Measure Natural Gas Annual Consumption Savings (therms/yr)]]*Btu_per_MMBtu/(GAS_BTU_PER_CUFT*Therm_per_MMBtu*1000),"-")</f>
        <v>-92.680681295074436</v>
      </c>
      <c r="FO40" s="329">
        <f ca="1">IFERROR(Tbl_MeasureList[[#This Row],[Current ER Total High Measure Gas Source Fuel Savings (1,000 cu.ft. gas/year)]]+Tbl_MeasureList[[#This Row],[Current ER Total High Measure Gas Site Fuel Savings (1,000 cu.ft gas/year)]],"-")</f>
        <v>-93.006779187308013</v>
      </c>
      <c r="FP40" s="412">
        <f ca="1">Tbl_MeasureList[[#This Row],[ROF Low Measure Electric Annual Consumption Savings (kWh/yr)]]*COAL_BTU_PER_SITE_KWH/Btu_per_MMBtu</f>
        <v>-1.089721255619646E-2</v>
      </c>
      <c r="FQ40" s="327">
        <f ca="1">Tbl_MeasureList[[#This Row],[ROF Low Measure Electric Annual Consumption Savings (kWh/yr)]]*COAL_LBS_PER_SITE_KWH</f>
        <v>-0.9558958382628473</v>
      </c>
      <c r="FR40" s="412">
        <f ca="1">Tbl_MeasureList[[#This Row],[ROF Low Measure Electric Annual Consumption Savings (kWh/yr)]]*OIL_BTU_PER_SITE_KWH/Btu_per_MMBtu</f>
        <v>-1.2544809664774313E-2</v>
      </c>
      <c r="FS40" s="327">
        <f ca="1">Tbl_MeasureList[[#This Row],[ROF Low Measure Electric Annual Consumption Savings (kWh/yr)]]*OIL_GAL_PER_SITE_KWH</f>
        <v>-9.0940662327553101E-2</v>
      </c>
      <c r="FT40" s="412">
        <f ca="1">Tbl_MeasureList[[#This Row],[ROF Low Measure Oil Annual Consumption Savings (MMBtu/yr)]]*Btu_per_MMBtu/OIL_BTU_PER_GAL</f>
        <v>797.3830149697344</v>
      </c>
      <c r="FU40" s="327">
        <f ca="1">Tbl_MeasureList[[#This Row],[Current ROF Low Measure Oil Source Fuel Savings (gallons oil/year)]]+Tbl_MeasureList[[#This Row],[Current ROF Low Measure Oil Site Fuel Savings (gallons oil/year)]]</f>
        <v>797.29207430740689</v>
      </c>
      <c r="FV40" s="412">
        <f ca="1">Tbl_MeasureList[[#This Row],[ROF Low Measure Electric Annual Consumption Savings (kWh/yr)]]*GAS_BTU_PER_SITE_KWH/Btu_per_MMBtu</f>
        <v>-0.4051209558503176</v>
      </c>
      <c r="FW40" s="327">
        <f ca="1">Tbl_MeasureList[[#This Row],[ROF Low Measure Electric Annual Consumption Savings (kWh/yr)]]*GAS_CUFT_PER_SITE_KWH/1000</f>
        <v>-0.39370355281857877</v>
      </c>
      <c r="FX40" s="412">
        <f ca="1">Tbl_MeasureList[[#This Row],[ROF Low Measure Natural Gas Annual Consumption Savings (therms/yr)]]*Btu_per_MMBtu/(GAS_BTU_PER_CUFT*Therm_per_MMBtu*1000)</f>
        <v>-97.829608033689681</v>
      </c>
      <c r="FY40" s="327">
        <f ca="1">Tbl_MeasureList[[#This Row],[Current ROF Low Measure Gas Source Fuel Savings (1,000 cu.ft. gas/year)]]+Tbl_MeasureList[[#This Row],[Current ROF Low Measure Gas Site Fuel Savings (1,000 cu.ft gas/year)]]</f>
        <v>-98.22331158650826</v>
      </c>
      <c r="FZ40" s="414">
        <f ca="1">IFERROR(Tbl_MeasureList[[#This Row],[ROF High Measure Electric Annual Consumption Savings (kWh/yr)]]*COAL_BTU_PER_SITE_KWH/Btu_per_MMBtu,"-")</f>
        <v>-9.0259740364455523E-3</v>
      </c>
      <c r="GA40" s="327">
        <f ca="1">IFERROR(Tbl_MeasureList[[#This Row],[ROF High Measure Electric Annual Consumption Savings (kWh/yr)]]*COAL_LBS_PER_SITE_KWH,"-")</f>
        <v>-0.79175210846013611</v>
      </c>
      <c r="GB40" s="412">
        <f ca="1">IFERROR(Tbl_MeasureList[[#This Row],[ROF High Measure Electric Annual Consumption Savings (kWh/yr)]]*OIL_BTU_PER_SITE_KWH/Btu_per_MMBtu,"-")</f>
        <v>-1.0390650429409027E-2</v>
      </c>
      <c r="GC40" s="327">
        <f ca="1">IFERROR(Tbl_MeasureList[[#This Row],[ROF High Measure Electric Annual Consumption Savings (kWh/yr)]]*OIL_GAL_PER_SITE_KWH,"-")</f>
        <v>-7.5324588998579328E-2</v>
      </c>
      <c r="GD40" s="412">
        <f ca="1">IFERROR(Tbl_MeasureList[[#This Row],[ROF High Measure Oil Annual Consumption Savings (MMBtu/yr)]]*Btu_per_MMBtu/OIL_BTU_PER_GAL,"-")</f>
        <v>797.3830149697344</v>
      </c>
      <c r="GE40" s="327">
        <f ca="1">IFERROR(Tbl_MeasureList[[#This Row],[Current ROF High Measure Oil Source Fuel Savings (gallons oil/year)]]+Tbl_MeasureList[[#This Row],[Current ROF High Measure Oil Site Fuel Savings (gallons oil/year)]],"-")</f>
        <v>797.30769038073583</v>
      </c>
      <c r="GF40" s="412">
        <f ca="1">IFERROR(Tbl_MeasureList[[#This Row],[ROF High Measure Electric Annual Consumption Savings (kWh/yr)]]*GAS_BTU_PER_SITE_KWH/Btu_per_MMBtu,"-")</f>
        <v>-0.33555473110834388</v>
      </c>
      <c r="GG40" s="327">
        <f ca="1">IFERROR(Tbl_MeasureList[[#This Row],[ROF High Measure Electric Annual Consumption Savings (kWh/yr)]]*GAS_CUFT_PER_SITE_KWH/1000,"-")</f>
        <v>-0.32609789223357027</v>
      </c>
      <c r="GH40" s="412">
        <f ca="1">IFERROR(Tbl_MeasureList[[#This Row],[ROF High Measure Natural Gas Annual Consumption Savings (therms/yr)]]*Btu_per_MMBtu/(GAS_BTU_PER_CUFT*Therm_per_MMBtu*1000),"-")</f>
        <v>-92.680681295074436</v>
      </c>
      <c r="GI40" s="327">
        <f ca="1">IFERROR(Tbl_MeasureList[[#This Row],[Current ROF High Measure Gas Source Fuel Savings (1,000 cu.ft. gas/year)]]+Tbl_MeasureList[[#This Row],[Current ROF High Measure Gas Site Fuel Savings (1,000 cu.ft gas/year)]],"-")</f>
        <v>-93.006779187308013</v>
      </c>
      <c r="GJ40" s="324">
        <f ca="1">Tbl_MeasureList[[#This Row],[ER Total Low Measure Electric Annual Consumption Savings (kWh/yr)]]*COAL_BTU_PER_SITE_KWH_CES/Btu_per_MMBtu</f>
        <v>-1.8525261345533978E-2</v>
      </c>
      <c r="GK40" s="325">
        <f ca="1">Tbl_MeasureList[[#This Row],[ER Total Low Measure Electric Annual Consumption Savings (kWh/yr)]]*COAL_LBS_PER_SITE_KWH_CES</f>
        <v>-1.6822794538261878</v>
      </c>
      <c r="GL40" s="326">
        <f ca="1">Tbl_MeasureList[[#This Row],[ER Total Low Measure Electric Annual Consumption Savings (kWh/yr)]]*OIL_BTU_PER_SITE_KWH_CES/Btu_per_MMBtu</f>
        <v>-5.7021862112610518E-3</v>
      </c>
      <c r="GM40" s="325">
        <f ca="1">Tbl_MeasureList[[#This Row],[ER Total Low Measure Electric Annual Consumption Savings (kWh/yr)]]*OIL_GAL_PER_SITE_KWH_CES</f>
        <v>-3.8470060255161455E-2</v>
      </c>
      <c r="GN40" s="326">
        <f ca="1">Tbl_MeasureList[[#This Row],[ER Total Low Measure Oil Annual Consumption Savings (MMBtu/yr)]]*Btu_per_MMBtu/OIL_BTU_PER_GAL_CES</f>
        <v>831.13665803108813</v>
      </c>
      <c r="GO40" s="325">
        <f ca="1">Tbl_MeasureList[[#This Row],[CES ER Low Measure Oil Source Fuel Savings (gallons oil/year)]]+Tbl_MeasureList[[#This Row],[CES ER Low Measure Oil Site Fuel Savings (gallons oil/year)]]</f>
        <v>831.09818797083301</v>
      </c>
      <c r="GP40" s="326">
        <f ca="1">Tbl_MeasureList[[#This Row],[ER Total Low Measure Electric Annual Consumption Savings (kWh/yr)]]*GAS_BTU_PER_SITE_KWH_CES/Btu_per_MMBtu</f>
        <v>-0.16866260202747918</v>
      </c>
      <c r="GQ40" s="327">
        <f ca="1">Tbl_MeasureList[[#This Row],[ER Total Low Measure Electric Annual Consumption Savings (kWh/yr)]]*GAS_CUFT_PER_SITE_KWH_CES/1000</f>
        <v>-0.16375009905580504</v>
      </c>
      <c r="GR40" s="328">
        <f ca="1">Tbl_MeasureList[[#This Row],[ER Total Low Measure Natural Gas Annual Consumption Savings (therms/yr)]]*Btu_per_MMBtu/(GAS_BTU_PER_CUFT_CES*Therm_per_MMBtu*1000)</f>
        <v>-97.734627831715216</v>
      </c>
      <c r="GS40" s="329">
        <f ca="1">Tbl_MeasureList[[#This Row],[CES ER Low Measure Gas Source Fuel Savings (1,000 cu.ft. gas/year)]]+Tbl_MeasureList[[#This Row],[CES ER Low Measure Gas Site Fuel Savings (1,000 cu.ft gas/year)]]</f>
        <v>-97.898377930771019</v>
      </c>
      <c r="GT40" s="324">
        <f ca="1">IFERROR(Tbl_MeasureList[[#This Row],[ER Total High Measure Electric Annual Consumption Savings (kWh/yr)]]*COAL_BTU_PER_SITE_KWH_CES/Btu_per_MMBtu,"-")</f>
        <v>-1.5344155861957438E-2</v>
      </c>
      <c r="GU40" s="325">
        <f ca="1">IFERROR(Tbl_MeasureList[[#This Row],[ER Total High Measure Electric Annual Consumption Savings (kWh/yr)]]*COAL_LBS_PER_SITE_KWH_CES,"-")</f>
        <v>-1.3934031839772465</v>
      </c>
      <c r="GV40" s="326">
        <f ca="1">IFERROR(Tbl_MeasureList[[#This Row],[ER Total High Measure Electric Annual Consumption Savings (kWh/yr)]]*OIL_BTU_PER_SITE_KWH_CES/Btu_per_MMBtu,"-")</f>
        <v>-4.723022922458648E-3</v>
      </c>
      <c r="GW40" s="325">
        <f ca="1">IFERROR(Tbl_MeasureList[[#This Row],[ER Total High Measure Electric Annual Consumption Savings (kWh/yr)]]*OIL_GAL_PER_SITE_KWH_CES,"-")</f>
        <v>-3.1864090312355951E-2</v>
      </c>
      <c r="GX40" s="326">
        <f ca="1">IFERROR(Tbl_MeasureList[[#This Row],[ER Total High Measure Oil Annual Consumption Savings (MMBtu/yr)]]*Btu_per_MMBtu/OIL_BTU_PER_GAL_CES,"-")</f>
        <v>831.13665803108813</v>
      </c>
      <c r="GY40" s="325">
        <f ca="1">IFERROR(Tbl_MeasureList[[#This Row],[CES ER High Measure Oil Source Fuel Savings (gallons oil/year)]]+Tbl_MeasureList[[#This Row],[CES ER High Measure Oil Site Fuel Savings (gallons oil/year)]],"-")</f>
        <v>831.10479394077572</v>
      </c>
      <c r="GZ40" s="326">
        <f ca="1">IFERROR(Tbl_MeasureList[[#This Row],[ER Total High Measure Electric Annual Consumption Savings (kWh/yr)]]*GAS_BTU_PER_SITE_KWH_CES/Btu_per_MMBtu,"-")</f>
        <v>-0.13970033703286155</v>
      </c>
      <c r="HA40" s="327">
        <f ca="1">IFERROR(Tbl_MeasureList[[#This Row],[ER Total High Measure Electric Annual Consumption Savings (kWh/yr)]]*GAS_CUFT_PER_SITE_KWH_CES/1000,"-")</f>
        <v>-0.13563139517753547</v>
      </c>
      <c r="HB40" s="328">
        <f ca="1">IFERROR(Tbl_MeasureList[[#This Row],[ER Total High Measure Natural Gas Annual Consumption Savings (therms/yr)]]*Btu_per_MMBtu/(GAS_BTU_PER_CUFT_CES*Therm_per_MMBtu*1000),"-")</f>
        <v>-92.590700051098636</v>
      </c>
      <c r="HC40" s="329">
        <f ca="1">IFERROR(Tbl_MeasureList[[#This Row],[CES ER High Measure Gas Source Fuel Savings (1,000 cu.ft. gas/year)]]+Tbl_MeasureList[[#This Row],[CES ER High Measure Gas Site Fuel Savings (1,000 cu.ft gas/year)]],"-")</f>
        <v>-92.726331446276177</v>
      </c>
      <c r="HD40" s="315">
        <f ca="1">Tbl_MeasureList[[#This Row],[ROF Low Measure Electric Annual Consumption Savings (kWh/yr)]]*COAL_BTU_PER_SITE_KWH_CES/Btu_per_MMBtu</f>
        <v>-1.8525261345533978E-2</v>
      </c>
      <c r="HE40" s="316">
        <f ca="1">Tbl_MeasureList[[#This Row],[ROF Low Measure Electric Annual Consumption Savings (kWh/yr)]]*COAL_LBS_PER_SITE_KWH_CES</f>
        <v>-1.6822794538261878</v>
      </c>
      <c r="HF40" s="317">
        <f ca="1">Tbl_MeasureList[[#This Row],[ROF Low Measure Electric Annual Consumption Savings (kWh/yr)]]*OIL_BTU_PER_SITE_KWH_CES/Btu_per_MMBtu</f>
        <v>-5.7021862112610518E-3</v>
      </c>
      <c r="HG40" s="316">
        <f ca="1">Tbl_MeasureList[[#This Row],[ROF Low Measure Electric Annual Consumption Savings (kWh/yr)]]*OIL_GAL_PER_SITE_KWH_CES</f>
        <v>-3.8470060255161455E-2</v>
      </c>
      <c r="HH40" s="317">
        <f ca="1">Tbl_MeasureList[[#This Row],[ROF Low Measure Oil Annual Consumption Savings (MMBtu/yr)]]*Btu_per_MMBtu/OIL_BTU_PER_GAL_CES</f>
        <v>742.08630181347155</v>
      </c>
      <c r="HI40" s="316">
        <f ca="1">Tbl_MeasureList[[#This Row],[CES ROF Low Measure Oil Source Fuel Savings (gallons oil/year)]]+Tbl_MeasureList[[#This Row],[CES ROF Low Measure Oil Site Fuel Savings (gallons oil/year)]]</f>
        <v>742.04783175321643</v>
      </c>
      <c r="HJ40" s="317">
        <f ca="1">Tbl_MeasureList[[#This Row],[ROF Low Measure Electric Annual Consumption Savings (kWh/yr)]]*GAS_BTU_PER_SITE_KWH_CES/Btu_per_MMBtu</f>
        <v>-0.16866260202747918</v>
      </c>
      <c r="HK40" s="316">
        <f ca="1">Tbl_MeasureList[[#This Row],[ROF Low Measure Electric Annual Consumption Savings (kWh/yr)]]*GAS_CUFT_PER_SITE_KWH_CES/1000</f>
        <v>-0.16375009905580504</v>
      </c>
      <c r="HL40" s="317">
        <f ca="1">Tbl_MeasureList[[#This Row],[ROF Low Measure Natural Gas Annual Consumption Savings (therms/yr)]]*Btu_per_MMBtu/(GAS_BTU_PER_CUFT_CES*Therm_per_MMBtu*1000)</f>
        <v>-97.734627831715216</v>
      </c>
      <c r="HM40" s="318">
        <f ca="1">Tbl_MeasureList[[#This Row],[CES ROF Low Measure Gas Source Fuel Savings (1,000 cu.ft. gas/year)]]+Tbl_MeasureList[[#This Row],[CES ROF Low Measure Gas Site Fuel Savings (1,000 cu.ft gas/year)]]</f>
        <v>-97.898377930771019</v>
      </c>
      <c r="HN40" s="315">
        <f ca="1">IFERROR(Tbl_MeasureList[[#This Row],[ROF High Measure Electric Annual Consumption Savings (kWh/yr)]]*COAL_BTU_PER_SITE_KWH_CES/Btu_per_MMBtu,"-")</f>
        <v>-1.5344155861957438E-2</v>
      </c>
      <c r="HO40" s="316">
        <f ca="1">IFERROR(Tbl_MeasureList[[#This Row],[ROF High Measure Electric Annual Consumption Savings (kWh/yr)]]*COAL_LBS_PER_SITE_KWH_CES,"-")</f>
        <v>-1.3934031839772465</v>
      </c>
      <c r="HP40" s="317">
        <f ca="1">IFERROR(Tbl_MeasureList[[#This Row],[ROF High Measure Electric Annual Consumption Savings (kWh/yr)]]*OIL_BTU_PER_SITE_KWH_CES/Btu_per_MMBtu,"-")</f>
        <v>-4.723022922458648E-3</v>
      </c>
      <c r="HQ40" s="316">
        <f ca="1">IFERROR(Tbl_MeasureList[[#This Row],[ROF High Measure Electric Annual Consumption Savings (kWh/yr)]]*OIL_GAL_PER_SITE_KWH_CES,"-")</f>
        <v>-3.1864090312355951E-2</v>
      </c>
      <c r="HR40" s="317">
        <f ca="1">IFERROR(Tbl_MeasureList[[#This Row],[ROF High Measure Oil Annual Consumption Savings (MMBtu/yr)]]*Btu_per_MMBtu/OIL_BTU_PER_GAL_CES,"-")</f>
        <v>742.08630181347155</v>
      </c>
      <c r="HS40" s="316">
        <f ca="1">IFERROR(Tbl_MeasureList[[#This Row],[CES ROF High Measure Oil Source Fuel Savings (gallons oil/year)]]+Tbl_MeasureList[[#This Row],[CES ROF High Measure Oil Site Fuel Savings (gallons oil/year)]],"-")</f>
        <v>742.05443772315914</v>
      </c>
      <c r="HT40" s="317">
        <f ca="1">IFERROR(Tbl_MeasureList[[#This Row],[ROF High Measure Electric Annual Consumption Savings (kWh/yr)]]*GAS_BTU_PER_SITE_KWH_CES/Btu_per_MMBtu,"-")</f>
        <v>-0.13970033703286155</v>
      </c>
      <c r="HU40" s="316">
        <f ca="1">IFERROR(Tbl_MeasureList[[#This Row],[ROF High Measure Electric Annual Consumption Savings (kWh/yr)]]*GAS_CUFT_PER_SITE_KWH_CES/1000,"-")</f>
        <v>-0.13563139517753547</v>
      </c>
      <c r="HV40" s="317">
        <f ca="1">IFERROR(Tbl_MeasureList[[#This Row],[ROF High Measure Natural Gas Annual Consumption Savings (therms/yr)]]*Btu_per_MMBtu/(GAS_BTU_PER_CUFT_CES*Therm_per_MMBtu*1000),"-")</f>
        <v>-92.590700051098636</v>
      </c>
      <c r="HW40" s="318">
        <f ca="1">IFERROR(Tbl_MeasureList[[#This Row],[CES ROF High Measure Gas Source Fuel Savings (1,000 cu.ft. gas/year)]]+Tbl_MeasureList[[#This Row],[CES ROF High Measure Gas Site Fuel Savings (1,000 cu.ft gas/year)]],"-")</f>
        <v>-92.726331446276177</v>
      </c>
      <c r="HX40" s="346">
        <f>Tbl_MeasureList[[#This Row],[Baseline Energy Cost (USD/yr)]]-Tbl_MeasureList[[#This Row],[Code (old fuel) Energy Cost (USD/yr)]]</f>
        <v>296.46067488643712</v>
      </c>
      <c r="HY40" s="354">
        <f>0</f>
        <v>0</v>
      </c>
      <c r="HZ40" s="347">
        <f>Tbl_MeasureList[[#This Row],[Baseline Electric Annual Consumption (kWh/yr)]]-Tbl_MeasureList[[#This Row],[Code (old fuel) Electric Annual Consumption (kWh/yr)]]</f>
        <v>0</v>
      </c>
      <c r="IA40" s="347" t="str">
        <f>IF(OR(Tbl_MeasureList[[#This Row],[Baseline Electric Winter Consumption (kWh/yr)]]="n/a",Tbl_MeasureList[[#This Row],[Code (old fuel) Electric Winter Consumption (kWh/yr)]]="n/a"),"-",Tbl_MeasureList[[#This Row],[Baseline Electric Winter Consumption (kWh/yr)]]-Tbl_MeasureList[[#This Row],[Code (old fuel) Electric Winter Consumption (kWh/yr)]])</f>
        <v>-</v>
      </c>
      <c r="IB40" s="347" t="str">
        <f>IF(OR(Tbl_MeasureList[[#This Row],[Baseline Electric Summer Consumption (kWh/yr)]]="n/a",Tbl_MeasureList[[#This Row],[Code (old fuel) Electric Summer Consumption (kWh/yr)]]="n/a"),"-",Tbl_MeasureList[[#This Row],[Baseline Electric Summer Consumption (kWh/yr)]]-Tbl_MeasureList[[#This Row],[Code (old fuel) Electric Summer Consumption (kWh/yr)]])</f>
        <v>-</v>
      </c>
      <c r="IC40" s="355">
        <f>Tbl_MeasureList[[#This Row],[Baseline Electric Winter Peak Demand (kW)]]-Tbl_MeasureList[[#This Row],[Code (old fuel) Electric Winter Peak Demand (kW)]]</f>
        <v>0</v>
      </c>
      <c r="ID40" s="355">
        <f>Tbl_MeasureList[[#This Row],[Baseline Electric Summer Peak Demand (kW)]]-Tbl_MeasureList[[#This Row],[Code (old fuel) Electric Summer Peak Demand (kW)]]</f>
        <v>0</v>
      </c>
      <c r="IE40" s="349">
        <f>Tbl_MeasureList[[#This Row],[Baseline Natural Gas Annual Consumption (therms/yr)]]-Tbl_MeasureList[[#This Row],[Code (old fuel) Natural Gas Annual Consumption (therms/yr)]]</f>
        <v>0</v>
      </c>
      <c r="IF40" s="350">
        <f>Tbl_MeasureList[[#This Row],[Baseline Propane Annual Consumption (MMBtu/yr)]]-Tbl_MeasureList[[#This Row],[Code (old fuel) Propane Annual Consumption (MMBtu/yr)]]</f>
        <v>0</v>
      </c>
      <c r="IG40" s="351">
        <f>Tbl_MeasureList[[#This Row],[Baseline Oil Annual Consumption (MMBtu/yr)]]-Tbl_MeasureList[[#This Row],[Code (old fuel) Oil Annual Consumption (MMBtu/yr)]]</f>
        <v>13.199399999999997</v>
      </c>
      <c r="IH40" s="373">
        <f>Tbl_MeasureList[[#This Row],[Baseline Energy Consumption on MMBtu Basis (MMBtu/yr)]]-Tbl_MeasureList[[#This Row],[Code (old fuel) Energy Consumption on MMBtu Basis (MMBtu/yr)]]</f>
        <v>13.199399999999997</v>
      </c>
      <c r="II40" s="373">
        <f>Tbl_MeasureList[[#This Row],[Baseline Carbon Emissions, Site (tons CO2/yr)]]-Tbl_MeasureList[[#This Row],[Code (old fuel) Carbon Emissions, Site (tons CO2/yr)]]</f>
        <v>1.0645316099999995</v>
      </c>
      <c r="IJ40" s="352">
        <f>Tbl_MeasureList[[#This Row],[Baseline Carbon Emissions, Source (tons CO2/yr)]]-Tbl_MeasureList[[#This Row],[Code (old fuel) Carbon Emissions, Source (tons CO2/yr)]]</f>
        <v>1.0645316099999995</v>
      </c>
      <c r="IK40" s="353">
        <f ca="1">Tbl_MeasureList[[#This Row],[Code (new fuel) Energy Cost (USD/yr)]]-Tbl_MeasureList[[#This Row],[Low Measure Energy Cost (USD/yr)]]</f>
        <v>0</v>
      </c>
      <c r="IL40" s="201">
        <f ca="1">IF(Tbl_MeasureList[[#This Row],[Keep Existing Heating Equipment?]]="Yes",
             Tbl_MeasureList[[#This Row],[Low Measure Installed Costs (USD)]]-Tbl_MeasureList[[#This Row],[Code (old fuel) A/C-only Deferred Replacement Credit (USD)]],
             Tbl_MeasureList[[#This Row],[Low Measure Installed Costs (USD)]]-Tbl_MeasureList[[#This Row],[Code (old fuel) Deferred Replacement Credit (USD)]])</f>
        <v>11631.004663072888</v>
      </c>
      <c r="IM40" s="358">
        <f ca="1">Tbl_MeasureList[[#This Row],[Code (old fuel) Electric Annual Consumption (kWh/yr)]]-Tbl_MeasureList[[#This Row],[Low Measure Electric Annual Consumption (kWh/yr)]]</f>
        <v>-99</v>
      </c>
      <c r="IN40" s="358" t="str">
        <f ca="1">IF(OR(Tbl_MeasureList[[#This Row],[Code (old fuel) Electric Winter Consumption (kWh/yr)]]="n/a",Tbl_MeasureList[[#This Row],[Low Measure Electric Winter Consumption (kWh/yr)]]="n/a"),"-",Tbl_MeasureList[[#This Row],[Code (old fuel) Electric Winter Consumption (kWh/yr)]]-Tbl_MeasureList[[#This Row],[Low Measure Electric Winter Consumption (kWh/yr)]])</f>
        <v>-</v>
      </c>
      <c r="IO40" s="358" t="str">
        <f ca="1">IF(OR(Tbl_MeasureList[[#This Row],[Code (old fuel) Electric Summer Consumption (kWh/yr)]]="n/a",Tbl_MeasureList[[#This Row],[Low Measure Electric Summer Consumption (kWh/yr)]]="n/a"),"-",Tbl_MeasureList[[#This Row],[Code (old fuel) Electric Summer Consumption (kWh/yr)]]-Tbl_MeasureList[[#This Row],[Low Measure Electric Summer Consumption (kWh/yr)]])</f>
        <v>-</v>
      </c>
      <c r="IP40" s="355">
        <f ca="1">Tbl_MeasureList[[#This Row],[Code (old fuel) Electric Winter Peak Demand (kW)]]-Tbl_MeasureList[[#This Row],[Low Measure Electric Winter Peak Demand (kW)]]</f>
        <v>-1.5186960690316387E-2</v>
      </c>
      <c r="IQ40" s="355">
        <f ca="1">Tbl_MeasureList[[#This Row],[Code (old fuel) Electric Summer Peak Demand (kW)]]-Tbl_MeasureList[[#This Row],[Low Measure Electric Summer Peak Demand (kW)]]</f>
        <v>0</v>
      </c>
      <c r="IR40" s="351">
        <f ca="1">Tbl_MeasureList[[#This Row],[Code (old fuel) Natural Gas Annual Consumption (therms/yr)]]-Tbl_MeasureList[[#This Row],[Low Measure Natural Gas Annual Consumption (therms/yr)]]</f>
        <v>-1006.6666666666667</v>
      </c>
      <c r="IS40" s="356">
        <f ca="1">Tbl_MeasureList[[#This Row],[Code (old fuel) Propane Annual Consumption (MMBtu/yr)]]-Tbl_MeasureList[[#This Row],[Low Measure Propane Annual Consumption (MMBtu/yr)]]</f>
        <v>0</v>
      </c>
      <c r="IT40" s="351">
        <f ca="1">Tbl_MeasureList[[#This Row],[Code (old fuel) Oil Annual Consumption (MMBtu/yr)]]-Tbl_MeasureList[[#This Row],[Low Measure Oil Annual Consumption (MMBtu/yr)]]</f>
        <v>109.99500000000002</v>
      </c>
      <c r="IU40" s="351">
        <f ca="1">Tbl_MeasureList[[#This Row],[Code (old fuel) Energy Consumption on MMBtu Basis (MMBtu/yr)]]-Tbl_MeasureList[[#This Row],[Low Measure Energy Consumption on MMBtu Basis (MMBtu/yr)]]</f>
        <v>8.9905453333333583</v>
      </c>
      <c r="IV40" s="351">
        <f ca="1">Tbl_MeasureList[[#This Row],[Code (old fuel) Carbon Emissions, Site (tons CO2/yr)]]-Tbl_MeasureList[[#This Row],[Low Measure Carbon Emissions, Site (tons CO2/yr)]]</f>
        <v>2.9820967500000028</v>
      </c>
      <c r="IW40" s="357">
        <f ca="1">Tbl_MeasureList[[#This Row],[Code (old fuel) Carbon Emissions, Source (tons CO2/yr)]]-Tbl_MeasureList[[#This Row],[Low Measure Carbon Emissions, Source (tons CO2/yr)]]</f>
        <v>2.9471339100000034</v>
      </c>
      <c r="IX40" s="353">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Cost (USD/yr)]]-Tbl_MeasureList[[#This Row],[High Measure Energy Cost (USD/yr)]],"-")</f>
        <v>870.49939247469774</v>
      </c>
      <c r="IY40" s="20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IF(Tbl_MeasureList[[#This Row],[Keep Existing Heating Equipment?]]="Yes",
                   Tbl_MeasureList[[#This Row],[High Measure Installed Costs (USD)]]-Tbl_MeasureList[[#This Row],[Code (old fuel) A/C-only Deferred Replacement Credit (USD)]],
                   Tbl_MeasureList[[#This Row],[High Measure Installed Costs (USD)]]-Tbl_MeasureList[[#This Row],[Code (old fuel) Deferred Replacement Credit (USD)]]),
        "-")</f>
        <v>11631.004663072888</v>
      </c>
      <c r="IZ40" s="358">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Annual Consumption (kWh/yr)]]-Tbl_MeasureList[[#This Row],[High Measure Electric Annual Consumption (kWh/yr)]],"-")</f>
        <v>-82</v>
      </c>
      <c r="JA40" s="358"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Winter Consumption (kWh/yr)]]="n/a",Tbl_MeasureList[[#This Row],[High Measure Electric Winter Consumption (kWh/yr)]]="n/a"),"-",Tbl_MeasureList[[#This Row],[Code (old fuel) Electric Winter Consumption (kWh/yr)]]-Tbl_MeasureList[[#This Row],[High Measure Electric Winter Consumption (kWh/yr)]]),"-")</f>
        <v>-</v>
      </c>
      <c r="JB40" s="358" t="str">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IF(OR(Tbl_MeasureList[[#This Row],[Code (old fuel) Electric Summer Consumption (kWh/yr)]]="n/a",Tbl_MeasureList[[#This Row],[High Measure Electric Summer Consumption (kWh/yr)]]="n/a"),"-",Tbl_MeasureList[[#This Row],[Code (old fuel) Electric Summer Consumption (kWh/yr)]]-Tbl_MeasureList[[#This Row],[High Measure Electric Summer Consumption (kWh/yr)]]),"-")</f>
        <v>-</v>
      </c>
      <c r="JC40" s="35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Electric Winter Peak Demand (kW)]]-Tbl_MeasureList[[#This Row],[High Measure Electric Winter Peak Demand (kW)]],"-")</f>
        <v>-1.2579098753595391E-2</v>
      </c>
      <c r="JD40" s="35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Electric Summer Peak Demand (kW)]]-Tbl_MeasureList[[#This Row],[High Measure Electric Summer Peak Demand (kW)]],"-")</f>
        <v>0</v>
      </c>
      <c r="JE40" s="35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ID],0))="High"),Tbl_MeasureList[[#This Row],[Code (old fuel) Natural Gas Annual Consumption (therms/yr)]]-Tbl_MeasureList[[#This Row],[High Measure Natural Gas Annual Consumption (therms/yr)]],"-")</f>
        <v>-953.68421052631595</v>
      </c>
      <c r="JF40" s="356">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Propane Annual Consumption (MMBtu/yr)]]-Tbl_MeasureList[[#This Row],[High Measure Propane Annual Consumption (MMBtu/yr)]],"-")</f>
        <v>0</v>
      </c>
      <c r="JG40" s="35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Oil Annual Consumption (MMBtu/yr)]]-Tbl_MeasureList[[#This Row],[High Measure Oil Annual Consumption (MMBtu/yr)]],"-")</f>
        <v>109.99500000000002</v>
      </c>
      <c r="JH40" s="35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Energy Consumption on MMBtu Basis (MMBtu/yr)]]-Tbl_MeasureList[[#This Row],[High Measure Energy Consumption on MMBtu Basis (MMBtu/yr)]],"-")</f>
        <v>14.346794947368437</v>
      </c>
      <c r="JI40" s="351">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Site (tons CO2/yr)]]-Tbl_MeasureList[[#This Row],[High Measure Carbon Emissions, Site (tons CO2/yr)]],"-")</f>
        <v>3.2920441184210549</v>
      </c>
      <c r="JJ40" s="505">
        <f ca="1">IF(OR(INDEX(Tbl_EquipmentDefinitions[Available Efficiencies],MATCH(Tbl_MeasureList[[#This Row],[Replacement ID]],Tbl_EquipmentDefinitions[Equipment ID],0))="Both",
               INDEX(Tbl_EquipmentDefinitions[Available Efficiencies],MATCH(Tbl_MeasureList[[#This Row],[Replacement ID]],Tbl_EquipmentDefinitions[Equipment ID],0))="High"),
Tbl_MeasureList[[#This Row],[Code (old fuel) Carbon Emissions, Source (tons CO2/yr)]]-Tbl_MeasureList[[#This Row],[High Measure Carbon Emissions, Source (tons CO2/yr)]],"-")</f>
        <v>3.2630849984210544</v>
      </c>
      <c r="JK40" s="324">
        <f>Tbl_MeasureList[[#This Row],[ER (Retire) Electric Annual Consumption Savings (kWh/yr)]]*COAL_BTU_PER_SITE_KWH/Btu_per_MMBtu</f>
        <v>0</v>
      </c>
      <c r="JL40" s="325">
        <f>Tbl_MeasureList[[#This Row],[ER (Retire) Electric Annual Consumption Savings (kWh/yr)]]*COAL_LBS_PER_SITE_KWH</f>
        <v>0</v>
      </c>
      <c r="JM40" s="326">
        <f>Tbl_MeasureList[[#This Row],[ER (Retire) Electric Annual Consumption Savings (kWh/yr)]]*OIL_BTU_PER_SITE_KWH/Btu_per_MMBtu</f>
        <v>0</v>
      </c>
      <c r="JN40" s="325">
        <f>Tbl_MeasureList[[#This Row],[ER (Retire) Electric Annual Consumption Savings (kWh/yr)]]*OIL_GAL_PER_SITE_KWH</f>
        <v>0</v>
      </c>
      <c r="JO40" s="326">
        <f>Tbl_MeasureList[[#This Row],[ER (Retire) Oil Annual Consumption Savings (MMBtu/yr)]]*Btu_per_MMBtu/OIL_BTU_PER_GAL</f>
        <v>95.68596179636809</v>
      </c>
      <c r="JP40" s="325">
        <f ca="1">Tbl_MeasureList[[#This Row],[Current ER (Retire) Oil Source Fuel Savings (gallons oil/year)]]+Tbl_MeasureList[[#This Row],[Current ER Total Low Measure Oil Site Fuel Savings (gallons oil/year)]]</f>
        <v>893.06897676610254</v>
      </c>
      <c r="JQ40" s="326">
        <f>Tbl_MeasureList[[#This Row],[ER (Retire) Electric Annual Consumption Savings (kWh/yr)]]*GAS_BTU_PER_SITE_KWH/Btu_per_MMBtu</f>
        <v>0</v>
      </c>
      <c r="JR40" s="327">
        <f>Tbl_MeasureList[[#This Row],[ER (Retire) Electric Annual Consumption Savings (kWh/yr)]]*GAS_CUFT_PER_SITE_KWH/1000</f>
        <v>0</v>
      </c>
      <c r="JS40" s="328">
        <f>Tbl_MeasureList[[#This Row],[ER (Retire) Natural Gas Annual Consumption Savings (therms/yr)]]*Btu_per_MMBtu/(GAS_BTU_PER_CUFT*Therm_per_MMBtu*1000)</f>
        <v>0</v>
      </c>
      <c r="JT40" s="329">
        <f ca="1">Tbl_MeasureList[[#This Row],[Current ER (Retire) Gas Source Fuel Savings (1,000 cu.ft. gas/year)]]+Tbl_MeasureList[[#This Row],[Current ER Total Low Measure Gas Site Fuel Savings (1,000 cu.ft gas/year)]]</f>
        <v>-97.829608033689681</v>
      </c>
      <c r="JU40" s="324">
        <f ca="1">Tbl_MeasureList[[#This Row],[ER (EE) Low Measure Electric Annual Consumption Savings (kWh/yr)]]*COAL_BTU_PER_SITE_KWH/Btu_per_MMBtu</f>
        <v>-1.089721255619646E-2</v>
      </c>
      <c r="JV40" s="325">
        <f ca="1">Tbl_MeasureList[[#This Row],[ER (EE) Low Measure Electric Annual Consumption Savings (kWh/yr)]]*COAL_LBS_PER_SITE_KWH</f>
        <v>-0.9558958382628473</v>
      </c>
      <c r="JW40" s="326">
        <f ca="1">Tbl_MeasureList[[#This Row],[ER (EE) Low Measure Electric Annual Consumption Savings (kWh/yr)]]*OIL_BTU_PER_SITE_KWH/Btu_per_MMBtu</f>
        <v>-1.2544809664774313E-2</v>
      </c>
      <c r="JX40" s="325">
        <f ca="1">Tbl_MeasureList[[#This Row],[ER (EE) Low Measure Electric Annual Consumption Savings (kWh/yr)]]*OIL_GAL_PER_SITE_KWH</f>
        <v>-9.0940662327553101E-2</v>
      </c>
      <c r="JY40" s="326">
        <f ca="1">Tbl_MeasureList[[#This Row],[ER (EE) Low Measure Oil Annual Consumption Savings (MMBtu/yr)]]*Btu_per_MMBtu/OIL_BTU_PER_GAL</f>
        <v>797.3830149697344</v>
      </c>
      <c r="JZ40" s="325">
        <f ca="1">Tbl_MeasureList[[#This Row],[Current ER (EE) Low Measure Oil Source Fuel Savings (gallons oil/year)]]+Tbl_MeasureList[[#This Row],[Current ER (EE) Low Measure Oil Site Fuel Savings (gallons oil/year)]]</f>
        <v>797.29207430740689</v>
      </c>
      <c r="KA40" s="326">
        <f ca="1">Tbl_MeasureList[[#This Row],[ER (EE) Low Measure Electric Annual Consumption Savings (kWh/yr)]]*GAS_BTU_PER_SITE_KWH/Btu_per_MMBtu</f>
        <v>-0.4051209558503176</v>
      </c>
      <c r="KB40" s="327">
        <f ca="1">Tbl_MeasureList[[#This Row],[ER (EE) Low Measure Electric Annual Consumption Savings (kWh/yr)]]*GAS_CUFT_PER_SITE_KWH/1000</f>
        <v>-0.39370355281857877</v>
      </c>
      <c r="KC40" s="328">
        <f ca="1">Tbl_MeasureList[[#This Row],[ER (EE) Low Measure Natural Gas Annual Consumption Savings (therms/yr)]]*Btu_per_MMBtu/(GAS_BTU_PER_CUFT*Therm_per_MMBtu*1000)</f>
        <v>-97.829608033689681</v>
      </c>
      <c r="KD40" s="329">
        <f ca="1">Tbl_MeasureList[[#This Row],[Current ER (EE) Low Measure Gas Source Fuel Savings (1,000 cu.ft. gas/year)]]+Tbl_MeasureList[[#This Row],[Current ER (EE) Low Measure Gas Site Fuel Savings (1,000 cu.ft gas/year)]]</f>
        <v>-98.22331158650826</v>
      </c>
      <c r="KE40" s="324">
        <f ca="1">IFERROR(Tbl_MeasureList[[#This Row],[ER (EE) High Measure Electric Annual Consumption Savings (kWh/yr)]]*COAL_BTU_PER_SITE_KWH/Btu_per_MMBtu,"-")</f>
        <v>-9.0259740364455523E-3</v>
      </c>
      <c r="KF40" s="325">
        <f ca="1">IFERROR(Tbl_MeasureList[[#This Row],[ER (EE) High Measure Electric Annual Consumption Savings (kWh/yr)]]*COAL_LBS_PER_SITE_KWH,"-")</f>
        <v>-0.79175210846013611</v>
      </c>
      <c r="KG40" s="326">
        <f ca="1">IFERROR(Tbl_MeasureList[[#This Row],[ER (EE) High Measure Electric Annual Consumption Savings (kWh/yr)]]*OIL_BTU_PER_SITE_KWH/Btu_per_MMBtu,"-")</f>
        <v>-1.0390650429409027E-2</v>
      </c>
      <c r="KH40" s="325">
        <f ca="1">IFERROR(Tbl_MeasureList[[#This Row],[ER (EE) High Measure Electric Annual Consumption Savings (kWh/yr)]]*OIL_GAL_PER_SITE_KWH,"-")</f>
        <v>-7.5324588998579328E-2</v>
      </c>
      <c r="KI40" s="326">
        <f ca="1">IFERROR(Tbl_MeasureList[[#This Row],[ER (EE) High Measure Oil Annual Consumption Savings (MMBtu/yr)]]*Btu_per_MMBtu/OIL_BTU_PER_GAL,"-")</f>
        <v>797.3830149697344</v>
      </c>
      <c r="KJ40" s="325">
        <f ca="1">IFERROR(Tbl_MeasureList[[#This Row],[Current ER (EE) High Measure Oil Source Fuel Savings (gallons oil/year)]]+Tbl_MeasureList[[#This Row],[Current ER (EE) High Measure Oil Site Fuel Savings (gallons oil/year)]],"-")</f>
        <v>797.30769038073583</v>
      </c>
      <c r="KK40" s="326">
        <f ca="1">IFERROR(Tbl_MeasureList[[#This Row],[ER (EE) High Measure Electric Annual Consumption Savings (kWh/yr)]]*GAS_BTU_PER_SITE_KWH/Btu_per_MMBtu,"-")</f>
        <v>-0.33555473110834388</v>
      </c>
      <c r="KL40" s="327">
        <f ca="1">IFERROR(Tbl_MeasureList[[#This Row],[ER (EE) High Measure Electric Annual Consumption Savings (kWh/yr)]]*GAS_CUFT_PER_SITE_KWH/1000,"-")</f>
        <v>-0.32609789223357027</v>
      </c>
      <c r="KM40" s="328">
        <f ca="1">IFERROR(Tbl_MeasureList[[#This Row],[ER (EE) High Measure Natural Gas Annual Consumption Savings (therms/yr)]]*Btu_per_MMBtu/(GAS_BTU_PER_CUFT*Therm_per_MMBtu*1000),"-")</f>
        <v>-92.680681295074436</v>
      </c>
      <c r="KN40" s="329">
        <f ca="1">IFERROR(Tbl_MeasureList[[#This Row],[Current ER (EE) High Measure Gas Source Fuel Savings (1,000 cu.ft. gas/year)]]+Tbl_MeasureList[[#This Row],[Current ER (EE) High Measure Gas Site Fuel Savings (1,000 cu.ft gas/year)]],"-")</f>
        <v>-93.006779187308013</v>
      </c>
    </row>
    <row r="45" spans="2:300" x14ac:dyDescent="0.2">
      <c r="CU45" s="238"/>
      <c r="CV45" s="238"/>
      <c r="CW45" s="238"/>
      <c r="CX45" s="238"/>
      <c r="CY45" s="238"/>
      <c r="CZ45" s="238"/>
      <c r="DA45" s="238"/>
      <c r="DB45" s="238"/>
      <c r="DC45" s="238"/>
      <c r="DD45" s="238"/>
      <c r="DE45" s="238"/>
      <c r="DF45" s="238"/>
      <c r="DG45" s="238"/>
      <c r="DH45" s="238"/>
      <c r="DI45" s="238"/>
      <c r="DJ45" s="238"/>
      <c r="DK45" s="238"/>
      <c r="DL45" s="238"/>
      <c r="DM45" s="238"/>
      <c r="DN45" s="238"/>
      <c r="DO45" s="238"/>
      <c r="DP45" s="238"/>
      <c r="DQ45" s="238"/>
      <c r="DR45" s="238"/>
      <c r="DS45" s="238"/>
      <c r="DT45" s="238"/>
    </row>
  </sheetData>
  <conditionalFormatting sqref="O12:O40">
    <cfRule type="cellIs" dxfId="510" priority="4" operator="equal">
      <formula>"OK"</formula>
    </cfRule>
    <cfRule type="cellIs" dxfId="509" priority="5" operator="equal">
      <formula>"Different"</formula>
    </cfRule>
  </conditionalFormatting>
  <conditionalFormatting sqref="P12:P40">
    <cfRule type="cellIs" dxfId="508" priority="1" operator="equal">
      <formula>"3. Ready"</formula>
    </cfRule>
    <cfRule type="cellIs" dxfId="507" priority="2" operator="equal">
      <formula>"2. Analyzing"</formula>
    </cfRule>
    <cfRule type="cellIs" dxfId="506" priority="3" operator="equal">
      <formula>"1. Not Started"</formula>
    </cfRule>
  </conditionalFormatting>
  <dataValidations count="4">
    <dataValidation type="list" allowBlank="1" showInputMessage="1" showErrorMessage="1" sqref="I12:I40">
      <formula1>List_EquipmentID</formula1>
    </dataValidation>
    <dataValidation type="list" allowBlank="1" showInputMessage="1" showErrorMessage="1" sqref="H12:H40">
      <formula1>"Existing,Code"</formula1>
    </dataValidation>
    <dataValidation type="list" allowBlank="1" showInputMessage="1" showErrorMessage="1" sqref="F12:F40">
      <formula1>List_BaselineID</formula1>
    </dataValidation>
    <dataValidation type="list" allowBlank="1" showInputMessage="1" showErrorMessage="1" sqref="N12:N40">
      <formula1>"Yes,No"</formula1>
    </dataValidation>
  </dataValidations>
  <pageMargins left="0.7" right="0.7" top="0.75" bottom="0.75" header="0.3" footer="0.3"/>
  <pageSetup orientation="portrait" r:id="rId1"/>
  <ignoredErrors>
    <ignoredError sqref="DW12:DW13 DW14:DW15 DW16:DW37" calculatedColumn="1"/>
  </ignoredErrors>
  <legacy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CN61"/>
  <sheetViews>
    <sheetView topLeftCell="A7" zoomScale="85" zoomScaleNormal="85" workbookViewId="0">
      <pane xSplit="10350" ySplit="2685" topLeftCell="S12" activePane="bottomRight"/>
      <selection activeCell="E7" sqref="E7"/>
      <selection pane="topRight" activeCell="J7" sqref="J7"/>
      <selection pane="bottomLeft" activeCell="B19" sqref="B19"/>
      <selection pane="bottomRight" activeCell="U19" sqref="U19"/>
    </sheetView>
  </sheetViews>
  <sheetFormatPr defaultColWidth="9.1640625" defaultRowHeight="11.25" x14ac:dyDescent="0.2"/>
  <cols>
    <col min="1" max="1" width="3.33203125" style="6" customWidth="1"/>
    <col min="2" max="2" width="2.33203125" style="6" customWidth="1"/>
    <col min="3" max="3" width="12.33203125" style="6" customWidth="1"/>
    <col min="4" max="4" width="11.83203125" style="6" customWidth="1"/>
    <col min="5" max="5" width="14.83203125" style="6" customWidth="1"/>
    <col min="6" max="6" width="10.1640625" style="6" customWidth="1"/>
    <col min="7" max="7" width="33.6640625" style="6" customWidth="1"/>
    <col min="8" max="8" width="24.6640625" style="6" bestFit="1" customWidth="1"/>
    <col min="9" max="9" width="57.6640625" style="6" bestFit="1" customWidth="1"/>
    <col min="10" max="10" width="12" style="6" customWidth="1"/>
    <col min="11" max="11" width="14.33203125" style="6" bestFit="1" customWidth="1"/>
    <col min="12" max="12" width="15.33203125" style="6" customWidth="1"/>
    <col min="13" max="13" width="17.5" style="6" customWidth="1"/>
    <col min="14" max="14" width="15.5" style="6" customWidth="1"/>
    <col min="15" max="15" width="16.6640625" style="6" customWidth="1"/>
    <col min="16" max="16" width="38" style="6" bestFit="1" customWidth="1"/>
    <col min="17" max="17" width="37.33203125" style="6" customWidth="1"/>
    <col min="18" max="18" width="38" style="6" customWidth="1"/>
    <col min="19" max="19" width="38" style="6" bestFit="1" customWidth="1"/>
    <col min="20" max="21" width="17.6640625" style="6" customWidth="1"/>
    <col min="22" max="42" width="19.33203125" style="6" customWidth="1"/>
    <col min="43" max="89" width="17.6640625" style="6" customWidth="1"/>
    <col min="90" max="16384" width="9.1640625" style="6"/>
  </cols>
  <sheetData>
    <row r="1" spans="1:92" ht="17.25" thickBot="1" x14ac:dyDescent="0.3">
      <c r="A1" s="4"/>
      <c r="B1" s="4" t="s">
        <v>1311</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row>
    <row r="2" spans="1:92" ht="12" thickTop="1" x14ac:dyDescent="0.2"/>
    <row r="3" spans="1:92" x14ac:dyDescent="0.2">
      <c r="B3" s="513" t="s">
        <v>1402</v>
      </c>
      <c r="C3" s="137"/>
      <c r="D3" s="137"/>
      <c r="E3" s="137"/>
      <c r="F3" s="137"/>
      <c r="G3" s="137"/>
    </row>
    <row r="4" spans="1:92" x14ac:dyDescent="0.2">
      <c r="B4" s="513" t="s">
        <v>1088</v>
      </c>
      <c r="C4" s="137"/>
      <c r="D4" s="137"/>
      <c r="E4" s="137"/>
      <c r="F4" s="137"/>
      <c r="G4" s="137"/>
    </row>
    <row r="5" spans="1:92" x14ac:dyDescent="0.2">
      <c r="B5" s="513" t="s">
        <v>1569</v>
      </c>
      <c r="C5" s="137"/>
      <c r="D5" s="137"/>
      <c r="E5" s="137"/>
      <c r="F5" s="137"/>
      <c r="G5" s="137"/>
    </row>
    <row r="6" spans="1:92" x14ac:dyDescent="0.2">
      <c r="B6" s="513" t="s">
        <v>1409</v>
      </c>
      <c r="C6" s="137"/>
      <c r="D6" s="137"/>
      <c r="E6" s="137"/>
      <c r="F6" s="137"/>
      <c r="G6" s="137"/>
    </row>
    <row r="7" spans="1:92" x14ac:dyDescent="0.2">
      <c r="B7" s="513" t="s">
        <v>1410</v>
      </c>
      <c r="C7" s="137"/>
      <c r="D7" s="137"/>
      <c r="E7" s="137"/>
      <c r="F7" s="137"/>
      <c r="G7" s="137"/>
    </row>
    <row r="9" spans="1:92" ht="13.5" thickBot="1" x14ac:dyDescent="0.25">
      <c r="B9" s="9" t="s">
        <v>1089</v>
      </c>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row>
    <row r="10" spans="1:92" x14ac:dyDescent="0.2">
      <c r="B10" s="15"/>
    </row>
    <row r="11" spans="1:92" ht="13.5" thickBot="1" x14ac:dyDescent="0.25">
      <c r="B11" s="16"/>
      <c r="J11" s="434"/>
      <c r="U11" s="21" t="s">
        <v>1405</v>
      </c>
      <c r="V11" s="21"/>
      <c r="W11" s="21"/>
      <c r="X11" s="21"/>
      <c r="Y11" s="21"/>
      <c r="Z11" s="21"/>
      <c r="AA11" s="21"/>
      <c r="AB11" s="21"/>
      <c r="AC11" s="21"/>
      <c r="AD11" s="21"/>
      <c r="AE11" s="21"/>
      <c r="AF11" s="21"/>
      <c r="AG11" s="21"/>
      <c r="AH11" s="21"/>
      <c r="AI11" s="21"/>
      <c r="AJ11" s="21"/>
      <c r="AK11" s="21"/>
      <c r="AL11" s="21"/>
      <c r="AM11" s="21"/>
      <c r="AN11" s="21"/>
      <c r="AO11" s="21"/>
      <c r="AP11" s="23"/>
      <c r="AQ11" s="514" t="s">
        <v>1404</v>
      </c>
      <c r="AR11" s="309"/>
      <c r="AS11" s="309"/>
      <c r="AT11" s="309"/>
      <c r="AU11" s="309"/>
      <c r="AV11" s="309"/>
    </row>
    <row r="12" spans="1:92" ht="13.5" thickBot="1" x14ac:dyDescent="0.25">
      <c r="B12" s="16"/>
      <c r="U12" s="21" t="s">
        <v>851</v>
      </c>
      <c r="V12" s="101"/>
      <c r="W12" s="101"/>
      <c r="X12" s="101"/>
      <c r="Y12" s="101"/>
      <c r="Z12" s="101"/>
      <c r="AA12" s="101"/>
      <c r="AB12" s="101"/>
      <c r="AC12" s="101"/>
      <c r="AD12" s="101"/>
      <c r="AE12" s="101"/>
      <c r="AF12" s="21" t="s">
        <v>852</v>
      </c>
      <c r="AG12" s="101"/>
      <c r="AH12" s="101"/>
      <c r="AI12" s="101"/>
      <c r="AJ12" s="101"/>
      <c r="AK12" s="101"/>
      <c r="AL12" s="101"/>
      <c r="AM12" s="101"/>
      <c r="AN12" s="101"/>
      <c r="AO12" s="101"/>
      <c r="AP12" s="22"/>
      <c r="AQ12" s="310" t="s">
        <v>851</v>
      </c>
      <c r="AR12" s="312"/>
      <c r="AS12" s="312"/>
      <c r="AT12" s="310" t="s">
        <v>852</v>
      </c>
      <c r="AU12" s="312"/>
      <c r="AV12" s="312"/>
    </row>
    <row r="13" spans="1:92" ht="13.5" thickBot="1" x14ac:dyDescent="0.25">
      <c r="B13" s="16"/>
      <c r="U13" s="310" t="s">
        <v>120</v>
      </c>
      <c r="V13" s="101"/>
      <c r="W13" s="21" t="s">
        <v>25</v>
      </c>
      <c r="X13" s="22"/>
      <c r="Y13" s="101"/>
      <c r="Z13" s="386" t="s">
        <v>55</v>
      </c>
      <c r="AA13" s="23" t="s">
        <v>28</v>
      </c>
      <c r="AB13" s="23" t="s">
        <v>27</v>
      </c>
      <c r="AC13" s="22" t="s">
        <v>481</v>
      </c>
      <c r="AD13" s="23" t="s">
        <v>704</v>
      </c>
      <c r="AE13" s="23"/>
      <c r="AF13" s="21" t="s">
        <v>120</v>
      </c>
      <c r="AG13" s="101"/>
      <c r="AH13" s="21" t="s">
        <v>25</v>
      </c>
      <c r="AI13" s="22"/>
      <c r="AJ13" s="101"/>
      <c r="AK13" s="386" t="s">
        <v>55</v>
      </c>
      <c r="AL13" s="386" t="s">
        <v>28</v>
      </c>
      <c r="AM13" s="386" t="s">
        <v>27</v>
      </c>
      <c r="AN13" s="386" t="s">
        <v>481</v>
      </c>
      <c r="AO13" s="23" t="s">
        <v>704</v>
      </c>
      <c r="AP13" s="23"/>
      <c r="AQ13" s="310" t="s">
        <v>794</v>
      </c>
      <c r="AR13" s="310" t="s">
        <v>27</v>
      </c>
      <c r="AS13" s="386" t="s">
        <v>795</v>
      </c>
      <c r="AT13" s="310" t="s">
        <v>794</v>
      </c>
      <c r="AU13" s="310" t="s">
        <v>27</v>
      </c>
      <c r="AV13" s="310" t="s">
        <v>795</v>
      </c>
    </row>
    <row r="14" spans="1:92" ht="68.25" thickBot="1" x14ac:dyDescent="0.25">
      <c r="B14" s="16"/>
      <c r="C14" s="393" t="s">
        <v>76</v>
      </c>
      <c r="D14" s="393" t="s">
        <v>287</v>
      </c>
      <c r="E14" s="393" t="s">
        <v>80</v>
      </c>
      <c r="F14" s="393" t="s">
        <v>1215</v>
      </c>
      <c r="G14" s="393" t="s">
        <v>79</v>
      </c>
      <c r="H14" s="393" t="s">
        <v>81</v>
      </c>
      <c r="I14" s="393" t="s">
        <v>1076</v>
      </c>
      <c r="J14" s="393" t="s">
        <v>1190</v>
      </c>
      <c r="K14" s="393" t="s">
        <v>112</v>
      </c>
      <c r="L14" s="393" t="s">
        <v>113</v>
      </c>
      <c r="M14" s="393" t="s">
        <v>751</v>
      </c>
      <c r="N14" s="393" t="s">
        <v>1070</v>
      </c>
      <c r="O14" s="393" t="s">
        <v>1071</v>
      </c>
      <c r="P14" s="393" t="s">
        <v>1072</v>
      </c>
      <c r="Q14" s="393" t="s">
        <v>1073</v>
      </c>
      <c r="R14" s="393" t="s">
        <v>1074</v>
      </c>
      <c r="S14" s="393" t="s">
        <v>1075</v>
      </c>
      <c r="T14" s="521" t="s">
        <v>1327</v>
      </c>
      <c r="U14" s="518" t="s">
        <v>720</v>
      </c>
      <c r="V14" s="393" t="s">
        <v>1560</v>
      </c>
      <c r="W14" s="393" t="s">
        <v>719</v>
      </c>
      <c r="X14" s="393" t="s">
        <v>970</v>
      </c>
      <c r="Y14" s="393" t="s">
        <v>986</v>
      </c>
      <c r="Z14" s="393" t="s">
        <v>1622</v>
      </c>
      <c r="AA14" s="393" t="s">
        <v>1623</v>
      </c>
      <c r="AB14" s="393" t="s">
        <v>1624</v>
      </c>
      <c r="AC14" s="393" t="s">
        <v>902</v>
      </c>
      <c r="AD14" s="393" t="s">
        <v>921</v>
      </c>
      <c r="AE14" s="515" t="s">
        <v>944</v>
      </c>
      <c r="AF14" s="516" t="s">
        <v>721</v>
      </c>
      <c r="AG14" s="393" t="s">
        <v>1564</v>
      </c>
      <c r="AH14" s="393" t="s">
        <v>722</v>
      </c>
      <c r="AI14" s="393" t="s">
        <v>971</v>
      </c>
      <c r="AJ14" s="393" t="s">
        <v>988</v>
      </c>
      <c r="AK14" s="393" t="s">
        <v>1625</v>
      </c>
      <c r="AL14" s="393" t="s">
        <v>1626</v>
      </c>
      <c r="AM14" s="393" t="s">
        <v>1627</v>
      </c>
      <c r="AN14" s="393" t="s">
        <v>903</v>
      </c>
      <c r="AO14" s="393" t="s">
        <v>946</v>
      </c>
      <c r="AP14" s="515" t="s">
        <v>945</v>
      </c>
      <c r="AQ14" s="516" t="s">
        <v>991</v>
      </c>
      <c r="AR14" s="393" t="s">
        <v>992</v>
      </c>
      <c r="AS14" s="523" t="s">
        <v>993</v>
      </c>
      <c r="AT14" s="518" t="s">
        <v>994</v>
      </c>
      <c r="AU14" s="393" t="s">
        <v>995</v>
      </c>
      <c r="AV14" s="393" t="s">
        <v>996</v>
      </c>
    </row>
    <row r="15" spans="1:92" ht="33.75" x14ac:dyDescent="0.2">
      <c r="B15" s="16"/>
      <c r="C15" s="44" t="s">
        <v>86</v>
      </c>
      <c r="D15" s="31" t="str">
        <f>INDEX(Tbl_MeasureList[],MATCH(Tbl_ER_MeasureSummary[[#This Row],[Measure ID]:[Measure ID]],Tbl_MeasureList[[Measure ID]:[Measure ID]],0),MATCH(Tbl_ER_MeasureSummary[[#Headers],[Baseline Equipment ID]],Tbl_MeasureList[#Headers],0))</f>
        <v>EQUI001</v>
      </c>
      <c r="E15" s="525" t="str">
        <f>INDEX(Tbl_MeasureList[],MATCH(Tbl_ER_MeasureSummary[[#This Row],[Measure ID]:[Measure ID]],Tbl_MeasureList[[Measure ID]:[Measure ID]],0),MATCH(Tbl_ER_MeasureSummary[[#Headers],[Replacement ID]],Tbl_MeasureList[#Headers],0))</f>
        <v>EQUI007</v>
      </c>
      <c r="F15" s="433" t="s">
        <v>1216</v>
      </c>
      <c r="G15" s="31" t="str">
        <f>INDEX(Tbl_MeasureList[],MATCH(Tbl_ER_MeasureSummary[[#This Row],[Measure ID]:[Measure ID]],Tbl_MeasureList[[Measure ID]:[Measure ID]],0),MATCH(Tbl_ER_MeasureSummary[[#Headers],[Baseline Name]],Tbl_MeasureList[#Headers],0))</f>
        <v>Baseline A/C Blend+Oil Furnace</v>
      </c>
      <c r="H15" s="525" t="str">
        <f>INDEX(Tbl_MeasureList[],MATCH(Tbl_ER_MeasureSummary[[#This Row],[Measure ID]:[Measure ID]],Tbl_MeasureList[[Measure ID]:[Measure ID]],0),MATCH(Tbl_ER_MeasureSummary[[#Headers],[Replacement Name]],Tbl_MeasureList[#Headers],0))</f>
        <v>Central HP</v>
      </c>
      <c r="I15"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Baseline A/C Blend+Oil Furnace to Central HP (EE)</v>
      </c>
      <c r="J15"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17</v>
      </c>
      <c r="K15" s="31" t="str">
        <f>INDEX(Tbl_MeasureList[],MATCH(Tbl_ER_MeasureSummary[[#This Row],[Measure ID]:[Measure ID]],Tbl_MeasureList[[Measure ID]:[Measure ID]],0),MATCH(Tbl_ER_MeasureSummary[[#Headers],[Baseline Function]],Tbl_MeasureList[#Headers],0))</f>
        <v>Cool+Heat</v>
      </c>
      <c r="L15" s="525" t="str">
        <f>INDEX(Tbl_MeasureList[],MATCH(Tbl_ER_MeasureSummary[[#This Row],[Measure ID]:[Measure ID]],Tbl_MeasureList[[Measure ID]:[Measure ID]],0),MATCH(Tbl_ER_MeasureSummary[[#Headers],[Replacement Function]],Tbl_MeasureList[#Headers],0))</f>
        <v>Cool+Heat</v>
      </c>
      <c r="M15" s="31" t="str">
        <f>INDEX(Tbl_MeasureList[],MATCH(Tbl_ER_MeasureSummary[[#This Row],[Measure ID]:[Measure ID]],Tbl_MeasureList[[Measure ID]:[Measure ID]],0),MATCH(Tbl_ER_MeasureSummary[[#Headers],[Keep Existing Heating Equipment?]],Tbl_MeasureList[#Headers],0))</f>
        <v>No</v>
      </c>
      <c r="N15"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Electric+Oil</v>
      </c>
      <c r="O15"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Electric</v>
      </c>
      <c r="P15"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CAC: 10 SEER/8.5 EER. 
Room A/C: 8 EER 
78% AFUE (78.9%)</v>
      </c>
      <c r="Q15"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CAC: 13 SEER/11 EER; 
Room A/C: 10 EER
83% AFUE</v>
      </c>
      <c r="R15"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16 SEER/8.5 HSPF</v>
      </c>
      <c r="S15"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18 SEER/9.6 HSPF</v>
      </c>
      <c r="T15" s="522">
        <f ca="1">IF(Tbl_ER_MeasureSummary[[#This Row],[Savings Stream]]="Retire","-",
INDEX(Tbl_MeasureList[],MATCH(Tbl_ER_MeasureSummary[[#This Row],[Measure ID]:[Measure ID]],Tbl_MeasureList[[Measure ID]:[Measure ID]],0),MATCH(Tbl_ER_MeasureSummary[[#Headers],[Fuel Switch Annual Energy Savings on MMBtu Basis (MMBtu/yr)]],Tbl_MeasureList[#Headers],0)))</f>
        <v>53.921874396089315</v>
      </c>
      <c r="U15" s="519">
        <f ca="1">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80.27531463669834</v>
      </c>
      <c r="V15" s="549">
        <f ca="1">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13144.179769142622</v>
      </c>
      <c r="W15" s="395">
        <f ca="1">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-7943.4452733545249</v>
      </c>
      <c r="X15" s="534">
        <f ca="1">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-1.6934453781512604</v>
      </c>
      <c r="Y15" s="396">
        <f ca="1">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-0.55451550582750575</v>
      </c>
      <c r="Z15" s="536">
        <f ca="1">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0</v>
      </c>
      <c r="AA15" s="397">
        <f ca="1">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0</v>
      </c>
      <c r="AB15" s="536">
        <f ca="1">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82.409638554216883</v>
      </c>
      <c r="AC15" s="656">
        <f ca="1">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55.306603281531245</v>
      </c>
      <c r="AD15" s="536">
        <f ca="1">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6.6463373493975926</v>
      </c>
      <c r="AE15" s="658">
        <f ca="1">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3.8410302166597075</v>
      </c>
      <c r="AF15" s="519">
        <f ca="1">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476.78644193365949</v>
      </c>
      <c r="AG15" s="549">
        <f ca="1">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14536.179769142622</v>
      </c>
      <c r="AH15" s="395">
        <f ca="1">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-6947.156061277351</v>
      </c>
      <c r="AI15" s="534">
        <f ca="1">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-2.6428571428571432</v>
      </c>
      <c r="AJ15" s="396">
        <f ca="1">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-0.55451550582750575</v>
      </c>
      <c r="AK15" s="536">
        <f ca="1">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0</v>
      </c>
      <c r="AL15" s="397">
        <f ca="1">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0</v>
      </c>
      <c r="AM15" s="536">
        <f ca="1">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82.409638554216883</v>
      </c>
      <c r="AN15" s="656">
        <f ca="1">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58.705942073138566</v>
      </c>
      <c r="AO15" s="536">
        <f ca="1">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6.6463373493975926</v>
      </c>
      <c r="AP15" s="658">
        <f ca="1">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4.1928797147968826</v>
      </c>
      <c r="AQ15" s="517">
        <f ca="1">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-76.698043214831074</v>
      </c>
      <c r="AR15"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590.11260217753943</v>
      </c>
      <c r="AS15"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-31.589521472117404</v>
      </c>
      <c r="AT15" s="538">
        <f ca="1">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-67.078359259975088</v>
      </c>
      <c r="AU15"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591.02778602416663</v>
      </c>
      <c r="AV15"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-27.627474982929467</v>
      </c>
    </row>
    <row r="16" spans="1:92" ht="33.75" x14ac:dyDescent="0.2">
      <c r="B16" s="16"/>
      <c r="C16" s="44" t="s">
        <v>86</v>
      </c>
      <c r="D16" s="31" t="str">
        <f>INDEX(Tbl_MeasureList[],MATCH(Tbl_ER_MeasureSummary[[#This Row],[Measure ID]:[Measure ID]],Tbl_MeasureList[[Measure ID]:[Measure ID]],0),MATCH(Tbl_ER_MeasureSummary[[#Headers],[Baseline Equipment ID]],Tbl_MeasureList[#Headers],0))</f>
        <v>EQUI001</v>
      </c>
      <c r="E16" s="525" t="str">
        <f>INDEX(Tbl_MeasureList[],MATCH(Tbl_ER_MeasureSummary[[#This Row],[Measure ID]:[Measure ID]],Tbl_MeasureList[[Measure ID]:[Measure ID]],0),MATCH(Tbl_ER_MeasureSummary[[#Headers],[Replacement ID]],Tbl_MeasureList[#Headers],0))</f>
        <v>EQUI007</v>
      </c>
      <c r="F16" s="433" t="s">
        <v>1218</v>
      </c>
      <c r="G16" s="31" t="str">
        <f>INDEX(Tbl_MeasureList[],MATCH(Tbl_ER_MeasureSummary[[#This Row],[Measure ID]:[Measure ID]],Tbl_MeasureList[[Measure ID]:[Measure ID]],0),MATCH(Tbl_ER_MeasureSummary[[#Headers],[Baseline Name]],Tbl_MeasureList[#Headers],0))</f>
        <v>Baseline A/C Blend+Oil Furnace</v>
      </c>
      <c r="H16" s="525" t="str">
        <f>INDEX(Tbl_MeasureList[],MATCH(Tbl_ER_MeasureSummary[[#This Row],[Measure ID]:[Measure ID]],Tbl_MeasureList[[Measure ID]:[Measure ID]],0),MATCH(Tbl_ER_MeasureSummary[[#Headers],[Replacement Name]],Tbl_MeasureList[#Headers],0))</f>
        <v>Central HP</v>
      </c>
      <c r="I16"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Baseline A/C Blend+Oil Furnace to Central HP (Retire)</v>
      </c>
      <c r="J16"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6</v>
      </c>
      <c r="K16" s="31" t="str">
        <f>INDEX(Tbl_MeasureList[],MATCH(Tbl_ER_MeasureSummary[[#This Row],[Measure ID]:[Measure ID]],Tbl_MeasureList[[Measure ID]:[Measure ID]],0),MATCH(Tbl_ER_MeasureSummary[[#Headers],[Baseline Function]],Tbl_MeasureList[#Headers],0))</f>
        <v>Cool+Heat</v>
      </c>
      <c r="L16" s="525" t="str">
        <f>INDEX(Tbl_MeasureList[],MATCH(Tbl_ER_MeasureSummary[[#This Row],[Measure ID]:[Measure ID]],Tbl_MeasureList[[Measure ID]:[Measure ID]],0),MATCH(Tbl_ER_MeasureSummary[[#Headers],[Replacement Function]],Tbl_MeasureList[#Headers],0))</f>
        <v>Cool+Heat</v>
      </c>
      <c r="M16" s="31" t="str">
        <f>INDEX(Tbl_MeasureList[],MATCH(Tbl_ER_MeasureSummary[[#This Row],[Measure ID]:[Measure ID]],Tbl_MeasureList[[Measure ID]:[Measure ID]],0),MATCH(Tbl_ER_MeasureSummary[[#Headers],[Keep Existing Heating Equipment?]],Tbl_MeasureList[#Headers],0))</f>
        <v>No</v>
      </c>
      <c r="N16"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Electric+Oil</v>
      </c>
      <c r="O16"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Electric</v>
      </c>
      <c r="P16"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CAC: 10 SEER/8.5 EER. 
Room A/C: 8 EER 
78% AFUE (78.9%)</v>
      </c>
      <c r="Q16"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CAC: 13 SEER/11 EER; 
Room A/C: 10 EER
83% AFUE</v>
      </c>
      <c r="R16"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16 SEER/8.5 HSPF</v>
      </c>
      <c r="S16"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18 SEER/9.6 HSPF</v>
      </c>
      <c r="T16" s="522" t="str">
        <f>IF(Tbl_ER_MeasureSummary[[#This Row],[Savings Stream]]="Retire","-",
INDEX(Tbl_MeasureList[],MATCH(Tbl_ER_MeasureSummary[[#This Row],[Measure ID]:[Measure ID]],Tbl_MeasureList[[Measure ID]:[Measure ID]],0),MATCH(Tbl_ER_MeasureSummary[[#Headers],[Fuel Switch Annual Energy Savings on MMBtu Basis (MMBtu/yr)]],Tbl_MeasureList[#Headers],0)))</f>
        <v>-</v>
      </c>
      <c r="U16" s="519">
        <f>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154.78623864886549</v>
      </c>
      <c r="V16" s="549">
        <f>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0</v>
      </c>
      <c r="W16" s="395">
        <f>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296.27584000000002</v>
      </c>
      <c r="X16" s="534">
        <f>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3.1447746883989103E-4</v>
      </c>
      <c r="Y16" s="396">
        <f>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0.39502639572192488</v>
      </c>
      <c r="Z16" s="536">
        <f>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0</v>
      </c>
      <c r="AA16" s="397">
        <f>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0</v>
      </c>
      <c r="AB16" s="536">
        <f>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4.2823766549085889</v>
      </c>
      <c r="AC16" s="656">
        <f>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5.2932698209885842</v>
      </c>
      <c r="AD16" s="536">
        <f>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0.34537367721837775</v>
      </c>
      <c r="AE16" s="658">
        <f>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0.45000645287277852</v>
      </c>
      <c r="AF16" s="519">
        <f>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154.78623864886549</v>
      </c>
      <c r="AG16" s="549">
        <f>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0</v>
      </c>
      <c r="AH16" s="395">
        <f>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296.27584000000002</v>
      </c>
      <c r="AI16" s="534">
        <f>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3.1447746883989103E-4</v>
      </c>
      <c r="AJ16" s="396">
        <f>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0.39502639572192488</v>
      </c>
      <c r="AK16" s="536">
        <f>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0</v>
      </c>
      <c r="AL16" s="397">
        <f>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0</v>
      </c>
      <c r="AM16" s="536">
        <f>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4.2823766549085889</v>
      </c>
      <c r="AN16" s="656">
        <f>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5.2932698209885842</v>
      </c>
      <c r="AO16" s="536">
        <f>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0.34537367721837775</v>
      </c>
      <c r="AP16" s="658">
        <f>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0.45000645287277852</v>
      </c>
      <c r="AQ16" s="517">
        <f>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2.860695378119487</v>
      </c>
      <c r="AR16"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628.72563613037789</v>
      </c>
      <c r="AS16"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1.1782308163869577</v>
      </c>
      <c r="AT16" s="538">
        <f>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2.860695378119487</v>
      </c>
      <c r="AU16"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628.72563613037789</v>
      </c>
      <c r="AV16"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1.1782308163869577</v>
      </c>
    </row>
    <row r="17" spans="2:48" ht="33.75" x14ac:dyDescent="0.2">
      <c r="B17" s="16"/>
      <c r="C17" s="44" t="s">
        <v>87</v>
      </c>
      <c r="D17" s="31" t="str">
        <f>INDEX(Tbl_MeasureList[],MATCH(Tbl_ER_MeasureSummary[[#This Row],[Measure ID]:[Measure ID]],Tbl_MeasureList[[Measure ID]:[Measure ID]],0),MATCH(Tbl_ER_MeasureSummary[[#Headers],[Baseline Equipment ID]],Tbl_MeasureList[#Headers],0))</f>
        <v>EQUI002</v>
      </c>
      <c r="E17" s="525" t="str">
        <f>INDEX(Tbl_MeasureList[],MATCH(Tbl_ER_MeasureSummary[[#This Row],[Measure ID]:[Measure ID]],Tbl_MeasureList[[Measure ID]:[Measure ID]],0),MATCH(Tbl_ER_MeasureSummary[[#Headers],[Replacement ID]],Tbl_MeasureList[#Headers],0))</f>
        <v>EQUI007</v>
      </c>
      <c r="F17" s="433" t="s">
        <v>1216</v>
      </c>
      <c r="G17" s="31" t="str">
        <f>INDEX(Tbl_MeasureList[],MATCH(Tbl_ER_MeasureSummary[[#This Row],[Measure ID]:[Measure ID]],Tbl_MeasureList[[Measure ID]:[Measure ID]],0),MATCH(Tbl_ER_MeasureSummary[[#Headers],[Baseline Name]],Tbl_MeasureList[#Headers],0))</f>
        <v>Baseline A/C Blend+Propane Furnace</v>
      </c>
      <c r="H17" s="525" t="str">
        <f>INDEX(Tbl_MeasureList[],MATCH(Tbl_ER_MeasureSummary[[#This Row],[Measure ID]:[Measure ID]],Tbl_MeasureList[[Measure ID]:[Measure ID]],0),MATCH(Tbl_ER_MeasureSummary[[#Headers],[Replacement Name]],Tbl_MeasureList[#Headers],0))</f>
        <v>Central HP</v>
      </c>
      <c r="I17"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Baseline A/C Blend+Propane Furnace to Central HP (EE)</v>
      </c>
      <c r="J17"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17</v>
      </c>
      <c r="K17" s="31" t="str">
        <f>INDEX(Tbl_MeasureList[],MATCH(Tbl_ER_MeasureSummary[[#This Row],[Measure ID]:[Measure ID]],Tbl_MeasureList[[Measure ID]:[Measure ID]],0),MATCH(Tbl_ER_MeasureSummary[[#Headers],[Baseline Function]],Tbl_MeasureList[#Headers],0))</f>
        <v>Cool+Heat</v>
      </c>
      <c r="L17" s="525" t="str">
        <f>INDEX(Tbl_MeasureList[],MATCH(Tbl_ER_MeasureSummary[[#This Row],[Measure ID]:[Measure ID]],Tbl_MeasureList[[Measure ID]:[Measure ID]],0),MATCH(Tbl_ER_MeasureSummary[[#Headers],[Replacement Function]],Tbl_MeasureList[#Headers],0))</f>
        <v>Cool+Heat</v>
      </c>
      <c r="M17" s="31" t="str">
        <f>INDEX(Tbl_MeasureList[],MATCH(Tbl_ER_MeasureSummary[[#This Row],[Measure ID]:[Measure ID]],Tbl_MeasureList[[Measure ID]:[Measure ID]],0),MATCH(Tbl_ER_MeasureSummary[[#Headers],[Keep Existing Heating Equipment?]],Tbl_MeasureList[#Headers],0))</f>
        <v>No</v>
      </c>
      <c r="N17"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Electric+Propane</v>
      </c>
      <c r="O17"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Electric</v>
      </c>
      <c r="P17"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CAC: 10 SEER/8.5 EER; 
Room A/C: 8 EER 
78% AFUE (78.9%)</v>
      </c>
      <c r="Q17"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CAC: 13 SEER/11 EER; 
Room A/C: 10 EER
85% AFUE</v>
      </c>
      <c r="R17"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16 SEER/8.5 HSPF</v>
      </c>
      <c r="S17"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18 SEER/9.6 HSPF</v>
      </c>
      <c r="T17" s="522">
        <f ca="1">IF(Tbl_ER_MeasureSummary[[#This Row],[Savings Stream]]="Retire","-",
INDEX(Tbl_MeasureList[],MATCH(Tbl_ER_MeasureSummary[[#This Row],[Measure ID]:[Measure ID]],Tbl_MeasureList[[Measure ID]:[Measure ID]],0),MATCH(Tbl_ER_MeasureSummary[[#Headers],[Fuel Switch Annual Energy Savings on MMBtu Basis (MMBtu/yr)]],Tbl_MeasureList[#Headers],0)))</f>
        <v>51.979412077166565</v>
      </c>
      <c r="U17" s="519">
        <f ca="1">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80.27531463669834</v>
      </c>
      <c r="V17" s="549">
        <f ca="1">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13273.974033262139</v>
      </c>
      <c r="W17" s="395">
        <f ca="1">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-7944.4452733545249</v>
      </c>
      <c r="X17" s="534">
        <f ca="1">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-1.693598781794597</v>
      </c>
      <c r="Y17" s="396">
        <f ca="1">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-0.55451550582750575</v>
      </c>
      <c r="Z17" s="536">
        <f ca="1">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0</v>
      </c>
      <c r="AA17" s="397">
        <f ca="1">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80.47058823529413</v>
      </c>
      <c r="AB17" s="536">
        <f ca="1">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0</v>
      </c>
      <c r="AC17" s="656">
        <f ca="1">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53.364140962608495</v>
      </c>
      <c r="AD17" s="536">
        <f ca="1">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5.5927058823529423</v>
      </c>
      <c r="AE17" s="658">
        <f ca="1">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2.7870455896150577</v>
      </c>
      <c r="AF17" s="519">
        <f ca="1">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1518.2011401151829</v>
      </c>
      <c r="AG17" s="549">
        <f ca="1">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14665.974033262139</v>
      </c>
      <c r="AH17" s="395">
        <f ca="1">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-6948.156061277351</v>
      </c>
      <c r="AI17" s="534">
        <f ca="1">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-2.6430105465004794</v>
      </c>
      <c r="AJ17" s="396">
        <f ca="1">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-0.55451550582750575</v>
      </c>
      <c r="AK17" s="536">
        <f ca="1">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0</v>
      </c>
      <c r="AL17" s="397">
        <f ca="1">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80.47058823529413</v>
      </c>
      <c r="AM17" s="536">
        <f ca="1">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0</v>
      </c>
      <c r="AN17" s="656">
        <f ca="1">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56.763479754215815</v>
      </c>
      <c r="AO17" s="536">
        <f ca="1">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5.5927058823529423</v>
      </c>
      <c r="AP17" s="658">
        <f ca="1">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3.1388950877522328</v>
      </c>
      <c r="AQ17" s="517">
        <f ca="1">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-76.707698728348873</v>
      </c>
      <c r="AR17"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-7.2977082321601934</v>
      </c>
      <c r="AS17"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-31.593498275681231</v>
      </c>
      <c r="AT17" s="538">
        <f ca="1">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-67.088014773492901</v>
      </c>
      <c r="AU17"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-6.382524385532979</v>
      </c>
      <c r="AV17"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-27.631451786493294</v>
      </c>
    </row>
    <row r="18" spans="2:48" ht="33.75" x14ac:dyDescent="0.2">
      <c r="B18" s="16"/>
      <c r="C18" s="44" t="s">
        <v>87</v>
      </c>
      <c r="D18" s="31" t="str">
        <f>INDEX(Tbl_MeasureList[],MATCH(Tbl_ER_MeasureSummary[[#This Row],[Measure ID]:[Measure ID]],Tbl_MeasureList[[Measure ID]:[Measure ID]],0),MATCH(Tbl_ER_MeasureSummary[[#Headers],[Baseline Equipment ID]],Tbl_MeasureList[#Headers],0))</f>
        <v>EQUI002</v>
      </c>
      <c r="E18" s="525" t="str">
        <f>INDEX(Tbl_MeasureList[],MATCH(Tbl_ER_MeasureSummary[[#This Row],[Measure ID]:[Measure ID]],Tbl_MeasureList[[Measure ID]:[Measure ID]],0),MATCH(Tbl_ER_MeasureSummary[[#Headers],[Replacement ID]],Tbl_MeasureList[#Headers],0))</f>
        <v>EQUI007</v>
      </c>
      <c r="F18" s="433" t="s">
        <v>1218</v>
      </c>
      <c r="G18" s="31" t="str">
        <f>INDEX(Tbl_MeasureList[],MATCH(Tbl_ER_MeasureSummary[[#This Row],[Measure ID]:[Measure ID]],Tbl_MeasureList[[Measure ID]:[Measure ID]],0),MATCH(Tbl_ER_MeasureSummary[[#Headers],[Baseline Name]],Tbl_MeasureList[#Headers],0))</f>
        <v>Baseline A/C Blend+Propane Furnace</v>
      </c>
      <c r="H18" s="525" t="str">
        <f>INDEX(Tbl_MeasureList[],MATCH(Tbl_ER_MeasureSummary[[#This Row],[Measure ID]:[Measure ID]],Tbl_MeasureList[[Measure ID]:[Measure ID]],0),MATCH(Tbl_ER_MeasureSummary[[#Headers],[Replacement Name]],Tbl_MeasureList[#Headers],0))</f>
        <v>Central HP</v>
      </c>
      <c r="I18"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Baseline A/C Blend+Propane Furnace to Central HP (Retire)</v>
      </c>
      <c r="J18"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6</v>
      </c>
      <c r="K18" s="31" t="str">
        <f>INDEX(Tbl_MeasureList[],MATCH(Tbl_ER_MeasureSummary[[#This Row],[Measure ID]:[Measure ID]],Tbl_MeasureList[[Measure ID]:[Measure ID]],0),MATCH(Tbl_ER_MeasureSummary[[#Headers],[Baseline Function]],Tbl_MeasureList[#Headers],0))</f>
        <v>Cool+Heat</v>
      </c>
      <c r="L18" s="525" t="str">
        <f>INDEX(Tbl_MeasureList[],MATCH(Tbl_ER_MeasureSummary[[#This Row],[Measure ID]:[Measure ID]],Tbl_MeasureList[[Measure ID]:[Measure ID]],0),MATCH(Tbl_ER_MeasureSummary[[#Headers],[Replacement Function]],Tbl_MeasureList[#Headers],0))</f>
        <v>Cool+Heat</v>
      </c>
      <c r="M18" s="31" t="str">
        <f>INDEX(Tbl_MeasureList[],MATCH(Tbl_ER_MeasureSummary[[#This Row],[Measure ID]:[Measure ID]],Tbl_MeasureList[[Measure ID]:[Measure ID]],0),MATCH(Tbl_ER_MeasureSummary[[#Headers],[Keep Existing Heating Equipment?]],Tbl_MeasureList[#Headers],0))</f>
        <v>No</v>
      </c>
      <c r="N18"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Electric+Propane</v>
      </c>
      <c r="O18"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Electric</v>
      </c>
      <c r="P18"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CAC: 10 SEER/8.5 EER; 
Room A/C: 8 EER 
78% AFUE (78.9%)</v>
      </c>
      <c r="Q18"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CAC: 13 SEER/11 EER; 
Room A/C: 10 EER
85% AFUE</v>
      </c>
      <c r="R18"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16 SEER/8.5 HSPF</v>
      </c>
      <c r="S18"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18 SEER/9.6 HSPF</v>
      </c>
      <c r="T18" s="522" t="str">
        <f>IF(Tbl_ER_MeasureSummary[[#This Row],[Savings Stream]]="Retire","-",
INDEX(Tbl_MeasureList[],MATCH(Tbl_ER_MeasureSummary[[#This Row],[Measure ID]:[Measure ID]],Tbl_MeasureList[[Measure ID]:[Measure ID]],0),MATCH(Tbl_ER_MeasureSummary[[#Headers],[Fuel Switch Annual Energy Savings on MMBtu Basis (MMBtu/yr)]],Tbl_MeasureList[#Headers],0)))</f>
        <v>-</v>
      </c>
      <c r="U18" s="519">
        <f>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282.43275931573362</v>
      </c>
      <c r="V18" s="549">
        <f>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0</v>
      </c>
      <c r="W18" s="395">
        <f>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297.27584000000002</v>
      </c>
      <c r="X18" s="534">
        <f>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4.6788111217641731E-4</v>
      </c>
      <c r="Y18" s="396">
        <f>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0.39502639572192488</v>
      </c>
      <c r="Z18" s="536">
        <f>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0</v>
      </c>
      <c r="AA18" s="397">
        <f>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6.2214269738313419</v>
      </c>
      <c r="AB18" s="536">
        <f>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0</v>
      </c>
      <c r="AC18" s="656">
        <f>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7.2357321399113346</v>
      </c>
      <c r="AD18" s="536">
        <f>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0.43238917468127802</v>
      </c>
      <c r="AE18" s="658">
        <f>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0.53737511033567831</v>
      </c>
      <c r="AF18" s="519">
        <f>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282.43275931573362</v>
      </c>
      <c r="AG18" s="549">
        <f>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0</v>
      </c>
      <c r="AH18" s="395">
        <f>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297.27584000000002</v>
      </c>
      <c r="AI18" s="534">
        <f>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4.6788111217641731E-4</v>
      </c>
      <c r="AJ18" s="396">
        <f>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0.39502639572192488</v>
      </c>
      <c r="AK18" s="536">
        <f>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0</v>
      </c>
      <c r="AL18" s="397">
        <f>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6.2214269738313419</v>
      </c>
      <c r="AM18" s="536">
        <f>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0</v>
      </c>
      <c r="AN18" s="656">
        <f>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7.2357321399113346</v>
      </c>
      <c r="AO18" s="536">
        <f>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0.43238917468127802</v>
      </c>
      <c r="AP18" s="658">
        <f>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0.53737511033567831</v>
      </c>
      <c r="AQ18" s="517">
        <f>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2.870350891637294</v>
      </c>
      <c r="AR18"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0.27307537155131012</v>
      </c>
      <c r="AS18"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1.1822076199507816</v>
      </c>
      <c r="AT18" s="538">
        <f>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2.870350891637294</v>
      </c>
      <c r="AU18"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0.27307537155131012</v>
      </c>
      <c r="AV18"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1.1822076199507816</v>
      </c>
    </row>
    <row r="19" spans="2:48" x14ac:dyDescent="0.2">
      <c r="B19" s="16"/>
      <c r="C19" s="44" t="s">
        <v>93</v>
      </c>
      <c r="D19" s="31" t="str">
        <f>INDEX(Tbl_MeasureList[],MATCH(Tbl_ER_MeasureSummary[[#This Row],[Measure ID]:[Measure ID]],Tbl_MeasureList[[Measure ID]:[Measure ID]],0),MATCH(Tbl_ER_MeasureSummary[[#Headers],[Baseline Equipment ID]],Tbl_MeasureList[#Headers],0))</f>
        <v>EQUI014</v>
      </c>
      <c r="E19" s="525" t="str">
        <f>INDEX(Tbl_MeasureList[],MATCH(Tbl_ER_MeasureSummary[[#This Row],[Measure ID]:[Measure ID]],Tbl_MeasureList[[Measure ID]:[Measure ID]],0),MATCH(Tbl_ER_MeasureSummary[[#Headers],[Replacement ID]],Tbl_MeasureList[#Headers],0))</f>
        <v>EQUI015</v>
      </c>
      <c r="F19" s="433" t="s">
        <v>1216</v>
      </c>
      <c r="G19" s="31" t="str">
        <f>INDEX(Tbl_MeasureList[],MATCH(Tbl_ER_MeasureSummary[[#This Row],[Measure ID]:[Measure ID]],Tbl_MeasureList[[Measure ID]:[Measure ID]],0),MATCH(Tbl_ER_MeasureSummary[[#Headers],[Baseline Name]],Tbl_MeasureList[#Headers],0))</f>
        <v>Tankless Coil WH</v>
      </c>
      <c r="H19" s="525" t="str">
        <f>INDEX(Tbl_MeasureList[],MATCH(Tbl_ER_MeasureSummary[[#This Row],[Measure ID]:[Measure ID]],Tbl_MeasureList[[Measure ID]:[Measure ID]],0),MATCH(Tbl_ER_MeasureSummary[[#Headers],[Replacement Name]],Tbl_MeasureList[#Headers],0))</f>
        <v>HPWH</v>
      </c>
      <c r="I19"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Tankless Coil WH to HPWH (EE)</v>
      </c>
      <c r="J19"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10</v>
      </c>
      <c r="K19" s="31" t="str">
        <f>INDEX(Tbl_MeasureList[],MATCH(Tbl_ER_MeasureSummary[[#This Row],[Measure ID]:[Measure ID]],Tbl_MeasureList[[Measure ID]:[Measure ID]],0),MATCH(Tbl_ER_MeasureSummary[[#Headers],[Baseline Function]],Tbl_MeasureList[#Headers],0))</f>
        <v>HW</v>
      </c>
      <c r="L19" s="525" t="str">
        <f>INDEX(Tbl_MeasureList[],MATCH(Tbl_ER_MeasureSummary[[#This Row],[Measure ID]:[Measure ID]],Tbl_MeasureList[[Measure ID]:[Measure ID]],0),MATCH(Tbl_ER_MeasureSummary[[#Headers],[Replacement Function]],Tbl_MeasureList[#Headers],0))</f>
        <v>HW</v>
      </c>
      <c r="M19" s="31" t="str">
        <f>INDEX(Tbl_MeasureList[],MATCH(Tbl_ER_MeasureSummary[[#This Row],[Measure ID]:[Measure ID]],Tbl_MeasureList[[Measure ID]:[Measure ID]],0),MATCH(Tbl_ER_MeasureSummary[[#Headers],[Keep Existing Heating Equipment?]],Tbl_MeasureList[#Headers],0))</f>
        <v>No</v>
      </c>
      <c r="N19"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Oil</v>
      </c>
      <c r="O19"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Electric</v>
      </c>
      <c r="P19"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75% AFUE</v>
      </c>
      <c r="Q19"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84% AFUE</v>
      </c>
      <c r="R19"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2.45 UEF</v>
      </c>
      <c r="S19"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v>
      </c>
      <c r="T19" s="522">
        <f ca="1">IF(Tbl_ER_MeasureSummary[[#This Row],[Savings Stream]]="Retire","-",
INDEX(Tbl_MeasureList[],MATCH(Tbl_ER_MeasureSummary[[#This Row],[Measure ID]:[Measure ID]],Tbl_MeasureList[[Measure ID]:[Measure ID]],0),MATCH(Tbl_ER_MeasureSummary[[#Headers],[Fuel Switch Annual Energy Savings on MMBtu Basis (MMBtu/yr)]],Tbl_MeasureList[#Headers],0)))</f>
        <v>1.4389233954451335</v>
      </c>
      <c r="U19" s="519">
        <f ca="1">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535.74757242193061</v>
      </c>
      <c r="V19" s="549">
        <f ca="1">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1759.0612516397423</v>
      </c>
      <c r="W19" s="395">
        <f ca="1">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-1662.7987654616359</v>
      </c>
      <c r="X19" s="534">
        <f ca="1">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-0.65645430930186965</v>
      </c>
      <c r="Y19" s="396">
        <f ca="1">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-0.30853352537187873</v>
      </c>
      <c r="Z19" s="536">
        <f ca="1">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0</v>
      </c>
      <c r="AA19" s="397">
        <f ca="1">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0</v>
      </c>
      <c r="AB19" s="536">
        <f ca="1">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16.047619047619047</v>
      </c>
      <c r="AC19" s="656">
        <f ca="1">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10.374149659863946</v>
      </c>
      <c r="AD19" s="536">
        <f ca="1">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1.2942404761904764</v>
      </c>
      <c r="AE19" s="658">
        <f ca="1">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0.70700646418004498</v>
      </c>
      <c r="AF19" s="519" t="str">
        <f>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v>
      </c>
      <c r="AG19" s="549" t="str">
        <f>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v>
      </c>
      <c r="AH19" s="395" t="str">
        <f>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v>
      </c>
      <c r="AI19" s="534" t="str">
        <f>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v>
      </c>
      <c r="AJ19" s="396" t="str">
        <f>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v>
      </c>
      <c r="AK19" s="536" t="str">
        <f>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v>
      </c>
      <c r="AL19" s="397" t="str">
        <f>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v>
      </c>
      <c r="AM19" s="536" t="str">
        <f>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v>
      </c>
      <c r="AN19" s="656" t="str">
        <f>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v>
      </c>
      <c r="AO19" s="536" t="str">
        <f>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v>
      </c>
      <c r="AP19" s="658" t="str">
        <f>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v>
      </c>
      <c r="AQ19" s="517">
        <f ca="1">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-16.055175957306847</v>
      </c>
      <c r="AR19"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114.80602477643502</v>
      </c>
      <c r="AS19"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-6.612624056410028</v>
      </c>
      <c r="AT19" s="538" t="str">
        <f>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v>
      </c>
      <c r="AU19" s="397" t="str">
        <f>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v>
      </c>
      <c r="AV19" s="550" t="str">
        <f>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v>
      </c>
    </row>
    <row r="20" spans="2:48" x14ac:dyDescent="0.2">
      <c r="B20" s="16"/>
      <c r="C20" s="44" t="s">
        <v>93</v>
      </c>
      <c r="D20" s="31" t="str">
        <f>INDEX(Tbl_MeasureList[],MATCH(Tbl_ER_MeasureSummary[[#This Row],[Measure ID]:[Measure ID]],Tbl_MeasureList[[Measure ID]:[Measure ID]],0),MATCH(Tbl_ER_MeasureSummary[[#Headers],[Baseline Equipment ID]],Tbl_MeasureList[#Headers],0))</f>
        <v>EQUI014</v>
      </c>
      <c r="E20" s="525" t="str">
        <f>INDEX(Tbl_MeasureList[],MATCH(Tbl_ER_MeasureSummary[[#This Row],[Measure ID]:[Measure ID]],Tbl_MeasureList[[Measure ID]:[Measure ID]],0),MATCH(Tbl_ER_MeasureSummary[[#Headers],[Replacement ID]],Tbl_MeasureList[#Headers],0))</f>
        <v>EQUI015</v>
      </c>
      <c r="F20" s="433" t="s">
        <v>1218</v>
      </c>
      <c r="G20" s="31" t="str">
        <f>INDEX(Tbl_MeasureList[],MATCH(Tbl_ER_MeasureSummary[[#This Row],[Measure ID]:[Measure ID]],Tbl_MeasureList[[Measure ID]:[Measure ID]],0),MATCH(Tbl_ER_MeasureSummary[[#Headers],[Baseline Name]],Tbl_MeasureList[#Headers],0))</f>
        <v>Tankless Coil WH</v>
      </c>
      <c r="H20" s="525" t="str">
        <f>INDEX(Tbl_MeasureList[],MATCH(Tbl_ER_MeasureSummary[[#This Row],[Measure ID]:[Measure ID]],Tbl_MeasureList[[Measure ID]:[Measure ID]],0),MATCH(Tbl_ER_MeasureSummary[[#Headers],[Replacement Name]],Tbl_MeasureList[#Headers],0))</f>
        <v>HPWH</v>
      </c>
      <c r="I20"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Tankless Coil WH to HPWH (Retire)</v>
      </c>
      <c r="J20"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7</v>
      </c>
      <c r="K20" s="31" t="str">
        <f>INDEX(Tbl_MeasureList[],MATCH(Tbl_ER_MeasureSummary[[#This Row],[Measure ID]:[Measure ID]],Tbl_MeasureList[[Measure ID]:[Measure ID]],0),MATCH(Tbl_ER_MeasureSummary[[#Headers],[Baseline Function]],Tbl_MeasureList[#Headers],0))</f>
        <v>HW</v>
      </c>
      <c r="L20" s="525" t="str">
        <f>INDEX(Tbl_MeasureList[],MATCH(Tbl_ER_MeasureSummary[[#This Row],[Measure ID]:[Measure ID]],Tbl_MeasureList[[Measure ID]:[Measure ID]],0),MATCH(Tbl_ER_MeasureSummary[[#Headers],[Replacement Function]],Tbl_MeasureList[#Headers],0))</f>
        <v>HW</v>
      </c>
      <c r="M20" s="31" t="str">
        <f>INDEX(Tbl_MeasureList[],MATCH(Tbl_ER_MeasureSummary[[#This Row],[Measure ID]:[Measure ID]],Tbl_MeasureList[[Measure ID]:[Measure ID]],0),MATCH(Tbl_ER_MeasureSummary[[#Headers],[Keep Existing Heating Equipment?]],Tbl_MeasureList[#Headers],0))</f>
        <v>No</v>
      </c>
      <c r="N20"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Oil</v>
      </c>
      <c r="O20"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Electric</v>
      </c>
      <c r="P20"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75% AFUE</v>
      </c>
      <c r="Q20"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84% AFUE</v>
      </c>
      <c r="R20"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2.45 UEF</v>
      </c>
      <c r="S20"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v>
      </c>
      <c r="T20" s="522" t="str">
        <f>IF(Tbl_ER_MeasureSummary[[#This Row],[Savings Stream]]="Retire","-",
INDEX(Tbl_MeasureList[],MATCH(Tbl_ER_MeasureSummary[[#This Row],[Measure ID]:[Measure ID]],Tbl_MeasureList[[Measure ID]:[Measure ID]],0),MATCH(Tbl_ER_MeasureSummary[[#Headers],[Fuel Switch Annual Energy Savings on MMBtu Basis (MMBtu/yr)]],Tbl_MeasureList[#Headers],0)))</f>
        <v>-</v>
      </c>
      <c r="U20" s="519">
        <f>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44.599466435936279</v>
      </c>
      <c r="V20" s="549">
        <f>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0</v>
      </c>
      <c r="W20" s="395">
        <f>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0</v>
      </c>
      <c r="X20" s="534">
        <f>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0</v>
      </c>
      <c r="Y20" s="396">
        <f>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20" s="536">
        <f>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0</v>
      </c>
      <c r="AA20" s="397">
        <f>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0</v>
      </c>
      <c r="AB20" s="536">
        <f>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1.9857142857142875</v>
      </c>
      <c r="AC20" s="656">
        <f>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1.9857142857142875</v>
      </c>
      <c r="AD20" s="536">
        <f>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0.16014785714285718</v>
      </c>
      <c r="AE20" s="658">
        <f>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0.16014785714285718</v>
      </c>
      <c r="AF20" s="519">
        <f>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44.599466435936279</v>
      </c>
      <c r="AG20" s="549">
        <f>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0</v>
      </c>
      <c r="AH20" s="395">
        <f>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0</v>
      </c>
      <c r="AI20" s="534">
        <f>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0</v>
      </c>
      <c r="AJ20" s="396">
        <f>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20" s="536">
        <f>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0</v>
      </c>
      <c r="AL20" s="397">
        <f>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0</v>
      </c>
      <c r="AM20" s="536">
        <f>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1.9857142857142875</v>
      </c>
      <c r="AN20" s="656">
        <f>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1.9857142857142875</v>
      </c>
      <c r="AO20" s="536">
        <f>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0.16014785714285718</v>
      </c>
      <c r="AP20" s="658">
        <f>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0.16014785714285718</v>
      </c>
      <c r="AQ20" s="517">
        <f>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0</v>
      </c>
      <c r="AR20"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130.72843041308735</v>
      </c>
      <c r="AS20"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0</v>
      </c>
      <c r="AT20" s="538">
        <f>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0</v>
      </c>
      <c r="AU20"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130.72843041308735</v>
      </c>
      <c r="AV20"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0</v>
      </c>
    </row>
    <row r="21" spans="2:48" x14ac:dyDescent="0.2">
      <c r="B21" s="16"/>
      <c r="C21" s="44" t="s">
        <v>94</v>
      </c>
      <c r="D21" s="31" t="str">
        <f>INDEX(Tbl_MeasureList[],MATCH(Tbl_ER_MeasureSummary[[#This Row],[Measure ID]:[Measure ID]],Tbl_MeasureList[[Measure ID]:[Measure ID]],0),MATCH(Tbl_ER_MeasureSummary[[#Headers],[Baseline Equipment ID]],Tbl_MeasureList[#Headers],0))</f>
        <v>EQUI008</v>
      </c>
      <c r="E21" s="525" t="str">
        <f>INDEX(Tbl_MeasureList[],MATCH(Tbl_ER_MeasureSummary[[#This Row],[Measure ID]:[Measure ID]],Tbl_MeasureList[[Measure ID]:[Measure ID]],0),MATCH(Tbl_ER_MeasureSummary[[#Headers],[Replacement ID]],Tbl_MeasureList[#Headers],0))</f>
        <v>EQUI016</v>
      </c>
      <c r="F21" s="433" t="s">
        <v>1216</v>
      </c>
      <c r="G21" s="31" t="str">
        <f>INDEX(Tbl_MeasureList[],MATCH(Tbl_ER_MeasureSummary[[#This Row],[Measure ID]:[Measure ID]],Tbl_MeasureList[[Measure ID]:[Measure ID]],0),MATCH(Tbl_ER_MeasureSummary[[#Headers],[Baseline Name]],Tbl_MeasureList[#Headers],0))</f>
        <v>Oil Boiler</v>
      </c>
      <c r="H21" s="525" t="str">
        <f>INDEX(Tbl_MeasureList[],MATCH(Tbl_ER_MeasureSummary[[#This Row],[Measure ID]:[Measure ID]],Tbl_MeasureList[[Measure ID]:[Measure ID]],0),MATCH(Tbl_ER_MeasureSummary[[#Headers],[Replacement Name]],Tbl_MeasureList[#Headers],0))</f>
        <v>Gas Boiler</v>
      </c>
      <c r="I21"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Oil Boiler to Gas Boiler (EE)</v>
      </c>
      <c r="J21"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20</v>
      </c>
      <c r="K21" s="31" t="str">
        <f>INDEX(Tbl_MeasureList[],MATCH(Tbl_ER_MeasureSummary[[#This Row],[Measure ID]:[Measure ID]],Tbl_MeasureList[[Measure ID]:[Measure ID]],0),MATCH(Tbl_ER_MeasureSummary[[#Headers],[Baseline Function]],Tbl_MeasureList[#Headers],0))</f>
        <v>Heat</v>
      </c>
      <c r="L21" s="525" t="str">
        <f>INDEX(Tbl_MeasureList[],MATCH(Tbl_ER_MeasureSummary[[#This Row],[Measure ID]:[Measure ID]],Tbl_MeasureList[[Measure ID]:[Measure ID]],0),MATCH(Tbl_ER_MeasureSummary[[#Headers],[Replacement Function]],Tbl_MeasureList[#Headers],0))</f>
        <v>Heat</v>
      </c>
      <c r="M21" s="31" t="str">
        <f>INDEX(Tbl_MeasureList[],MATCH(Tbl_ER_MeasureSummary[[#This Row],[Measure ID]:[Measure ID]],Tbl_MeasureList[[Measure ID]:[Measure ID]],0),MATCH(Tbl_ER_MeasureSummary[[#Headers],[Keep Existing Heating Equipment?]],Tbl_MeasureList[#Headers],0))</f>
        <v>No</v>
      </c>
      <c r="N21"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Oil</v>
      </c>
      <c r="O21"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21"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75% AFUE</v>
      </c>
      <c r="Q21"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84% AFUE</v>
      </c>
      <c r="R21"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90% AFUE (87.2% actual)</v>
      </c>
      <c r="S21"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95% AFUE (89.4% actual)</v>
      </c>
      <c r="T21" s="522">
        <f ca="1">IF(Tbl_ER_MeasureSummary[[#This Row],[Savings Stream]]="Retire","-",
INDEX(Tbl_MeasureList[],MATCH(Tbl_ER_MeasureSummary[[#This Row],[Measure ID]:[Measure ID]],Tbl_MeasureList[[Measure ID]:[Measure ID]],0),MATCH(Tbl_ER_MeasureSummary[[#Headers],[Fuel Switch Annual Energy Savings on MMBtu Basis (MMBtu/yr)]],Tbl_MeasureList[#Headers],0)))</f>
        <v>-5.2991916658860134</v>
      </c>
      <c r="U21" s="519">
        <f ca="1">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115.23107152955345</v>
      </c>
      <c r="V21" s="549">
        <f ca="1">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11854.575011161352</v>
      </c>
      <c r="W21" s="395">
        <f ca="1">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-99</v>
      </c>
      <c r="X21" s="534">
        <f ca="1">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-1.5186960690316387E-2</v>
      </c>
      <c r="Y21" s="396">
        <f ca="1">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21" s="536">
        <f ca="1">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-879.58715596330273</v>
      </c>
      <c r="AA21" s="397">
        <f ca="1">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0</v>
      </c>
      <c r="AB21" s="536">
        <f ca="1">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91.30952380952381</v>
      </c>
      <c r="AC21" s="656">
        <f ca="1">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3.013020213193542</v>
      </c>
      <c r="AD21" s="536">
        <f ca="1">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2.2185282328527745</v>
      </c>
      <c r="AE21" s="658">
        <f ca="1">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2.183565392852775</v>
      </c>
      <c r="AF21" s="519">
        <f ca="1">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650.74700498370612</v>
      </c>
      <c r="AG21" s="549">
        <f ca="1">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12115.575011161352</v>
      </c>
      <c r="AH21" s="395">
        <f ca="1">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-82</v>
      </c>
      <c r="AI21" s="534">
        <f ca="1">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-1.2579098753595391E-2</v>
      </c>
      <c r="AJ21" s="396">
        <f ca="1">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21" s="536">
        <f ca="1">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-857.94183445190151</v>
      </c>
      <c r="AL21" s="397">
        <f ca="1">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0</v>
      </c>
      <c r="AM21" s="536">
        <f ca="1">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91.30952380952381</v>
      </c>
      <c r="AN21" s="656">
        <f ca="1">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5.2355563643336609</v>
      </c>
      <c r="AO21" s="536">
        <f ca="1">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2.3451533636944708</v>
      </c>
      <c r="AP21" s="658">
        <f ca="1">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2.316194243694472</v>
      </c>
      <c r="AQ21" s="517">
        <f ca="1">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-0.9558958382628473</v>
      </c>
      <c r="AR21"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661.83608684518492</v>
      </c>
      <c r="AS21"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-85.873504909796495</v>
      </c>
      <c r="AT21" s="538">
        <f ca="1">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-0.79175210846013611</v>
      </c>
      <c r="AU21"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661.85170291851387</v>
      </c>
      <c r="AV21"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-83.702369461903317</v>
      </c>
    </row>
    <row r="22" spans="2:48" x14ac:dyDescent="0.2">
      <c r="B22" s="16"/>
      <c r="C22" s="44" t="s">
        <v>94</v>
      </c>
      <c r="D22" s="31" t="str">
        <f>INDEX(Tbl_MeasureList[],MATCH(Tbl_ER_MeasureSummary[[#This Row],[Measure ID]:[Measure ID]],Tbl_MeasureList[[Measure ID]:[Measure ID]],0),MATCH(Tbl_ER_MeasureSummary[[#Headers],[Baseline Equipment ID]],Tbl_MeasureList[#Headers],0))</f>
        <v>EQUI008</v>
      </c>
      <c r="E22" s="525" t="str">
        <f>INDEX(Tbl_MeasureList[],MATCH(Tbl_ER_MeasureSummary[[#This Row],[Measure ID]:[Measure ID]],Tbl_MeasureList[[Measure ID]:[Measure ID]],0),MATCH(Tbl_ER_MeasureSummary[[#Headers],[Replacement ID]],Tbl_MeasureList[#Headers],0))</f>
        <v>EQUI016</v>
      </c>
      <c r="F22" s="433" t="s">
        <v>1218</v>
      </c>
      <c r="G22" s="31" t="str">
        <f>INDEX(Tbl_MeasureList[],MATCH(Tbl_ER_MeasureSummary[[#This Row],[Measure ID]:[Measure ID]],Tbl_MeasureList[[Measure ID]:[Measure ID]],0),MATCH(Tbl_ER_MeasureSummary[[#Headers],[Baseline Name]],Tbl_MeasureList[#Headers],0))</f>
        <v>Oil Boiler</v>
      </c>
      <c r="H22" s="525" t="str">
        <f>INDEX(Tbl_MeasureList[],MATCH(Tbl_ER_MeasureSummary[[#This Row],[Measure ID]:[Measure ID]],Tbl_MeasureList[[Measure ID]:[Measure ID]],0),MATCH(Tbl_ER_MeasureSummary[[#Headers],[Replacement Name]],Tbl_MeasureList[#Headers],0))</f>
        <v>Gas Boiler</v>
      </c>
      <c r="I22"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Oil Boiler to Gas Boiler (Retire)</v>
      </c>
      <c r="J22"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10</v>
      </c>
      <c r="K22" s="31" t="str">
        <f>INDEX(Tbl_MeasureList[],MATCH(Tbl_ER_MeasureSummary[[#This Row],[Measure ID]:[Measure ID]],Tbl_MeasureList[[Measure ID]:[Measure ID]],0),MATCH(Tbl_ER_MeasureSummary[[#Headers],[Baseline Function]],Tbl_MeasureList[#Headers],0))</f>
        <v>Heat</v>
      </c>
      <c r="L22" s="525" t="str">
        <f>INDEX(Tbl_MeasureList[],MATCH(Tbl_ER_MeasureSummary[[#This Row],[Measure ID]:[Measure ID]],Tbl_MeasureList[[Measure ID]:[Measure ID]],0),MATCH(Tbl_ER_MeasureSummary[[#Headers],[Replacement Function]],Tbl_MeasureList[#Headers],0))</f>
        <v>Heat</v>
      </c>
      <c r="M22" s="31" t="str">
        <f>INDEX(Tbl_MeasureList[],MATCH(Tbl_ER_MeasureSummary[[#This Row],[Measure ID]:[Measure ID]],Tbl_MeasureList[[Measure ID]:[Measure ID]],0),MATCH(Tbl_ER_MeasureSummary[[#Headers],[Keep Existing Heating Equipment?]],Tbl_MeasureList[#Headers],0))</f>
        <v>No</v>
      </c>
      <c r="N22"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Oil</v>
      </c>
      <c r="O22"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22"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75% AFUE</v>
      </c>
      <c r="Q22"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84% AFUE</v>
      </c>
      <c r="R22"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90% AFUE (87.2% actual)</v>
      </c>
      <c r="S22"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95% AFUE (89.4% actual)</v>
      </c>
      <c r="T22" s="522" t="str">
        <f>IF(Tbl_ER_MeasureSummary[[#This Row],[Savings Stream]]="Retire","-",
INDEX(Tbl_MeasureList[],MATCH(Tbl_ER_MeasureSummary[[#This Row],[Measure ID]:[Measure ID]],Tbl_MeasureList[[Measure ID]:[Measure ID]],0),MATCH(Tbl_ER_MeasureSummary[[#Headers],[Fuel Switch Annual Energy Savings on MMBtu Basis (MMBtu/yr)]],Tbl_MeasureList[#Headers],0)))</f>
        <v>-</v>
      </c>
      <c r="U22" s="519">
        <f>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246.09921407455477</v>
      </c>
      <c r="V22" s="549">
        <f>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0</v>
      </c>
      <c r="W22" s="395">
        <f>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0</v>
      </c>
      <c r="X22" s="534">
        <f>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0</v>
      </c>
      <c r="Y22" s="396">
        <f>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22" s="536">
        <f>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0</v>
      </c>
      <c r="AA22" s="397">
        <f>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0</v>
      </c>
      <c r="AB22" s="536">
        <f>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10.957142857142856</v>
      </c>
      <c r="AC22" s="656">
        <f>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10.957142857142856</v>
      </c>
      <c r="AD22" s="536">
        <f>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0.88369357142857208</v>
      </c>
      <c r="AE22" s="658">
        <f>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0.88369357142857119</v>
      </c>
      <c r="AF22" s="519">
        <f>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246.09921407455477</v>
      </c>
      <c r="AG22" s="549">
        <f>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0</v>
      </c>
      <c r="AH22" s="395">
        <f>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0</v>
      </c>
      <c r="AI22" s="534">
        <f>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0</v>
      </c>
      <c r="AJ22" s="396">
        <f>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22" s="536">
        <f>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0</v>
      </c>
      <c r="AL22" s="397">
        <f>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0</v>
      </c>
      <c r="AM22" s="536">
        <f>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10.957142857142856</v>
      </c>
      <c r="AN22" s="656">
        <f>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10.957142857142856</v>
      </c>
      <c r="AO22" s="536">
        <f>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0.88369357142857208</v>
      </c>
      <c r="AP22" s="658">
        <f>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0.88369357142857119</v>
      </c>
      <c r="AQ22" s="517">
        <f>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0</v>
      </c>
      <c r="AR22"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741.35827080841398</v>
      </c>
      <c r="AS22"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-85.479801356977916</v>
      </c>
      <c r="AT22" s="538">
        <f>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0</v>
      </c>
      <c r="AU22"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741.35827080841398</v>
      </c>
      <c r="AV22"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-85.479801356977916</v>
      </c>
    </row>
    <row r="23" spans="2:48" x14ac:dyDescent="0.2">
      <c r="B23" s="16"/>
      <c r="C23" s="44" t="s">
        <v>95</v>
      </c>
      <c r="D23" s="31" t="str">
        <f>INDEX(Tbl_MeasureList[],MATCH(Tbl_ER_MeasureSummary[[#This Row],[Measure ID]:[Measure ID]],Tbl_MeasureList[[Measure ID]:[Measure ID]],0),MATCH(Tbl_ER_MeasureSummary[[#Headers],[Baseline Equipment ID]],Tbl_MeasureList[#Headers],0))</f>
        <v>EQUI009</v>
      </c>
      <c r="E23" s="525" t="str">
        <f>INDEX(Tbl_MeasureList[],MATCH(Tbl_ER_MeasureSummary[[#This Row],[Measure ID]:[Measure ID]],Tbl_MeasureList[[Measure ID]:[Measure ID]],0),MATCH(Tbl_ER_MeasureSummary[[#Headers],[Replacement ID]],Tbl_MeasureList[#Headers],0))</f>
        <v>EQUI016</v>
      </c>
      <c r="F23" s="433" t="s">
        <v>1216</v>
      </c>
      <c r="G23" s="31" t="str">
        <f>INDEX(Tbl_MeasureList[],MATCH(Tbl_ER_MeasureSummary[[#This Row],[Measure ID]:[Measure ID]],Tbl_MeasureList[[Measure ID]:[Measure ID]],0),MATCH(Tbl_ER_MeasureSummary[[#Headers],[Baseline Name]],Tbl_MeasureList[#Headers],0))</f>
        <v>Propane Boiler</v>
      </c>
      <c r="H23" s="525" t="str">
        <f>INDEX(Tbl_MeasureList[],MATCH(Tbl_ER_MeasureSummary[[#This Row],[Measure ID]:[Measure ID]],Tbl_MeasureList[[Measure ID]:[Measure ID]],0),MATCH(Tbl_ER_MeasureSummary[[#Headers],[Replacement Name]],Tbl_MeasureList[#Headers],0))</f>
        <v>Gas Boiler</v>
      </c>
      <c r="I23"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Propane Boiler to Gas Boiler (EE)</v>
      </c>
      <c r="J23"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20</v>
      </c>
      <c r="K23" s="31" t="str">
        <f>INDEX(Tbl_MeasureList[],MATCH(Tbl_ER_MeasureSummary[[#This Row],[Measure ID]:[Measure ID]],Tbl_MeasureList[[Measure ID]:[Measure ID]],0),MATCH(Tbl_ER_MeasureSummary[[#Headers],[Baseline Function]],Tbl_MeasureList[#Headers],0))</f>
        <v>Heat</v>
      </c>
      <c r="L23" s="525" t="str">
        <f>INDEX(Tbl_MeasureList[],MATCH(Tbl_ER_MeasureSummary[[#This Row],[Measure ID]:[Measure ID]],Tbl_MeasureList[[Measure ID]:[Measure ID]],0),MATCH(Tbl_ER_MeasureSummary[[#Headers],[Replacement Function]],Tbl_MeasureList[#Headers],0))</f>
        <v>Heat</v>
      </c>
      <c r="M23" s="31" t="str">
        <f>INDEX(Tbl_MeasureList[],MATCH(Tbl_ER_MeasureSummary[[#This Row],[Measure ID]:[Measure ID]],Tbl_MeasureList[[Measure ID]:[Measure ID]],0),MATCH(Tbl_ER_MeasureSummary[[#Headers],[Keep Existing Heating Equipment?]],Tbl_MeasureList[#Headers],0))</f>
        <v>No</v>
      </c>
      <c r="N23"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Propane</v>
      </c>
      <c r="O23"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23"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75% AFUE</v>
      </c>
      <c r="Q23"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82% AFUE (79.3% actual)</v>
      </c>
      <c r="R23"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90% AFUE (87.2% actual)</v>
      </c>
      <c r="S23"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95% AFUE (89.4% actual)</v>
      </c>
      <c r="T23" s="522">
        <f ca="1">IF(Tbl_ER_MeasureSummary[[#This Row],[Savings Stream]]="Retire","-",
INDEX(Tbl_MeasureList[],MATCH(Tbl_ER_MeasureSummary[[#This Row],[Measure ID]:[Measure ID]],Tbl_MeasureList[[Measure ID]:[Measure ID]],0),MATCH(Tbl_ER_MeasureSummary[[#Headers],[Fuel Switch Annual Energy Savings on MMBtu Basis (MMBtu/yr)]],Tbl_MeasureList[#Headers],0)))</f>
        <v>0</v>
      </c>
      <c r="U23" s="519">
        <f ca="1">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115.23107152955345</v>
      </c>
      <c r="V23" s="549">
        <f ca="1">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11971.225196418456</v>
      </c>
      <c r="W23" s="395">
        <f ca="1">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-132</v>
      </c>
      <c r="X23" s="534">
        <f ca="1">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-2.0249280920421858E-2</v>
      </c>
      <c r="Y23" s="396">
        <f ca="1">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23" s="536">
        <f ca="1">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-879.58715596330273</v>
      </c>
      <c r="AA23" s="397">
        <f ca="1">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96.721311475409834</v>
      </c>
      <c r="AB23" s="536">
        <f ca="1">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0</v>
      </c>
      <c r="AC23" s="656">
        <f ca="1">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8.3122118790795554</v>
      </c>
      <c r="AD23" s="536">
        <f ca="1">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1.5765462851556631</v>
      </c>
      <c r="AE23" s="658">
        <f ca="1">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1.5299291651556626</v>
      </c>
      <c r="AF23" s="519">
        <f ca="1">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2070.0777604679547</v>
      </c>
      <c r="AG23" s="549">
        <f ca="1">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12232.225196418456</v>
      </c>
      <c r="AH23" s="395">
        <f ca="1">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-115</v>
      </c>
      <c r="AI23" s="534">
        <f ca="1">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-1.7641418983700863E-2</v>
      </c>
      <c r="AJ23" s="396">
        <f ca="1">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23" s="536">
        <f ca="1">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-857.94183445190151</v>
      </c>
      <c r="AL23" s="397">
        <f ca="1">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96.721311475409834</v>
      </c>
      <c r="AM23" s="536">
        <f ca="1">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0</v>
      </c>
      <c r="AN23" s="656">
        <f ca="1">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10.534748030219674</v>
      </c>
      <c r="AO23" s="536">
        <f ca="1">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1.7031714159973594</v>
      </c>
      <c r="AP23" s="658">
        <f ca="1">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1.6625580159973596</v>
      </c>
      <c r="AQ23" s="517">
        <f ca="1">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-1.274527784350463</v>
      </c>
      <c r="AR23"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-0.12125421643673746</v>
      </c>
      <c r="AS23"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-86.004739427402683</v>
      </c>
      <c r="AT23" s="538">
        <f ca="1">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-1.1103840545477519</v>
      </c>
      <c r="AU23"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-0.1056381431077637</v>
      </c>
      <c r="AV23"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-83.833603979509505</v>
      </c>
    </row>
    <row r="24" spans="2:48" x14ac:dyDescent="0.2">
      <c r="B24" s="16"/>
      <c r="C24" s="44" t="s">
        <v>95</v>
      </c>
      <c r="D24" s="31" t="str">
        <f>INDEX(Tbl_MeasureList[],MATCH(Tbl_ER_MeasureSummary[[#This Row],[Measure ID]:[Measure ID]],Tbl_MeasureList[[Measure ID]:[Measure ID]],0),MATCH(Tbl_ER_MeasureSummary[[#Headers],[Baseline Equipment ID]],Tbl_MeasureList[#Headers],0))</f>
        <v>EQUI009</v>
      </c>
      <c r="E24" s="525" t="str">
        <f>INDEX(Tbl_MeasureList[],MATCH(Tbl_ER_MeasureSummary[[#This Row],[Measure ID]:[Measure ID]],Tbl_MeasureList[[Measure ID]:[Measure ID]],0),MATCH(Tbl_ER_MeasureSummary[[#Headers],[Replacement ID]],Tbl_MeasureList[#Headers],0))</f>
        <v>EQUI016</v>
      </c>
      <c r="F24" s="433" t="s">
        <v>1218</v>
      </c>
      <c r="G24" s="31" t="str">
        <f>INDEX(Tbl_MeasureList[],MATCH(Tbl_ER_MeasureSummary[[#This Row],[Measure ID]:[Measure ID]],Tbl_MeasureList[[Measure ID]:[Measure ID]],0),MATCH(Tbl_ER_MeasureSummary[[#Headers],[Baseline Name]],Tbl_MeasureList[#Headers],0))</f>
        <v>Propane Boiler</v>
      </c>
      <c r="H24" s="525" t="str">
        <f>INDEX(Tbl_MeasureList[],MATCH(Tbl_ER_MeasureSummary[[#This Row],[Measure ID]:[Measure ID]],Tbl_MeasureList[[Measure ID]:[Measure ID]],0),MATCH(Tbl_ER_MeasureSummary[[#Headers],[Replacement Name]],Tbl_MeasureList[#Headers],0))</f>
        <v>Gas Boiler</v>
      </c>
      <c r="I24"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Propane Boiler to Gas Boiler (Retire)</v>
      </c>
      <c r="J24"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10</v>
      </c>
      <c r="K24" s="31" t="str">
        <f>INDEX(Tbl_MeasureList[],MATCH(Tbl_ER_MeasureSummary[[#This Row],[Measure ID]:[Measure ID]],Tbl_MeasureList[[Measure ID]:[Measure ID]],0),MATCH(Tbl_ER_MeasureSummary[[#Headers],[Baseline Function]],Tbl_MeasureList[#Headers],0))</f>
        <v>Heat</v>
      </c>
      <c r="L24" s="525" t="str">
        <f>INDEX(Tbl_MeasureList[],MATCH(Tbl_ER_MeasureSummary[[#This Row],[Measure ID]:[Measure ID]],Tbl_MeasureList[[Measure ID]:[Measure ID]],0),MATCH(Tbl_ER_MeasureSummary[[#Headers],[Replacement Function]],Tbl_MeasureList[#Headers],0))</f>
        <v>Heat</v>
      </c>
      <c r="M24" s="31" t="str">
        <f>INDEX(Tbl_MeasureList[],MATCH(Tbl_ER_MeasureSummary[[#This Row],[Measure ID]:[Measure ID]],Tbl_MeasureList[[Measure ID]:[Measure ID]],0),MATCH(Tbl_ER_MeasureSummary[[#Headers],[Keep Existing Heating Equipment?]],Tbl_MeasureList[#Headers],0))</f>
        <v>No</v>
      </c>
      <c r="N24"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Propane</v>
      </c>
      <c r="O24"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24"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75% AFUE</v>
      </c>
      <c r="Q24"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82% AFUE (79.3% actual)</v>
      </c>
      <c r="R24"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90% AFUE (87.2% actual)</v>
      </c>
      <c r="S24"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95% AFUE (89.4% actual)</v>
      </c>
      <c r="T24" s="522" t="str">
        <f>IF(Tbl_ER_MeasureSummary[[#This Row],[Savings Stream]]="Retire","-",
INDEX(Tbl_MeasureList[],MATCH(Tbl_ER_MeasureSummary[[#This Row],[Measure ID]:[Measure ID]],Tbl_MeasureList[[Measure ID]:[Measure ID]],0),MATCH(Tbl_ER_MeasureSummary[[#Headers],[Fuel Switch Annual Energy Savings on MMBtu Basis (MMBtu/yr)]],Tbl_MeasureList[#Headers],0)))</f>
        <v>-</v>
      </c>
      <c r="U24" s="519">
        <f>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199.32993652782852</v>
      </c>
      <c r="V24" s="549">
        <f>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0</v>
      </c>
      <c r="W24" s="395">
        <f>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0</v>
      </c>
      <c r="X24" s="534">
        <f>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0</v>
      </c>
      <c r="Y24" s="396">
        <f>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24" s="536">
        <f>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0</v>
      </c>
      <c r="AA24" s="397">
        <f>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5.5453551912568315</v>
      </c>
      <c r="AB24" s="536">
        <f>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0</v>
      </c>
      <c r="AC24" s="656">
        <f>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5.5453551912568315</v>
      </c>
      <c r="AD24" s="536">
        <f>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0.38540218579234864</v>
      </c>
      <c r="AE24" s="658">
        <f>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0.38540218579234953</v>
      </c>
      <c r="AF24" s="519">
        <f>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199.32993652782852</v>
      </c>
      <c r="AG24" s="549">
        <f>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0</v>
      </c>
      <c r="AH24" s="395">
        <f>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0</v>
      </c>
      <c r="AI24" s="534">
        <f>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0</v>
      </c>
      <c r="AJ24" s="396">
        <f>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24" s="536">
        <f>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0</v>
      </c>
      <c r="AL24" s="397">
        <f>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5.5453551912568315</v>
      </c>
      <c r="AM24" s="536">
        <f>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0</v>
      </c>
      <c r="AN24" s="656">
        <f>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5.5453551912568315</v>
      </c>
      <c r="AO24" s="536">
        <f>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0.38540218579234864</v>
      </c>
      <c r="AP24" s="658">
        <f>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0.38540218579234953</v>
      </c>
      <c r="AQ24" s="517">
        <f>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0</v>
      </c>
      <c r="AR24"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0</v>
      </c>
      <c r="AS24"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-85.479801356977916</v>
      </c>
      <c r="AT24" s="538">
        <f>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0</v>
      </c>
      <c r="AU24"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0</v>
      </c>
      <c r="AV24"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-85.479801356977916</v>
      </c>
    </row>
    <row r="25" spans="2:48" x14ac:dyDescent="0.2">
      <c r="B25" s="16"/>
      <c r="C25" s="44" t="s">
        <v>96</v>
      </c>
      <c r="D25" s="31" t="str">
        <f>INDEX(Tbl_MeasureList[],MATCH(Tbl_ER_MeasureSummary[[#This Row],[Measure ID]:[Measure ID]],Tbl_MeasureList[[Measure ID]:[Measure ID]],0),MATCH(Tbl_ER_MeasureSummary[[#Headers],[Baseline Equipment ID]],Tbl_MeasureList[#Headers],0))</f>
        <v>EQUI017</v>
      </c>
      <c r="E25" s="525" t="str">
        <f>INDEX(Tbl_MeasureList[],MATCH(Tbl_ER_MeasureSummary[[#This Row],[Measure ID]:[Measure ID]],Tbl_MeasureList[[Measure ID]:[Measure ID]],0),MATCH(Tbl_ER_MeasureSummary[[#Headers],[Replacement ID]],Tbl_MeasureList[#Headers],0))</f>
        <v>EQUI019</v>
      </c>
      <c r="F25" s="433" t="s">
        <v>1216</v>
      </c>
      <c r="G25" s="31" t="str">
        <f>INDEX(Tbl_MeasureList[],MATCH(Tbl_ER_MeasureSummary[[#This Row],[Measure ID]:[Measure ID]],Tbl_MeasureList[[Measure ID]:[Measure ID]],0),MATCH(Tbl_ER_MeasureSummary[[#Headers],[Baseline Name]],Tbl_MeasureList[#Headers],0))</f>
        <v>Oil Boiler+Indirect WH</v>
      </c>
      <c r="H25" s="525" t="str">
        <f>INDEX(Tbl_MeasureList[],MATCH(Tbl_ER_MeasureSummary[[#This Row],[Measure ID]:[Measure ID]],Tbl_MeasureList[[Measure ID]:[Measure ID]],0),MATCH(Tbl_ER_MeasureSummary[[#Headers],[Replacement Name]],Tbl_MeasureList[#Headers],0))</f>
        <v>Gas Boiler+Indirect WH</v>
      </c>
      <c r="I25"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Oil Boiler+Indirect WH to Gas Boiler+Indirect WH (EE)</v>
      </c>
      <c r="J25"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20</v>
      </c>
      <c r="K25" s="31" t="str">
        <f>INDEX(Tbl_MeasureList[],MATCH(Tbl_ER_MeasureSummary[[#This Row],[Measure ID]:[Measure ID]],Tbl_MeasureList[[Measure ID]:[Measure ID]],0),MATCH(Tbl_ER_MeasureSummary[[#Headers],[Baseline Function]],Tbl_MeasureList[#Headers],0))</f>
        <v>Heat+HW</v>
      </c>
      <c r="L25" s="525" t="str">
        <f>INDEX(Tbl_MeasureList[],MATCH(Tbl_ER_MeasureSummary[[#This Row],[Measure ID]:[Measure ID]],Tbl_MeasureList[[Measure ID]:[Measure ID]],0),MATCH(Tbl_ER_MeasureSummary[[#Headers],[Replacement Function]],Tbl_MeasureList[#Headers],0))</f>
        <v>Heat+HW</v>
      </c>
      <c r="M25" s="31" t="str">
        <f>INDEX(Tbl_MeasureList[],MATCH(Tbl_ER_MeasureSummary[[#This Row],[Measure ID]:[Measure ID]],Tbl_MeasureList[[Measure ID]:[Measure ID]],0),MATCH(Tbl_ER_MeasureSummary[[#Headers],[Keep Existing Heating Equipment?]],Tbl_MeasureList[#Headers],0))</f>
        <v>No</v>
      </c>
      <c r="N25"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Oil</v>
      </c>
      <c r="O25"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25"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75% AFUE, UA 4.1 Btu/hr-F</v>
      </c>
      <c r="Q25"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84% AFUE, UA 4.1 Btu/hr-F</v>
      </c>
      <c r="R25"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90% AFUE (87.2% actual)</v>
      </c>
      <c r="S25"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95% AFUE (89.4% actual)</v>
      </c>
      <c r="T25" s="522">
        <f ca="1">IF(Tbl_ER_MeasureSummary[[#This Row],[Savings Stream]]="Retire","-",
INDEX(Tbl_MeasureList[],MATCH(Tbl_ER_MeasureSummary[[#This Row],[Measure ID]:[Measure ID]],Tbl_MeasureList[[Measure ID]:[Measure ID]],0),MATCH(Tbl_ER_MeasureSummary[[#Headers],[Fuel Switch Annual Energy Savings on MMBtu Basis (MMBtu/yr)]],Tbl_MeasureList[#Headers],0)))</f>
        <v>-6.8570376847414707</v>
      </c>
      <c r="U25" s="519">
        <f ca="1">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170.26446438735729</v>
      </c>
      <c r="V25" s="549">
        <f ca="1">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13897.004663072888</v>
      </c>
      <c r="W25" s="395">
        <f ca="1">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-99</v>
      </c>
      <c r="X25" s="534">
        <f ca="1">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-1.5186960690316387E-2</v>
      </c>
      <c r="Y25" s="396">
        <f ca="1">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25" s="536">
        <f ca="1">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-1059.5848623853212</v>
      </c>
      <c r="AA25" s="397">
        <f ca="1">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0</v>
      </c>
      <c r="AB25" s="536">
        <f ca="1">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109.99500000000002</v>
      </c>
      <c r="AC25" s="656">
        <f ca="1">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3.6987257614679123</v>
      </c>
      <c r="AD25" s="536">
        <f ca="1">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2.6725253050458742</v>
      </c>
      <c r="AE25" s="658">
        <f ca="1">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2.6375624650458738</v>
      </c>
      <c r="AF25" s="519">
        <f ca="1">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741.74028579861169</v>
      </c>
      <c r="AG25" s="549">
        <f ca="1">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14158.004663072888</v>
      </c>
      <c r="AH25" s="395">
        <f ca="1">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-82</v>
      </c>
      <c r="AI25" s="534">
        <f ca="1">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-1.2579098753595391E-2</v>
      </c>
      <c r="AJ25" s="396">
        <f ca="1">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25" s="536">
        <f ca="1">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-1033.510067114094</v>
      </c>
      <c r="AL25" s="397">
        <f ca="1">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0</v>
      </c>
      <c r="AM25" s="536">
        <f ca="1">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109.99500000000002</v>
      </c>
      <c r="AN25" s="656">
        <f ca="1">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6.3642092885906294</v>
      </c>
      <c r="AO25" s="536">
        <f ca="1">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2.8250628573825534</v>
      </c>
      <c r="AP25" s="658">
        <f ca="1">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2.7961037373825528</v>
      </c>
      <c r="AQ25" s="517">
        <f ca="1">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-0.9558958382628473</v>
      </c>
      <c r="AR25"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797.29207430740689</v>
      </c>
      <c r="AS25"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-103.36599338618313</v>
      </c>
      <c r="AT25" s="538">
        <f ca="1">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-0.79175210846013611</v>
      </c>
      <c r="AU25"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797.30769038073583</v>
      </c>
      <c r="AV25"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-100.76439401605224</v>
      </c>
    </row>
    <row r="26" spans="2:48" x14ac:dyDescent="0.2">
      <c r="B26" s="16"/>
      <c r="C26" s="44" t="s">
        <v>96</v>
      </c>
      <c r="D26" s="31" t="str">
        <f>INDEX(Tbl_MeasureList[],MATCH(Tbl_ER_MeasureSummary[[#This Row],[Measure ID]:[Measure ID]],Tbl_MeasureList[[Measure ID]:[Measure ID]],0),MATCH(Tbl_ER_MeasureSummary[[#Headers],[Baseline Equipment ID]],Tbl_MeasureList[#Headers],0))</f>
        <v>EQUI017</v>
      </c>
      <c r="E26" s="525" t="str">
        <f>INDEX(Tbl_MeasureList[],MATCH(Tbl_ER_MeasureSummary[[#This Row],[Measure ID]:[Measure ID]],Tbl_MeasureList[[Measure ID]:[Measure ID]],0),MATCH(Tbl_ER_MeasureSummary[[#Headers],[Replacement ID]],Tbl_MeasureList[#Headers],0))</f>
        <v>EQUI019</v>
      </c>
      <c r="F26" s="433" t="s">
        <v>1218</v>
      </c>
      <c r="G26" s="31" t="str">
        <f>INDEX(Tbl_MeasureList[],MATCH(Tbl_ER_MeasureSummary[[#This Row],[Measure ID]:[Measure ID]],Tbl_MeasureList[[Measure ID]:[Measure ID]],0),MATCH(Tbl_ER_MeasureSummary[[#Headers],[Baseline Name]],Tbl_MeasureList[#Headers],0))</f>
        <v>Oil Boiler+Indirect WH</v>
      </c>
      <c r="H26" s="525" t="str">
        <f>INDEX(Tbl_MeasureList[],MATCH(Tbl_ER_MeasureSummary[[#This Row],[Measure ID]:[Measure ID]],Tbl_MeasureList[[Measure ID]:[Measure ID]],0),MATCH(Tbl_ER_MeasureSummary[[#Headers],[Replacement Name]],Tbl_MeasureList[#Headers],0))</f>
        <v>Gas Boiler+Indirect WH</v>
      </c>
      <c r="I26"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Oil Boiler+Indirect WH to Gas Boiler+Indirect WH (Retire)</v>
      </c>
      <c r="J26"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10</v>
      </c>
      <c r="K26" s="31" t="str">
        <f>INDEX(Tbl_MeasureList[],MATCH(Tbl_ER_MeasureSummary[[#This Row],[Measure ID]:[Measure ID]],Tbl_MeasureList[[Measure ID]:[Measure ID]],0),MATCH(Tbl_ER_MeasureSummary[[#Headers],[Baseline Function]],Tbl_MeasureList[#Headers],0))</f>
        <v>Heat+HW</v>
      </c>
      <c r="L26" s="525" t="str">
        <f>INDEX(Tbl_MeasureList[],MATCH(Tbl_ER_MeasureSummary[[#This Row],[Measure ID]:[Measure ID]],Tbl_MeasureList[[Measure ID]:[Measure ID]],0),MATCH(Tbl_ER_MeasureSummary[[#Headers],[Replacement Function]],Tbl_MeasureList[#Headers],0))</f>
        <v>Heat+HW</v>
      </c>
      <c r="M26" s="31" t="str">
        <f>INDEX(Tbl_MeasureList[],MATCH(Tbl_ER_MeasureSummary[[#This Row],[Measure ID]:[Measure ID]],Tbl_MeasureList[[Measure ID]:[Measure ID]],0),MATCH(Tbl_ER_MeasureSummary[[#Headers],[Keep Existing Heating Equipment?]],Tbl_MeasureList[#Headers],0))</f>
        <v>No</v>
      </c>
      <c r="N26"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Oil</v>
      </c>
      <c r="O26"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26"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75% AFUE, UA 4.1 Btu/hr-F</v>
      </c>
      <c r="Q26"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84% AFUE, UA 4.1 Btu/hr-F</v>
      </c>
      <c r="R26"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90% AFUE (87.2% actual)</v>
      </c>
      <c r="S26"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95% AFUE (89.4% actual)</v>
      </c>
      <c r="T26" s="522" t="str">
        <f>IF(Tbl_ER_MeasureSummary[[#This Row],[Savings Stream]]="Retire","-",
INDEX(Tbl_MeasureList[],MATCH(Tbl_ER_MeasureSummary[[#This Row],[Measure ID]:[Measure ID]],Tbl_MeasureList[[Measure ID]:[Measure ID]],0),MATCH(Tbl_ER_MeasureSummary[[#Headers],[Fuel Switch Annual Energy Savings on MMBtu Basis (MMBtu/yr)]],Tbl_MeasureList[#Headers],0)))</f>
        <v>-</v>
      </c>
      <c r="U26" s="519">
        <f>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296.46067488643712</v>
      </c>
      <c r="V26" s="549">
        <f>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0</v>
      </c>
      <c r="W26" s="395">
        <f>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0</v>
      </c>
      <c r="X26" s="534">
        <f>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0</v>
      </c>
      <c r="Y26" s="396">
        <f>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26" s="536">
        <f>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0</v>
      </c>
      <c r="AA26" s="397">
        <f>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0</v>
      </c>
      <c r="AB26" s="536">
        <f>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13.199399999999997</v>
      </c>
      <c r="AC26" s="656">
        <f>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13.199399999999997</v>
      </c>
      <c r="AD26" s="536">
        <f>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1.0645316099999995</v>
      </c>
      <c r="AE26" s="658">
        <f>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1.0645316099999995</v>
      </c>
      <c r="AF26" s="519">
        <f>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296.46067488643712</v>
      </c>
      <c r="AG26" s="549">
        <f>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0</v>
      </c>
      <c r="AH26" s="395">
        <f>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0</v>
      </c>
      <c r="AI26" s="534">
        <f>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0</v>
      </c>
      <c r="AJ26" s="396">
        <f>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26" s="536">
        <f>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0</v>
      </c>
      <c r="AL26" s="397">
        <f>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0</v>
      </c>
      <c r="AM26" s="536">
        <f>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13.199399999999997</v>
      </c>
      <c r="AN26" s="656">
        <f>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13.199399999999997</v>
      </c>
      <c r="AO26" s="536">
        <f>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1.0645316099999995</v>
      </c>
      <c r="AP26" s="658">
        <f>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1.0645316099999995</v>
      </c>
      <c r="AQ26" s="517">
        <f>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0</v>
      </c>
      <c r="AR26"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893.06897676610254</v>
      </c>
      <c r="AS26"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-102.97228983336456</v>
      </c>
      <c r="AT26" s="538">
        <f>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0</v>
      </c>
      <c r="AU26"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893.06897676610254</v>
      </c>
      <c r="AV26"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-102.97228983336456</v>
      </c>
    </row>
    <row r="27" spans="2:48" x14ac:dyDescent="0.2">
      <c r="B27" s="16"/>
      <c r="C27" s="44" t="s">
        <v>97</v>
      </c>
      <c r="D27" s="31" t="str">
        <f>INDEX(Tbl_MeasureList[],MATCH(Tbl_ER_MeasureSummary[[#This Row],[Measure ID]:[Measure ID]],Tbl_MeasureList[[Measure ID]:[Measure ID]],0),MATCH(Tbl_ER_MeasureSummary[[#Headers],[Baseline Equipment ID]],Tbl_MeasureList[#Headers],0))</f>
        <v>EQUI018</v>
      </c>
      <c r="E27" s="525" t="str">
        <f>INDEX(Tbl_MeasureList[],MATCH(Tbl_ER_MeasureSummary[[#This Row],[Measure ID]:[Measure ID]],Tbl_MeasureList[[Measure ID]:[Measure ID]],0),MATCH(Tbl_ER_MeasureSummary[[#Headers],[Replacement ID]],Tbl_MeasureList[#Headers],0))</f>
        <v>EQUI019</v>
      </c>
      <c r="F27" s="433" t="s">
        <v>1216</v>
      </c>
      <c r="G27" s="31" t="str">
        <f>INDEX(Tbl_MeasureList[],MATCH(Tbl_ER_MeasureSummary[[#This Row],[Measure ID]:[Measure ID]],Tbl_MeasureList[[Measure ID]:[Measure ID]],0),MATCH(Tbl_ER_MeasureSummary[[#Headers],[Baseline Name]],Tbl_MeasureList[#Headers],0))</f>
        <v>Propane Boiler+Indirect WH</v>
      </c>
      <c r="H27" s="525" t="str">
        <f>INDEX(Tbl_MeasureList[],MATCH(Tbl_ER_MeasureSummary[[#This Row],[Measure ID]:[Measure ID]],Tbl_MeasureList[[Measure ID]:[Measure ID]],0),MATCH(Tbl_ER_MeasureSummary[[#Headers],[Replacement Name]],Tbl_MeasureList[#Headers],0))</f>
        <v>Gas Boiler+Indirect WH</v>
      </c>
      <c r="I27"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Propane Boiler+Indirect WH to Gas Boiler+Indirect WH (EE)</v>
      </c>
      <c r="J27"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20</v>
      </c>
      <c r="K27" s="31" t="str">
        <f>INDEX(Tbl_MeasureList[],MATCH(Tbl_ER_MeasureSummary[[#This Row],[Measure ID]:[Measure ID]],Tbl_MeasureList[[Measure ID]:[Measure ID]],0),MATCH(Tbl_ER_MeasureSummary[[#Headers],[Baseline Function]],Tbl_MeasureList[#Headers],0))</f>
        <v>Heat+HW</v>
      </c>
      <c r="L27" s="525" t="str">
        <f>INDEX(Tbl_MeasureList[],MATCH(Tbl_ER_MeasureSummary[[#This Row],[Measure ID]:[Measure ID]],Tbl_MeasureList[[Measure ID]:[Measure ID]],0),MATCH(Tbl_ER_MeasureSummary[[#Headers],[Replacement Function]],Tbl_MeasureList[#Headers],0))</f>
        <v>Heat+HW</v>
      </c>
      <c r="M27" s="31" t="str">
        <f>INDEX(Tbl_MeasureList[],MATCH(Tbl_ER_MeasureSummary[[#This Row],[Measure ID]:[Measure ID]],Tbl_MeasureList[[Measure ID]:[Measure ID]],0),MATCH(Tbl_ER_MeasureSummary[[#Headers],[Keep Existing Heating Equipment?]],Tbl_MeasureList[#Headers],0))</f>
        <v>No</v>
      </c>
      <c r="N27"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Propane</v>
      </c>
      <c r="O27"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27"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75% AFUE, UA 4.1 Btu/hr-F</v>
      </c>
      <c r="Q27"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82% AFUE (79.3% actual), UA 4.1 Btu/hr-F</v>
      </c>
      <c r="R27"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90% AFUE (87.2% actual)</v>
      </c>
      <c r="S27"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95% AFUE (89.4% actual)</v>
      </c>
      <c r="T27" s="522">
        <f ca="1">IF(Tbl_ER_MeasureSummary[[#This Row],[Savings Stream]]="Retire","-",
INDEX(Tbl_MeasureList[],MATCH(Tbl_ER_MeasureSummary[[#This Row],[Measure ID]:[Measure ID]],Tbl_MeasureList[[Measure ID]:[Measure ID]],0),MATCH(Tbl_ER_MeasureSummary[[#Headers],[Fuel Switch Annual Energy Savings on MMBtu Basis (MMBtu/yr)]],Tbl_MeasureList[#Headers],0)))</f>
        <v>-4.1788719894196049</v>
      </c>
      <c r="U27" s="519">
        <f ca="1">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165.47325518296566</v>
      </c>
      <c r="V27" s="549">
        <f ca="1">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14013.654848329992</v>
      </c>
      <c r="W27" s="395">
        <f ca="1">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-132</v>
      </c>
      <c r="X27" s="534">
        <f ca="1">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-1.3039309683604984E-2</v>
      </c>
      <c r="Y27" s="396">
        <f ca="1">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27" s="536">
        <f ca="1">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-1029.7683486238532</v>
      </c>
      <c r="AA27" s="397">
        <f ca="1">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109.50707317073172</v>
      </c>
      <c r="AB27" s="536">
        <f ca="1">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0</v>
      </c>
      <c r="AC27" s="656">
        <f ca="1">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6.0798543083463983</v>
      </c>
      <c r="AD27" s="536">
        <f ca="1">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1.5865967459163137</v>
      </c>
      <c r="AE27" s="658">
        <f ca="1">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1.5399796259163132</v>
      </c>
      <c r="AF27" s="519">
        <f ca="1">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2254.4192636316966</v>
      </c>
      <c r="AG27" s="549">
        <f ca="1">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14274.654848329992</v>
      </c>
      <c r="AH27" s="395">
        <f ca="1">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-115</v>
      </c>
      <c r="AI27" s="534">
        <f ca="1">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-1.0431447746883989E-2</v>
      </c>
      <c r="AJ27" s="396">
        <f ca="1">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27" s="536">
        <f ca="1">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-1004.4272930648769</v>
      </c>
      <c r="AL27" s="397">
        <f ca="1">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109.50707317073172</v>
      </c>
      <c r="AM27" s="536">
        <f ca="1">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0</v>
      </c>
      <c r="AN27" s="656">
        <f ca="1">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8.6719638642440202</v>
      </c>
      <c r="AO27" s="536">
        <f ca="1">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1.7348419209363248</v>
      </c>
      <c r="AP27" s="658">
        <f ca="1">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1.6942285209363241</v>
      </c>
      <c r="AQ27" s="517">
        <f ca="1">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-1.274527784350463</v>
      </c>
      <c r="AR27"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-0.12125421643673746</v>
      </c>
      <c r="AS27"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-100.59960751880701</v>
      </c>
      <c r="AT27" s="538">
        <f ca="1">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-1.1103840545477519</v>
      </c>
      <c r="AU27"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-0.1056381431077637</v>
      </c>
      <c r="AV27"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-98.069314243161131</v>
      </c>
    </row>
    <row r="28" spans="2:48" x14ac:dyDescent="0.2">
      <c r="B28" s="16"/>
      <c r="C28" s="44" t="s">
        <v>97</v>
      </c>
      <c r="D28" s="31" t="str">
        <f>INDEX(Tbl_MeasureList[],MATCH(Tbl_ER_MeasureSummary[[#This Row],[Measure ID]:[Measure ID]],Tbl_MeasureList[[Measure ID]:[Measure ID]],0),MATCH(Tbl_ER_MeasureSummary[[#Headers],[Baseline Equipment ID]],Tbl_MeasureList[#Headers],0))</f>
        <v>EQUI018</v>
      </c>
      <c r="E28" s="525" t="str">
        <f>INDEX(Tbl_MeasureList[],MATCH(Tbl_ER_MeasureSummary[[#This Row],[Measure ID]:[Measure ID]],Tbl_MeasureList[[Measure ID]:[Measure ID]],0),MATCH(Tbl_ER_MeasureSummary[[#Headers],[Replacement ID]],Tbl_MeasureList[#Headers],0))</f>
        <v>EQUI019</v>
      </c>
      <c r="F28" s="433" t="s">
        <v>1218</v>
      </c>
      <c r="G28" s="31" t="str">
        <f>INDEX(Tbl_MeasureList[],MATCH(Tbl_ER_MeasureSummary[[#This Row],[Measure ID]:[Measure ID]],Tbl_MeasureList[[Measure ID]:[Measure ID]],0),MATCH(Tbl_ER_MeasureSummary[[#Headers],[Baseline Name]],Tbl_MeasureList[#Headers],0))</f>
        <v>Propane Boiler+Indirect WH</v>
      </c>
      <c r="H28" s="525" t="str">
        <f>INDEX(Tbl_MeasureList[],MATCH(Tbl_ER_MeasureSummary[[#This Row],[Measure ID]:[Measure ID]],Tbl_MeasureList[[Measure ID]:[Measure ID]],0),MATCH(Tbl_ER_MeasureSummary[[#Headers],[Replacement Name]],Tbl_MeasureList[#Headers],0))</f>
        <v>Gas Boiler+Indirect WH</v>
      </c>
      <c r="I28"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Propane Boiler+Indirect WH to Gas Boiler+Indirect WH (Retire)</v>
      </c>
      <c r="J28"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10</v>
      </c>
      <c r="K28" s="31" t="str">
        <f>INDEX(Tbl_MeasureList[],MATCH(Tbl_ER_MeasureSummary[[#This Row],[Measure ID]:[Measure ID]],Tbl_MeasureList[[Measure ID]:[Measure ID]],0),MATCH(Tbl_ER_MeasureSummary[[#Headers],[Baseline Function]],Tbl_MeasureList[#Headers],0))</f>
        <v>Heat+HW</v>
      </c>
      <c r="L28" s="525" t="str">
        <f>INDEX(Tbl_MeasureList[],MATCH(Tbl_ER_MeasureSummary[[#This Row],[Measure ID]:[Measure ID]],Tbl_MeasureList[[Measure ID]:[Measure ID]],0),MATCH(Tbl_ER_MeasureSummary[[#Headers],[Replacement Function]],Tbl_MeasureList[#Headers],0))</f>
        <v>Heat+HW</v>
      </c>
      <c r="M28" s="31" t="str">
        <f>INDEX(Tbl_MeasureList[],MATCH(Tbl_ER_MeasureSummary[[#This Row],[Measure ID]:[Measure ID]],Tbl_MeasureList[[Measure ID]:[Measure ID]],0),MATCH(Tbl_ER_MeasureSummary[[#Headers],[Keep Existing Heating Equipment?]],Tbl_MeasureList[#Headers],0))</f>
        <v>No</v>
      </c>
      <c r="N28"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Propane</v>
      </c>
      <c r="O28"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28"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75% AFUE, UA 4.1 Btu/hr-F</v>
      </c>
      <c r="Q28"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82% AFUE (79.3% actual), UA 4.1 Btu/hr-F</v>
      </c>
      <c r="R28"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90% AFUE (87.2% actual)</v>
      </c>
      <c r="S28"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95% AFUE (89.4% actual)</v>
      </c>
      <c r="T28" s="522" t="str">
        <f>IF(Tbl_ER_MeasureSummary[[#This Row],[Savings Stream]]="Retire","-",
INDEX(Tbl_MeasureList[],MATCH(Tbl_ER_MeasureSummary[[#This Row],[Measure ID]:[Measure ID]],Tbl_MeasureList[[Measure ID]:[Measure ID]],0),MATCH(Tbl_ER_MeasureSummary[[#Headers],[Fuel Switch Annual Energy Savings on MMBtu Basis (MMBtu/yr)]],Tbl_MeasureList[#Headers],0)))</f>
        <v>-</v>
      </c>
      <c r="U28" s="519">
        <f>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367.38558148556513</v>
      </c>
      <c r="V28" s="549">
        <f>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0</v>
      </c>
      <c r="W28" s="395">
        <f>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0</v>
      </c>
      <c r="X28" s="534">
        <f>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-7.2099712368168742E-3</v>
      </c>
      <c r="Y28" s="396">
        <f>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28" s="536">
        <f>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0</v>
      </c>
      <c r="AA28" s="397">
        <f>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10.220660162601618</v>
      </c>
      <c r="AB28" s="536">
        <f>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0</v>
      </c>
      <c r="AC28" s="656">
        <f>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10.220660162601618</v>
      </c>
      <c r="AD28" s="536">
        <f>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0.71033588130081249</v>
      </c>
      <c r="AE28" s="658">
        <f>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0.71033588130081426</v>
      </c>
      <c r="AF28" s="519">
        <f>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367.38558148556513</v>
      </c>
      <c r="AG28" s="549">
        <f>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0</v>
      </c>
      <c r="AH28" s="395">
        <f>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0</v>
      </c>
      <c r="AI28" s="534">
        <f>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-7.2099712368168742E-3</v>
      </c>
      <c r="AJ28" s="396">
        <f>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28" s="536">
        <f>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0</v>
      </c>
      <c r="AL28" s="397">
        <f>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10.220660162601618</v>
      </c>
      <c r="AM28" s="536">
        <f>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0</v>
      </c>
      <c r="AN28" s="656">
        <f>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10.220660162601618</v>
      </c>
      <c r="AO28" s="536">
        <f>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0.71033588130081249</v>
      </c>
      <c r="AP28" s="658">
        <f>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0.71033588130081426</v>
      </c>
      <c r="AQ28" s="517">
        <f>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0</v>
      </c>
      <c r="AR28"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0</v>
      </c>
      <c r="AS28"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-100.07466944838224</v>
      </c>
      <c r="AT28" s="538">
        <f>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0</v>
      </c>
      <c r="AU28"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0</v>
      </c>
      <c r="AV28"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-100.07466944838224</v>
      </c>
    </row>
    <row r="29" spans="2:48" x14ac:dyDescent="0.2">
      <c r="B29" s="16"/>
      <c r="C29" s="44" t="s">
        <v>98</v>
      </c>
      <c r="D29" s="31" t="str">
        <f>INDEX(Tbl_MeasureList[],MATCH(Tbl_ER_MeasureSummary[[#This Row],[Measure ID]:[Measure ID]],Tbl_MeasureList[[Measure ID]:[Measure ID]],0),MATCH(Tbl_ER_MeasureSummary[[#Headers],[Baseline Equipment ID]],Tbl_MeasureList[#Headers],0))</f>
        <v>EQUI003</v>
      </c>
      <c r="E29" s="525" t="str">
        <f>INDEX(Tbl_MeasureList[],MATCH(Tbl_ER_MeasureSummary[[#This Row],[Measure ID]:[Measure ID]],Tbl_MeasureList[[Measure ID]:[Measure ID]],0),MATCH(Tbl_ER_MeasureSummary[[#Headers],[Replacement ID]],Tbl_MeasureList[#Headers],0))</f>
        <v>EQUI020</v>
      </c>
      <c r="F29" s="433" t="s">
        <v>1216</v>
      </c>
      <c r="G29" s="31" t="str">
        <f>INDEX(Tbl_MeasureList[],MATCH(Tbl_ER_MeasureSummary[[#This Row],[Measure ID]:[Measure ID]],Tbl_MeasureList[[Measure ID]:[Measure ID]],0),MATCH(Tbl_ER_MeasureSummary[[#Headers],[Baseline Name]],Tbl_MeasureList[#Headers],0))</f>
        <v>Oil Furnace</v>
      </c>
      <c r="H29" s="525" t="str">
        <f>INDEX(Tbl_MeasureList[],MATCH(Tbl_ER_MeasureSummary[[#This Row],[Measure ID]:[Measure ID]],Tbl_MeasureList[[Measure ID]:[Measure ID]],0),MATCH(Tbl_ER_MeasureSummary[[#Headers],[Replacement Name]],Tbl_MeasureList[#Headers],0))</f>
        <v>Gas Furnace</v>
      </c>
      <c r="I29"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Oil Furnace to Gas Furnace (EE)</v>
      </c>
      <c r="J29"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17</v>
      </c>
      <c r="K29" s="31" t="str">
        <f>INDEX(Tbl_MeasureList[],MATCH(Tbl_ER_MeasureSummary[[#This Row],[Measure ID]:[Measure ID]],Tbl_MeasureList[[Measure ID]:[Measure ID]],0),MATCH(Tbl_ER_MeasureSummary[[#Headers],[Baseline Function]],Tbl_MeasureList[#Headers],0))</f>
        <v>Heat</v>
      </c>
      <c r="L29" s="525" t="str">
        <f>INDEX(Tbl_MeasureList[],MATCH(Tbl_ER_MeasureSummary[[#This Row],[Measure ID]:[Measure ID]],Tbl_MeasureList[[Measure ID]:[Measure ID]],0),MATCH(Tbl_ER_MeasureSummary[[#Headers],[Replacement Function]],Tbl_MeasureList[#Headers],0))</f>
        <v>Heat</v>
      </c>
      <c r="M29" s="31" t="str">
        <f>INDEX(Tbl_MeasureList[],MATCH(Tbl_ER_MeasureSummary[[#This Row],[Measure ID]:[Measure ID]],Tbl_MeasureList[[Measure ID]:[Measure ID]],0),MATCH(Tbl_ER_MeasureSummary[[#Headers],[Keep Existing Heating Equipment?]],Tbl_MeasureList[#Headers],0))</f>
        <v>No</v>
      </c>
      <c r="N29"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Oil</v>
      </c>
      <c r="O29"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29"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78% AFUE (78.9%)</v>
      </c>
      <c r="Q29"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83% AFUE</v>
      </c>
      <c r="R29"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95% AFUE (95.4% actual) w/ ECM fan motor</v>
      </c>
      <c r="S29"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97% AFUE (97.2% actual) w/ ECM fan motor</v>
      </c>
      <c r="T29" s="522">
        <f ca="1">IF(Tbl_ER_MeasureSummary[[#This Row],[Savings Stream]]="Retire","-",
INDEX(Tbl_MeasureList[],MATCH(Tbl_ER_MeasureSummary[[#This Row],[Measure ID]:[Measure ID]],Tbl_MeasureList[[Measure ID]:[Measure ID]],0),MATCH(Tbl_ER_MeasureSummary[[#Headers],[Fuel Switch Annual Energy Savings on MMBtu Basis (MMBtu/yr)]],Tbl_MeasureList[#Headers],0)))</f>
        <v>1.9339323189227713</v>
      </c>
      <c r="U29" s="519">
        <f ca="1">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163.18134219755848</v>
      </c>
      <c r="V29" s="549">
        <f ca="1">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8049.8593767820257</v>
      </c>
      <c r="W29" s="395">
        <f ca="1">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166.5</v>
      </c>
      <c r="X29" s="534">
        <f ca="1">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1.8969894534995209E-2</v>
      </c>
      <c r="Y29" s="396">
        <f ca="1">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29" s="536">
        <f ca="1">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-724.14113207547166</v>
      </c>
      <c r="AA29" s="397">
        <f ca="1">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0</v>
      </c>
      <c r="AB29" s="536">
        <f ca="1">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82.409638554216883</v>
      </c>
      <c r="AC29" s="656">
        <f ca="1">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10.563623346669729</v>
      </c>
      <c r="AD29" s="536">
        <f ca="1">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2.4101117267560834</v>
      </c>
      <c r="AE29" s="658">
        <f ca="1">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2.4689128667560825</v>
      </c>
      <c r="AF29" s="519">
        <f ca="1">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737.24445678024563</v>
      </c>
      <c r="AG29" s="549">
        <f ca="1">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8862.8593767820257</v>
      </c>
      <c r="AH29" s="395">
        <f ca="1">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166.5</v>
      </c>
      <c r="AI29" s="534">
        <f ca="1">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1.8969894534995209E-2</v>
      </c>
      <c r="AJ29" s="396">
        <f ca="1">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29" s="536">
        <f ca="1">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-710.86370370370366</v>
      </c>
      <c r="AL29" s="397">
        <f ca="1">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0</v>
      </c>
      <c r="AM29" s="536">
        <f ca="1">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82.409638554216883</v>
      </c>
      <c r="AN29" s="656">
        <f ca="1">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11.891366183846529</v>
      </c>
      <c r="AO29" s="536">
        <f ca="1">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2.4877846827309256</v>
      </c>
      <c r="AP29" s="658">
        <f ca="1">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2.5465858227309255</v>
      </c>
      <c r="AQ29" s="517">
        <f ca="1">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1.6076430007147886</v>
      </c>
      <c r="AR29"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597.56233747651993</v>
      </c>
      <c r="AS29"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-69.71115006624153</v>
      </c>
      <c r="AT29" s="538">
        <f ca="1">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1.6076430007147886</v>
      </c>
      <c r="AU29"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597.56233747651993</v>
      </c>
      <c r="AV29"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-68.420826609315583</v>
      </c>
    </row>
    <row r="30" spans="2:48" x14ac:dyDescent="0.2">
      <c r="B30" s="16"/>
      <c r="C30" s="44" t="s">
        <v>98</v>
      </c>
      <c r="D30" s="31" t="str">
        <f>INDEX(Tbl_MeasureList[],MATCH(Tbl_ER_MeasureSummary[[#This Row],[Measure ID]:[Measure ID]],Tbl_MeasureList[[Measure ID]:[Measure ID]],0),MATCH(Tbl_ER_MeasureSummary[[#Headers],[Baseline Equipment ID]],Tbl_MeasureList[#Headers],0))</f>
        <v>EQUI003</v>
      </c>
      <c r="E30" s="525" t="str">
        <f>INDEX(Tbl_MeasureList[],MATCH(Tbl_ER_MeasureSummary[[#This Row],[Measure ID]:[Measure ID]],Tbl_MeasureList[[Measure ID]:[Measure ID]],0),MATCH(Tbl_ER_MeasureSummary[[#Headers],[Replacement ID]],Tbl_MeasureList[#Headers],0))</f>
        <v>EQUI020</v>
      </c>
      <c r="F30" s="433" t="s">
        <v>1218</v>
      </c>
      <c r="G30" s="31" t="str">
        <f>INDEX(Tbl_MeasureList[],MATCH(Tbl_ER_MeasureSummary[[#This Row],[Measure ID]:[Measure ID]],Tbl_MeasureList[[Measure ID]:[Measure ID]],0),MATCH(Tbl_ER_MeasureSummary[[#Headers],[Baseline Name]],Tbl_MeasureList[#Headers],0))</f>
        <v>Oil Furnace</v>
      </c>
      <c r="H30" s="525" t="str">
        <f>INDEX(Tbl_MeasureList[],MATCH(Tbl_ER_MeasureSummary[[#This Row],[Measure ID]:[Measure ID]],Tbl_MeasureList[[Measure ID]:[Measure ID]],0),MATCH(Tbl_ER_MeasureSummary[[#Headers],[Replacement Name]],Tbl_MeasureList[#Headers],0))</f>
        <v>Gas Furnace</v>
      </c>
      <c r="I30"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Oil Furnace to Gas Furnace (Retire)</v>
      </c>
      <c r="J30"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6</v>
      </c>
      <c r="K30" s="31" t="str">
        <f>INDEX(Tbl_MeasureList[],MATCH(Tbl_ER_MeasureSummary[[#This Row],[Measure ID]:[Measure ID]],Tbl_MeasureList[[Measure ID]:[Measure ID]],0),MATCH(Tbl_ER_MeasureSummary[[#Headers],[Baseline Function]],Tbl_MeasureList[#Headers],0))</f>
        <v>Heat</v>
      </c>
      <c r="L30" s="525" t="str">
        <f>INDEX(Tbl_MeasureList[],MATCH(Tbl_ER_MeasureSummary[[#This Row],[Measure ID]:[Measure ID]],Tbl_MeasureList[[Measure ID]:[Measure ID]],0),MATCH(Tbl_ER_MeasureSummary[[#Headers],[Replacement Function]],Tbl_MeasureList[#Headers],0))</f>
        <v>Heat</v>
      </c>
      <c r="M30" s="31" t="str">
        <f>INDEX(Tbl_MeasureList[],MATCH(Tbl_ER_MeasureSummary[[#This Row],[Measure ID]:[Measure ID]],Tbl_MeasureList[[Measure ID]:[Measure ID]],0),MATCH(Tbl_ER_MeasureSummary[[#Headers],[Keep Existing Heating Equipment?]],Tbl_MeasureList[#Headers],0))</f>
        <v>No</v>
      </c>
      <c r="N30"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Oil</v>
      </c>
      <c r="O30"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30"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78% AFUE (78.9%)</v>
      </c>
      <c r="Q30"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83% AFUE</v>
      </c>
      <c r="R30"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95% AFUE (95.4% actual) w/ ECM fan motor</v>
      </c>
      <c r="S30"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97% AFUE (97.2% actual) w/ ECM fan motor</v>
      </c>
      <c r="T30" s="522" t="str">
        <f>IF(Tbl_ER_MeasureSummary[[#This Row],[Savings Stream]]="Retire","-",
INDEX(Tbl_MeasureList[],MATCH(Tbl_ER_MeasureSummary[[#This Row],[Measure ID]:[Measure ID]],Tbl_MeasureList[[Measure ID]:[Measure ID]],0),MATCH(Tbl_ER_MeasureSummary[[#Headers],[Fuel Switch Annual Energy Savings on MMBtu Basis (MMBtu/yr)]],Tbl_MeasureList[#Headers],0)))</f>
        <v>-</v>
      </c>
      <c r="U30" s="519">
        <f>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96.58836749686543</v>
      </c>
      <c r="V30" s="549">
        <f>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0</v>
      </c>
      <c r="W30" s="395">
        <f>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2.0500000000000114</v>
      </c>
      <c r="X30" s="534">
        <f>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3.1447746883989103E-4</v>
      </c>
      <c r="Y30" s="396">
        <f>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30" s="536">
        <f>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0</v>
      </c>
      <c r="AA30" s="397">
        <f>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0</v>
      </c>
      <c r="AB30" s="536">
        <f>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4.2823766549085889</v>
      </c>
      <c r="AC30" s="656">
        <f>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4.2893712549085876</v>
      </c>
      <c r="AD30" s="536">
        <f>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0.34537367721837775</v>
      </c>
      <c r="AE30" s="658">
        <f>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0.34609765521837765</v>
      </c>
      <c r="AF30" s="519">
        <f>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96.58836749686543</v>
      </c>
      <c r="AG30" s="549">
        <f>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0</v>
      </c>
      <c r="AH30" s="395">
        <f>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2.0500000000000114</v>
      </c>
      <c r="AI30" s="534">
        <f>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3.1447746883989103E-4</v>
      </c>
      <c r="AJ30" s="396">
        <f>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30" s="536">
        <f>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0</v>
      </c>
      <c r="AL30" s="397">
        <f>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0</v>
      </c>
      <c r="AM30" s="536">
        <f>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4.2823766549085889</v>
      </c>
      <c r="AN30" s="656">
        <f>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4.2893712549085876</v>
      </c>
      <c r="AO30" s="536">
        <f>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0.34537367721837775</v>
      </c>
      <c r="AP30" s="658">
        <f>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0.34609765521837765</v>
      </c>
      <c r="AQ30" s="517">
        <f>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1.9793802711503512E-2</v>
      </c>
      <c r="AR30"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628.45536246610027</v>
      </c>
      <c r="AS30"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-70.365135412312398</v>
      </c>
      <c r="AT30" s="538">
        <f>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1.9793802711503512E-2</v>
      </c>
      <c r="AU30"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628.45536246610027</v>
      </c>
      <c r="AV30"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-70.365135412312398</v>
      </c>
    </row>
    <row r="31" spans="2:48" x14ac:dyDescent="0.2">
      <c r="B31" s="16"/>
      <c r="C31" s="44" t="s">
        <v>99</v>
      </c>
      <c r="D31" s="31" t="str">
        <f>INDEX(Tbl_MeasureList[],MATCH(Tbl_ER_MeasureSummary[[#This Row],[Measure ID]:[Measure ID]],Tbl_MeasureList[[Measure ID]:[Measure ID]],0),MATCH(Tbl_ER_MeasureSummary[[#Headers],[Baseline Equipment ID]],Tbl_MeasureList[#Headers],0))</f>
        <v>EQUI004</v>
      </c>
      <c r="E31" s="525" t="str">
        <f>INDEX(Tbl_MeasureList[],MATCH(Tbl_ER_MeasureSummary[[#This Row],[Measure ID]:[Measure ID]],Tbl_MeasureList[[Measure ID]:[Measure ID]],0),MATCH(Tbl_ER_MeasureSummary[[#Headers],[Replacement ID]],Tbl_MeasureList[#Headers],0))</f>
        <v>EQUI020</v>
      </c>
      <c r="F31" s="433" t="s">
        <v>1216</v>
      </c>
      <c r="G31" s="31" t="str">
        <f>INDEX(Tbl_MeasureList[],MATCH(Tbl_ER_MeasureSummary[[#This Row],[Measure ID]:[Measure ID]],Tbl_MeasureList[[Measure ID]:[Measure ID]],0),MATCH(Tbl_ER_MeasureSummary[[#Headers],[Baseline Name]],Tbl_MeasureList[#Headers],0))</f>
        <v>Propane Furnace</v>
      </c>
      <c r="H31" s="525" t="str">
        <f>INDEX(Tbl_MeasureList[],MATCH(Tbl_ER_MeasureSummary[[#This Row],[Measure ID]:[Measure ID]],Tbl_MeasureList[[Measure ID]:[Measure ID]],0),MATCH(Tbl_ER_MeasureSummary[[#Headers],[Replacement Name]],Tbl_MeasureList[#Headers],0))</f>
        <v>Gas Furnace</v>
      </c>
      <c r="I31"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Propane Furnace to Gas Furnace (EE)</v>
      </c>
      <c r="J31"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17</v>
      </c>
      <c r="K31" s="31" t="str">
        <f>INDEX(Tbl_MeasureList[],MATCH(Tbl_ER_MeasureSummary[[#This Row],[Measure ID]:[Measure ID]],Tbl_MeasureList[[Measure ID]:[Measure ID]],0),MATCH(Tbl_ER_MeasureSummary[[#Headers],[Baseline Function]],Tbl_MeasureList[#Headers],0))</f>
        <v>Heat</v>
      </c>
      <c r="L31" s="525" t="str">
        <f>INDEX(Tbl_MeasureList[],MATCH(Tbl_ER_MeasureSummary[[#This Row],[Measure ID]:[Measure ID]],Tbl_MeasureList[[Measure ID]:[Measure ID]],0),MATCH(Tbl_ER_MeasureSummary[[#Headers],[Replacement Function]],Tbl_MeasureList[#Headers],0))</f>
        <v>Heat</v>
      </c>
      <c r="M31" s="31" t="str">
        <f>INDEX(Tbl_MeasureList[],MATCH(Tbl_ER_MeasureSummary[[#This Row],[Measure ID]:[Measure ID]],Tbl_MeasureList[[Measure ID]:[Measure ID]],0),MATCH(Tbl_ER_MeasureSummary[[#Headers],[Keep Existing Heating Equipment?]],Tbl_MeasureList[#Headers],0))</f>
        <v>No</v>
      </c>
      <c r="N31"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Propane</v>
      </c>
      <c r="O31"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31"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78% AFUE (78.9%)</v>
      </c>
      <c r="Q31"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85% AFUE</v>
      </c>
      <c r="R31"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95% AFUE (95.4% actual) w/ ECM fan motor</v>
      </c>
      <c r="S31"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97% AFUE (97.2% actual) w/ ECM fan motor</v>
      </c>
      <c r="T31" s="522">
        <f ca="1">IF(Tbl_ER_MeasureSummary[[#This Row],[Savings Stream]]="Retire","-",
INDEX(Tbl_MeasureList[],MATCH(Tbl_ER_MeasureSummary[[#This Row],[Measure ID]:[Measure ID]],Tbl_MeasureList[[Measure ID]:[Measure ID]],0),MATCH(Tbl_ER_MeasureSummary[[#Headers],[Fuel Switch Annual Energy Savings on MMBtu Basis (MMBtu/yr)]],Tbl_MeasureList[#Headers],0)))</f>
        <v>-8.5299999999932652E-3</v>
      </c>
      <c r="U31" s="519">
        <f ca="1">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163.18134219755848</v>
      </c>
      <c r="V31" s="549">
        <f ca="1">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8179.6536409015462</v>
      </c>
      <c r="W31" s="395">
        <f ca="1">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165.5</v>
      </c>
      <c r="X31" s="534">
        <f ca="1">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1.8816490891658683E-2</v>
      </c>
      <c r="Y31" s="396">
        <f ca="1">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31" s="536">
        <f ca="1">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-724.14113207547166</v>
      </c>
      <c r="AA31" s="397">
        <f ca="1">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80.47058823529413</v>
      </c>
      <c r="AB31" s="536">
        <f ca="1">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0</v>
      </c>
      <c r="AC31" s="656">
        <f ca="1">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8.6211610277469646</v>
      </c>
      <c r="AD31" s="536">
        <f ca="1">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1.3564802597114332</v>
      </c>
      <c r="AE31" s="658">
        <f ca="1">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1.4149282397114327</v>
      </c>
      <c r="AF31" s="519">
        <f ca="1">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1778.6591549617688</v>
      </c>
      <c r="AG31" s="549">
        <f ca="1">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8992.6536409015462</v>
      </c>
      <c r="AH31" s="395">
        <f ca="1">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165.5</v>
      </c>
      <c r="AI31" s="534">
        <f ca="1">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1.8816490891658683E-2</v>
      </c>
      <c r="AJ31" s="396">
        <f ca="1">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31" s="536">
        <f ca="1">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-710.86370370370366</v>
      </c>
      <c r="AL31" s="397">
        <f ca="1">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80.47058823529413</v>
      </c>
      <c r="AM31" s="536">
        <f ca="1">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0</v>
      </c>
      <c r="AN31" s="656">
        <f ca="1">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9.9489038649237642</v>
      </c>
      <c r="AO31" s="536">
        <f ca="1">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1.4341532156862753</v>
      </c>
      <c r="AP31" s="658">
        <f ca="1">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1.4926011956862757</v>
      </c>
      <c r="AQ31" s="517">
        <f ca="1">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1.5979874871969821</v>
      </c>
      <c r="AR31"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0.1520270668203034</v>
      </c>
      <c r="AS31"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-69.71512686980536</v>
      </c>
      <c r="AT31" s="538">
        <f ca="1">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1.5979874871969821</v>
      </c>
      <c r="AU31"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0.1520270668203034</v>
      </c>
      <c r="AV31"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-68.424803412879413</v>
      </c>
    </row>
    <row r="32" spans="2:48" x14ac:dyDescent="0.2">
      <c r="B32" s="16"/>
      <c r="C32" s="44" t="s">
        <v>99</v>
      </c>
      <c r="D32" s="31" t="str">
        <f>INDEX(Tbl_MeasureList[],MATCH(Tbl_ER_MeasureSummary[[#This Row],[Measure ID]:[Measure ID]],Tbl_MeasureList[[Measure ID]:[Measure ID]],0),MATCH(Tbl_ER_MeasureSummary[[#Headers],[Baseline Equipment ID]],Tbl_MeasureList[#Headers],0))</f>
        <v>EQUI004</v>
      </c>
      <c r="E32" s="525" t="str">
        <f>INDEX(Tbl_MeasureList[],MATCH(Tbl_ER_MeasureSummary[[#This Row],[Measure ID]:[Measure ID]],Tbl_MeasureList[[Measure ID]:[Measure ID]],0),MATCH(Tbl_ER_MeasureSummary[[#Headers],[Replacement ID]],Tbl_MeasureList[#Headers],0))</f>
        <v>EQUI020</v>
      </c>
      <c r="F32" s="433" t="s">
        <v>1218</v>
      </c>
      <c r="G32" s="31" t="str">
        <f>INDEX(Tbl_MeasureList[],MATCH(Tbl_ER_MeasureSummary[[#This Row],[Measure ID]:[Measure ID]],Tbl_MeasureList[[Measure ID]:[Measure ID]],0),MATCH(Tbl_ER_MeasureSummary[[#Headers],[Baseline Name]],Tbl_MeasureList[#Headers],0))</f>
        <v>Propane Furnace</v>
      </c>
      <c r="H32" s="525" t="str">
        <f>INDEX(Tbl_MeasureList[],MATCH(Tbl_ER_MeasureSummary[[#This Row],[Measure ID]:[Measure ID]],Tbl_MeasureList[[Measure ID]:[Measure ID]],0),MATCH(Tbl_ER_MeasureSummary[[#Headers],[Replacement Name]],Tbl_MeasureList[#Headers],0))</f>
        <v>Gas Furnace</v>
      </c>
      <c r="I32"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Propane Furnace to Gas Furnace (Retire)</v>
      </c>
      <c r="J32"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6</v>
      </c>
      <c r="K32" s="31" t="str">
        <f>INDEX(Tbl_MeasureList[],MATCH(Tbl_ER_MeasureSummary[[#This Row],[Measure ID]:[Measure ID]],Tbl_MeasureList[[Measure ID]:[Measure ID]],0),MATCH(Tbl_ER_MeasureSummary[[#Headers],[Baseline Function]],Tbl_MeasureList[#Headers],0))</f>
        <v>Heat</v>
      </c>
      <c r="L32" s="525" t="str">
        <f>INDEX(Tbl_MeasureList[],MATCH(Tbl_ER_MeasureSummary[[#This Row],[Measure ID]:[Measure ID]],Tbl_MeasureList[[Measure ID]:[Measure ID]],0),MATCH(Tbl_ER_MeasureSummary[[#Headers],[Replacement Function]],Tbl_MeasureList[#Headers],0))</f>
        <v>Heat</v>
      </c>
      <c r="M32" s="31" t="str">
        <f>INDEX(Tbl_MeasureList[],MATCH(Tbl_ER_MeasureSummary[[#This Row],[Measure ID]:[Measure ID]],Tbl_MeasureList[[Measure ID]:[Measure ID]],0),MATCH(Tbl_ER_MeasureSummary[[#Headers],[Keep Existing Heating Equipment?]],Tbl_MeasureList[#Headers],0))</f>
        <v>No</v>
      </c>
      <c r="N32"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Propane</v>
      </c>
      <c r="O32"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32"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78% AFUE (78.9%)</v>
      </c>
      <c r="Q32"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85% AFUE</v>
      </c>
      <c r="R32"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95% AFUE (95.4% actual) w/ ECM fan motor</v>
      </c>
      <c r="S32"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97% AFUE (97.2% actual) w/ ECM fan motor</v>
      </c>
      <c r="T32" s="522" t="str">
        <f>IF(Tbl_ER_MeasureSummary[[#This Row],[Savings Stream]]="Retire","-",
INDEX(Tbl_MeasureList[],MATCH(Tbl_ER_MeasureSummary[[#This Row],[Measure ID]:[Measure ID]],Tbl_MeasureList[[Measure ID]:[Measure ID]],0),MATCH(Tbl_ER_MeasureSummary[[#Headers],[Fuel Switch Annual Energy Savings on MMBtu Basis (MMBtu/yr)]],Tbl_MeasureList[#Headers],0)))</f>
        <v>-</v>
      </c>
      <c r="U32" s="519">
        <f>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224.23488816373356</v>
      </c>
      <c r="V32" s="549">
        <f>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0</v>
      </c>
      <c r="W32" s="395">
        <f>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3.0500000000000114</v>
      </c>
      <c r="X32" s="534">
        <f>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4.6788111217641731E-4</v>
      </c>
      <c r="Y32" s="396">
        <f>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32" s="536">
        <f>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0</v>
      </c>
      <c r="AA32" s="397">
        <f>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6.2214269738313419</v>
      </c>
      <c r="AB32" s="536">
        <f>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0</v>
      </c>
      <c r="AC32" s="656">
        <f>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6.2318335738313522</v>
      </c>
      <c r="AD32" s="536">
        <f>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0.43238917468127802</v>
      </c>
      <c r="AE32" s="658">
        <f>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0.43346631268127833</v>
      </c>
      <c r="AF32" s="519">
        <f>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224.23488816373356</v>
      </c>
      <c r="AG32" s="549">
        <f>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0</v>
      </c>
      <c r="AH32" s="395">
        <f>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3.0500000000000114</v>
      </c>
      <c r="AI32" s="534">
        <f>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4.6788111217641731E-4</v>
      </c>
      <c r="AJ32" s="396">
        <f>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32" s="536">
        <f>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0</v>
      </c>
      <c r="AL32" s="397">
        <f>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6.2214269738313419</v>
      </c>
      <c r="AM32" s="536">
        <f>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0</v>
      </c>
      <c r="AN32" s="656">
        <f>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6.2318335738313522</v>
      </c>
      <c r="AO32" s="536">
        <f>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0.43238917468127802</v>
      </c>
      <c r="AP32" s="658">
        <f>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0.43346631268127833</v>
      </c>
      <c r="AQ32" s="517">
        <f>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2.944931622931005E-2</v>
      </c>
      <c r="AR32"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2.8017072737276565E-3</v>
      </c>
      <c r="AS32"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-70.361158608748568</v>
      </c>
      <c r="AT32" s="538">
        <f>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2.944931622931005E-2</v>
      </c>
      <c r="AU32"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2.8017072737276565E-3</v>
      </c>
      <c r="AV32"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-70.361158608748568</v>
      </c>
    </row>
    <row r="33" spans="2:48" x14ac:dyDescent="0.2">
      <c r="B33" s="16"/>
      <c r="C33" s="44" t="s">
        <v>100</v>
      </c>
      <c r="D33" s="31" t="str">
        <f>INDEX(Tbl_MeasureList[],MATCH(Tbl_ER_MeasureSummary[[#This Row],[Measure ID]:[Measure ID]],Tbl_MeasureList[[Measure ID]:[Measure ID]],0),MATCH(Tbl_ER_MeasureSummary[[#Headers],[Baseline Equipment ID]],Tbl_MeasureList[#Headers],0))</f>
        <v>EQUI021</v>
      </c>
      <c r="E33" s="525" t="str">
        <f>INDEX(Tbl_MeasureList[],MATCH(Tbl_ER_MeasureSummary[[#This Row],[Measure ID]:[Measure ID]],Tbl_MeasureList[[Measure ID]:[Measure ID]],0),MATCH(Tbl_ER_MeasureSummary[[#Headers],[Replacement ID]],Tbl_MeasureList[#Headers],0))</f>
        <v>EQUI022</v>
      </c>
      <c r="F33" s="433" t="s">
        <v>1216</v>
      </c>
      <c r="G33" s="31" t="str">
        <f>INDEX(Tbl_MeasureList[],MATCH(Tbl_ER_MeasureSummary[[#This Row],[Measure ID]:[Measure ID]],Tbl_MeasureList[[Measure ID]:[Measure ID]],0),MATCH(Tbl_ER_MeasureSummary[[#Headers],[Baseline Name]],Tbl_MeasureList[#Headers],0))</f>
        <v>Oil Boiler+Tankless Coil WH</v>
      </c>
      <c r="H33" s="525" t="str">
        <f>INDEX(Tbl_MeasureList[],MATCH(Tbl_ER_MeasureSummary[[#This Row],[Measure ID]:[Measure ID]],Tbl_MeasureList[[Measure ID]:[Measure ID]],0),MATCH(Tbl_ER_MeasureSummary[[#Headers],[Replacement Name]],Tbl_MeasureList[#Headers],0))</f>
        <v>Gas Combination Boiler</v>
      </c>
      <c r="I33"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Oil Boiler+Tankless Coil WH to Gas Combination Boiler (EE)</v>
      </c>
      <c r="J33"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19</v>
      </c>
      <c r="K33" s="31" t="str">
        <f>INDEX(Tbl_MeasureList[],MATCH(Tbl_ER_MeasureSummary[[#This Row],[Measure ID]:[Measure ID]],Tbl_MeasureList[[Measure ID]:[Measure ID]],0),MATCH(Tbl_ER_MeasureSummary[[#Headers],[Baseline Function]],Tbl_MeasureList[#Headers],0))</f>
        <v>Heat+HW</v>
      </c>
      <c r="L33" s="525" t="str">
        <f>INDEX(Tbl_MeasureList[],MATCH(Tbl_ER_MeasureSummary[[#This Row],[Measure ID]:[Measure ID]],Tbl_MeasureList[[Measure ID]:[Measure ID]],0),MATCH(Tbl_ER_MeasureSummary[[#Headers],[Replacement Function]],Tbl_MeasureList[#Headers],0))</f>
        <v>Heat+HW</v>
      </c>
      <c r="M33" s="31" t="str">
        <f>INDEX(Tbl_MeasureList[],MATCH(Tbl_ER_MeasureSummary[[#This Row],[Measure ID]:[Measure ID]],Tbl_MeasureList[[Measure ID]:[Measure ID]],0),MATCH(Tbl_ER_MeasureSummary[[#Headers],[Keep Existing Heating Equipment?]],Tbl_MeasureList[#Headers],0))</f>
        <v>No</v>
      </c>
      <c r="N33"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Oil</v>
      </c>
      <c r="O33"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33"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75% AFUE</v>
      </c>
      <c r="Q33"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84% AFUE</v>
      </c>
      <c r="R33"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90% AFUE</v>
      </c>
      <c r="S33"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95% AFUE</v>
      </c>
      <c r="T33" s="522">
        <f ca="1">IF(Tbl_ER_MeasureSummary[[#This Row],[Savings Stream]]="Retire","-",
INDEX(Tbl_MeasureList[],MATCH(Tbl_ER_MeasureSummary[[#This Row],[Measure ID]:[Measure ID]],Tbl_MeasureList[[Measure ID]:[Measure ID]],0),MATCH(Tbl_ER_MeasureSummary[[#Headers],[Fuel Switch Annual Energy Savings on MMBtu Basis (MMBtu/yr)]],Tbl_MeasureList[#Headers],0)))</f>
        <v>6.8526881904762149</v>
      </c>
      <c r="U33" s="519">
        <f ca="1">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0</v>
      </c>
      <c r="V33" s="549">
        <f ca="1">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12952.918136998454</v>
      </c>
      <c r="W33" s="395">
        <f ca="1">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-99</v>
      </c>
      <c r="X33" s="534">
        <f ca="1">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-1.5186960690316387E-2</v>
      </c>
      <c r="Y33" s="396">
        <f ca="1">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33" s="536">
        <f ca="1">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-1006.6666666666667</v>
      </c>
      <c r="AA33" s="397">
        <f ca="1">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0</v>
      </c>
      <c r="AB33" s="536">
        <f ca="1">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107.85714285714288</v>
      </c>
      <c r="AC33" s="656">
        <f ca="1">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6.8526881904762149</v>
      </c>
      <c r="AD33" s="536">
        <f ca="1">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2.8096785714285746</v>
      </c>
      <c r="AE33" s="658">
        <f ca="1">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2.7747157314285751</v>
      </c>
      <c r="AF33" s="519">
        <f ca="1">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867.97677267514473</v>
      </c>
      <c r="AG33" s="549">
        <f ca="1">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12952.918136998454</v>
      </c>
      <c r="AH33" s="395">
        <f ca="1">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-82</v>
      </c>
      <c r="AI33" s="534">
        <f ca="1">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-1.2579098753595391E-2</v>
      </c>
      <c r="AJ33" s="396">
        <f ca="1">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33" s="536">
        <f ca="1">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-953.68421052631595</v>
      </c>
      <c r="AL33" s="397">
        <f ca="1">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0</v>
      </c>
      <c r="AM33" s="536">
        <f ca="1">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107.85714285714288</v>
      </c>
      <c r="AN33" s="656">
        <f ca="1">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12.208937804511294</v>
      </c>
      <c r="AO33" s="536">
        <f ca="1">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3.1196259398496267</v>
      </c>
      <c r="AP33" s="658">
        <f ca="1">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3.0906668198496261</v>
      </c>
      <c r="AQ33" s="517">
        <f ca="1">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-0.9558958382628473</v>
      </c>
      <c r="AR33"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781.79417918357399</v>
      </c>
      <c r="AS33"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-98.22331158650826</v>
      </c>
      <c r="AT33" s="538">
        <f ca="1">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-0.79175210846013611</v>
      </c>
      <c r="AU33"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781.80979525690293</v>
      </c>
      <c r="AV33"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-93.006779187308013</v>
      </c>
    </row>
    <row r="34" spans="2:48" x14ac:dyDescent="0.2">
      <c r="B34" s="16"/>
      <c r="C34" s="44" t="s">
        <v>100</v>
      </c>
      <c r="D34" s="31" t="str">
        <f>INDEX(Tbl_MeasureList[],MATCH(Tbl_ER_MeasureSummary[[#This Row],[Measure ID]:[Measure ID]],Tbl_MeasureList[[Measure ID]:[Measure ID]],0),MATCH(Tbl_ER_MeasureSummary[[#Headers],[Baseline Equipment ID]],Tbl_MeasureList[#Headers],0))</f>
        <v>EQUI021</v>
      </c>
      <c r="E34" s="525" t="str">
        <f>INDEX(Tbl_MeasureList[],MATCH(Tbl_ER_MeasureSummary[[#This Row],[Measure ID]:[Measure ID]],Tbl_MeasureList[[Measure ID]:[Measure ID]],0),MATCH(Tbl_ER_MeasureSummary[[#Headers],[Replacement ID]],Tbl_MeasureList[#Headers],0))</f>
        <v>EQUI022</v>
      </c>
      <c r="F34" s="433" t="s">
        <v>1218</v>
      </c>
      <c r="G34" s="31" t="str">
        <f>INDEX(Tbl_MeasureList[],MATCH(Tbl_ER_MeasureSummary[[#This Row],[Measure ID]:[Measure ID]],Tbl_MeasureList[[Measure ID]:[Measure ID]],0),MATCH(Tbl_ER_MeasureSummary[[#Headers],[Baseline Name]],Tbl_MeasureList[#Headers],0))</f>
        <v>Oil Boiler+Tankless Coil WH</v>
      </c>
      <c r="H34" s="525" t="str">
        <f>INDEX(Tbl_MeasureList[],MATCH(Tbl_ER_MeasureSummary[[#This Row],[Measure ID]:[Measure ID]],Tbl_MeasureList[[Measure ID]:[Measure ID]],0),MATCH(Tbl_ER_MeasureSummary[[#Headers],[Replacement Name]],Tbl_MeasureList[#Headers],0))</f>
        <v>Gas Combination Boiler</v>
      </c>
      <c r="I34"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Oil Boiler+Tankless Coil WH to Gas Combination Boiler (Retire)</v>
      </c>
      <c r="J34"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10</v>
      </c>
      <c r="K34" s="31" t="str">
        <f>INDEX(Tbl_MeasureList[],MATCH(Tbl_ER_MeasureSummary[[#This Row],[Measure ID]:[Measure ID]],Tbl_MeasureList[[Measure ID]:[Measure ID]],0),MATCH(Tbl_ER_MeasureSummary[[#Headers],[Baseline Function]],Tbl_MeasureList[#Headers],0))</f>
        <v>Heat+HW</v>
      </c>
      <c r="L34" s="525" t="str">
        <f>INDEX(Tbl_MeasureList[],MATCH(Tbl_ER_MeasureSummary[[#This Row],[Measure ID]:[Measure ID]],Tbl_MeasureList[[Measure ID]:[Measure ID]],0),MATCH(Tbl_ER_MeasureSummary[[#Headers],[Replacement Function]],Tbl_MeasureList[#Headers],0))</f>
        <v>Heat+HW</v>
      </c>
      <c r="M34" s="31" t="str">
        <f>INDEX(Tbl_MeasureList[],MATCH(Tbl_ER_MeasureSummary[[#This Row],[Measure ID]:[Measure ID]],Tbl_MeasureList[[Measure ID]:[Measure ID]],0),MATCH(Tbl_ER_MeasureSummary[[#Headers],[Keep Existing Heating Equipment?]],Tbl_MeasureList[#Headers],0))</f>
        <v>No</v>
      </c>
      <c r="N34"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Oil</v>
      </c>
      <c r="O34"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34"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75% AFUE</v>
      </c>
      <c r="Q34"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84% AFUE</v>
      </c>
      <c r="R34"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90% AFUE</v>
      </c>
      <c r="S34"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95% AFUE</v>
      </c>
      <c r="T34" s="522" t="str">
        <f>IF(Tbl_ER_MeasureSummary[[#This Row],[Savings Stream]]="Retire","-",
INDEX(Tbl_MeasureList[],MATCH(Tbl_ER_MeasureSummary[[#This Row],[Measure ID]:[Measure ID]],Tbl_MeasureList[[Measure ID]:[Measure ID]],0),MATCH(Tbl_ER_MeasureSummary[[#Headers],[Fuel Switch Annual Energy Savings on MMBtu Basis (MMBtu/yr)]],Tbl_MeasureList[#Headers],0)))</f>
        <v>-</v>
      </c>
      <c r="U34" s="519">
        <f>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290.6986805104907</v>
      </c>
      <c r="V34" s="549">
        <f>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0</v>
      </c>
      <c r="W34" s="395">
        <f>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0</v>
      </c>
      <c r="X34" s="534">
        <f>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0</v>
      </c>
      <c r="Y34" s="396">
        <f>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34" s="536">
        <f>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0</v>
      </c>
      <c r="AA34" s="397">
        <f>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0</v>
      </c>
      <c r="AB34" s="536">
        <f>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12.942857142857136</v>
      </c>
      <c r="AC34" s="656">
        <f>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12.942857142857136</v>
      </c>
      <c r="AD34" s="536">
        <f>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1.0438414285714277</v>
      </c>
      <c r="AE34" s="658">
        <f>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1.0438414285714277</v>
      </c>
      <c r="AF34" s="519">
        <f>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290.6986805104907</v>
      </c>
      <c r="AG34" s="549">
        <f>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0</v>
      </c>
      <c r="AH34" s="395">
        <f>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0</v>
      </c>
      <c r="AI34" s="534">
        <f>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0</v>
      </c>
      <c r="AJ34" s="396">
        <f>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34" s="536">
        <f>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0</v>
      </c>
      <c r="AL34" s="397">
        <f>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0</v>
      </c>
      <c r="AM34" s="536">
        <f>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12.942857142857136</v>
      </c>
      <c r="AN34" s="656">
        <f>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12.942857142857136</v>
      </c>
      <c r="AO34" s="536">
        <f>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1.0438414285714277</v>
      </c>
      <c r="AP34" s="658">
        <f>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1.0438414285714277</v>
      </c>
      <c r="AQ34" s="517">
        <f>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0</v>
      </c>
      <c r="AR34"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875.71133422740957</v>
      </c>
      <c r="AS34"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-97.829608033689681</v>
      </c>
      <c r="AT34" s="538">
        <f>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0</v>
      </c>
      <c r="AU34"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875.71133422740957</v>
      </c>
      <c r="AV34"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-97.829608033689681</v>
      </c>
    </row>
    <row r="35" spans="2:48" x14ac:dyDescent="0.2">
      <c r="B35" s="16"/>
      <c r="C35" s="44" t="s">
        <v>101</v>
      </c>
      <c r="D35" s="31" t="str">
        <f>INDEX(Tbl_MeasureList[],MATCH(Tbl_ER_MeasureSummary[[#This Row],[Measure ID]:[Measure ID]],Tbl_MeasureList[[Measure ID]:[Measure ID]],0),MATCH(Tbl_ER_MeasureSummary[[#Headers],[Baseline Equipment ID]],Tbl_MeasureList[#Headers],0))</f>
        <v>EQUI023</v>
      </c>
      <c r="E35" s="525" t="str">
        <f>INDEX(Tbl_MeasureList[],MATCH(Tbl_ER_MeasureSummary[[#This Row],[Measure ID]:[Measure ID]],Tbl_MeasureList[[Measure ID]:[Measure ID]],0),MATCH(Tbl_ER_MeasureSummary[[#Headers],[Replacement ID]],Tbl_MeasureList[#Headers],0))</f>
        <v>EQUI022</v>
      </c>
      <c r="F35" s="433" t="s">
        <v>1216</v>
      </c>
      <c r="G35" s="31" t="str">
        <f>INDEX(Tbl_MeasureList[],MATCH(Tbl_ER_MeasureSummary[[#This Row],[Measure ID]:[Measure ID]],Tbl_MeasureList[[Measure ID]:[Measure ID]],0),MATCH(Tbl_ER_MeasureSummary[[#Headers],[Baseline Name]],Tbl_MeasureList[#Headers],0))</f>
        <v>Propane Combination Boiler</v>
      </c>
      <c r="H35" s="525" t="str">
        <f>INDEX(Tbl_MeasureList[],MATCH(Tbl_ER_MeasureSummary[[#This Row],[Measure ID]:[Measure ID]],Tbl_MeasureList[[Measure ID]:[Measure ID]],0),MATCH(Tbl_ER_MeasureSummary[[#Headers],[Replacement Name]],Tbl_MeasureList[#Headers],0))</f>
        <v>Gas Combination Boiler</v>
      </c>
      <c r="I35"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Propane Combination Boiler to Gas Combination Boiler (EE)</v>
      </c>
      <c r="J35"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19</v>
      </c>
      <c r="K35" s="31" t="str">
        <f>INDEX(Tbl_MeasureList[],MATCH(Tbl_ER_MeasureSummary[[#This Row],[Measure ID]:[Measure ID]],Tbl_MeasureList[[Measure ID]:[Measure ID]],0),MATCH(Tbl_ER_MeasureSummary[[#Headers],[Baseline Function]],Tbl_MeasureList[#Headers],0))</f>
        <v>Heat+HW</v>
      </c>
      <c r="L35" s="525" t="str">
        <f>INDEX(Tbl_MeasureList[],MATCH(Tbl_ER_MeasureSummary[[#This Row],[Measure ID]:[Measure ID]],Tbl_MeasureList[[Measure ID]:[Measure ID]],0),MATCH(Tbl_ER_MeasureSummary[[#Headers],[Replacement Function]],Tbl_MeasureList[#Headers],0))</f>
        <v>Heat+HW</v>
      </c>
      <c r="M35" s="31" t="str">
        <f>INDEX(Tbl_MeasureList[],MATCH(Tbl_ER_MeasureSummary[[#This Row],[Measure ID]:[Measure ID]],Tbl_MeasureList[[Measure ID]:[Measure ID]],0),MATCH(Tbl_ER_MeasureSummary[[#Headers],[Keep Existing Heating Equipment?]],Tbl_MeasureList[#Headers],0))</f>
        <v>No</v>
      </c>
      <c r="N35"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Propane</v>
      </c>
      <c r="O35"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35"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80% AFUE (77.4% actual)</v>
      </c>
      <c r="Q35"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90% AFUE</v>
      </c>
      <c r="R35"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90% AFUE</v>
      </c>
      <c r="S35"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95% AFUE</v>
      </c>
      <c r="T35" s="522">
        <f ca="1">IF(Tbl_ER_MeasureSummary[[#This Row],[Savings Stream]]="Retire","-",
INDEX(Tbl_MeasureList[],MATCH(Tbl_ER_MeasureSummary[[#This Row],[Measure ID]:[Measure ID]],Tbl_MeasureList[[Measure ID]:[Measure ID]],0),MATCH(Tbl_ER_MeasureSummary[[#Headers],[Fuel Switch Annual Energy Savings on MMBtu Basis (MMBtu/yr)]],Tbl_MeasureList[#Headers],0)))</f>
        <v>-0.45038399999999967</v>
      </c>
      <c r="U35" s="519">
        <f ca="1">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0</v>
      </c>
      <c r="V35" s="549">
        <f ca="1">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9911.9502769701685</v>
      </c>
      <c r="W35" s="395">
        <f ca="1">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-132</v>
      </c>
      <c r="X35" s="534">
        <f ca="1">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-2.0249280920421858E-2</v>
      </c>
      <c r="Y35" s="396">
        <f ca="1">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35" s="536">
        <f ca="1">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-815.85555555555561</v>
      </c>
      <c r="AA35" s="397">
        <f ca="1">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81.585555555555558</v>
      </c>
      <c r="AB35" s="536">
        <f ca="1">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0</v>
      </c>
      <c r="AC35" s="656">
        <f ca="1">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-0.45038399999999967</v>
      </c>
      <c r="AD35" s="536">
        <f ca="1">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0.89744111111111113</v>
      </c>
      <c r="AE35" s="658">
        <f ca="1">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0.85082399111111151</v>
      </c>
      <c r="AF35" s="519">
        <f ca="1">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1663.1641720570758</v>
      </c>
      <c r="AG35" s="549">
        <f ca="1">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9911.9502769701685</v>
      </c>
      <c r="AH35" s="395">
        <f ca="1">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-115</v>
      </c>
      <c r="AI35" s="534">
        <f ca="1">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-1.7641418983700863E-2</v>
      </c>
      <c r="AJ35" s="396">
        <f ca="1">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35" s="536">
        <f ca="1">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-772.9157894736843</v>
      </c>
      <c r="AL35" s="397">
        <f ca="1">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81.585555555555558</v>
      </c>
      <c r="AM35" s="536">
        <f ca="1">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0</v>
      </c>
      <c r="AN35" s="656">
        <f ca="1">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3.9015966081871198</v>
      </c>
      <c r="AO35" s="536">
        <f ca="1">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1.1486387426900579</v>
      </c>
      <c r="AP35" s="658">
        <f ca="1">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1.1080253426900581</v>
      </c>
      <c r="AQ35" s="517">
        <f ca="1">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-1.274527784350463</v>
      </c>
      <c r="AR35"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-0.12125421643673746</v>
      </c>
      <c r="AS35"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-79.811192254638144</v>
      </c>
      <c r="AT35" s="538">
        <f ca="1">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-1.1103840545477519</v>
      </c>
      <c r="AU35"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-0.1056381431077637</v>
      </c>
      <c r="AV35"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-75.570625847515601</v>
      </c>
    </row>
    <row r="36" spans="2:48" x14ac:dyDescent="0.2">
      <c r="B36" s="16"/>
      <c r="C36" s="44" t="s">
        <v>101</v>
      </c>
      <c r="D36" s="31" t="str">
        <f>INDEX(Tbl_MeasureList[],MATCH(Tbl_ER_MeasureSummary[[#This Row],[Measure ID]:[Measure ID]],Tbl_MeasureList[[Measure ID]:[Measure ID]],0),MATCH(Tbl_ER_MeasureSummary[[#Headers],[Baseline Equipment ID]],Tbl_MeasureList[#Headers],0))</f>
        <v>EQUI023</v>
      </c>
      <c r="E36" s="525" t="str">
        <f>INDEX(Tbl_MeasureList[],MATCH(Tbl_ER_MeasureSummary[[#This Row],[Measure ID]:[Measure ID]],Tbl_MeasureList[[Measure ID]:[Measure ID]],0),MATCH(Tbl_ER_MeasureSummary[[#Headers],[Replacement ID]],Tbl_MeasureList[#Headers],0))</f>
        <v>EQUI022</v>
      </c>
      <c r="F36" s="433" t="s">
        <v>1218</v>
      </c>
      <c r="G36" s="31" t="str">
        <f>INDEX(Tbl_MeasureList[],MATCH(Tbl_ER_MeasureSummary[[#This Row],[Measure ID]:[Measure ID]],Tbl_MeasureList[[Measure ID]:[Measure ID]],0),MATCH(Tbl_ER_MeasureSummary[[#Headers],[Baseline Name]],Tbl_MeasureList[#Headers],0))</f>
        <v>Propane Combination Boiler</v>
      </c>
      <c r="H36" s="525" t="str">
        <f>INDEX(Tbl_MeasureList[],MATCH(Tbl_ER_MeasureSummary[[#This Row],[Measure ID]:[Measure ID]],Tbl_MeasureList[[Measure ID]:[Measure ID]],0),MATCH(Tbl_ER_MeasureSummary[[#Headers],[Replacement Name]],Tbl_MeasureList[#Headers],0))</f>
        <v>Gas Combination Boiler</v>
      </c>
      <c r="I36"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Propane Combination Boiler to Gas Combination Boiler (Retire)</v>
      </c>
      <c r="J36"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7</v>
      </c>
      <c r="K36" s="31" t="str">
        <f>INDEX(Tbl_MeasureList[],MATCH(Tbl_ER_MeasureSummary[[#This Row],[Measure ID]:[Measure ID]],Tbl_MeasureList[[Measure ID]:[Measure ID]],0),MATCH(Tbl_ER_MeasureSummary[[#Headers],[Baseline Function]],Tbl_MeasureList[#Headers],0))</f>
        <v>Heat+HW</v>
      </c>
      <c r="L36" s="525" t="str">
        <f>INDEX(Tbl_MeasureList[],MATCH(Tbl_ER_MeasureSummary[[#This Row],[Measure ID]:[Measure ID]],Tbl_MeasureList[[Measure ID]:[Measure ID]],0),MATCH(Tbl_ER_MeasureSummary[[#Headers],[Replacement Function]],Tbl_MeasureList[#Headers],0))</f>
        <v>Heat+HW</v>
      </c>
      <c r="M36" s="31" t="str">
        <f>INDEX(Tbl_MeasureList[],MATCH(Tbl_ER_MeasureSummary[[#This Row],[Measure ID]:[Measure ID]],Tbl_MeasureList[[Measure ID]:[Measure ID]],0),MATCH(Tbl_ER_MeasureSummary[[#Headers],[Keep Existing Heating Equipment?]],Tbl_MeasureList[#Headers],0))</f>
        <v>No</v>
      </c>
      <c r="N36"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Propane</v>
      </c>
      <c r="O36"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36"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80% AFUE (77.4% actual)</v>
      </c>
      <c r="Q36"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90% AFUE</v>
      </c>
      <c r="R36"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90% AFUE</v>
      </c>
      <c r="S36"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95% AFUE</v>
      </c>
      <c r="T36" s="522" t="str">
        <f>IF(Tbl_ER_MeasureSummary[[#This Row],[Savings Stream]]="Retire","-",
INDEX(Tbl_MeasureList[],MATCH(Tbl_ER_MeasureSummary[[#This Row],[Measure ID]:[Measure ID]],Tbl_MeasureList[[Measure ID]:[Measure ID]],0),MATCH(Tbl_ER_MeasureSummary[[#Headers],[Fuel Switch Annual Energy Savings on MMBtu Basis (MMBtu/yr)]],Tbl_MeasureList[#Headers],0)))</f>
        <v>-</v>
      </c>
      <c r="U36" s="519">
        <f>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477.40396240341579</v>
      </c>
      <c r="V36" s="549">
        <f>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0</v>
      </c>
      <c r="W36" s="395">
        <f>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0</v>
      </c>
      <c r="X36" s="534">
        <f>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0</v>
      </c>
      <c r="Y36" s="396">
        <f>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36" s="536">
        <f>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0</v>
      </c>
      <c r="AA36" s="397">
        <f>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13.281369509043927</v>
      </c>
      <c r="AB36" s="536">
        <f>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0</v>
      </c>
      <c r="AC36" s="656">
        <f>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13.281369509043927</v>
      </c>
      <c r="AD36" s="536">
        <f>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0.92305518087855365</v>
      </c>
      <c r="AE36" s="658">
        <f>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0.92305518087855276</v>
      </c>
      <c r="AF36" s="519">
        <f>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477.40396240341579</v>
      </c>
      <c r="AG36" s="549">
        <f>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0</v>
      </c>
      <c r="AH36" s="395">
        <f>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0</v>
      </c>
      <c r="AI36" s="534">
        <f>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0</v>
      </c>
      <c r="AJ36" s="396">
        <f>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36" s="536">
        <f>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0</v>
      </c>
      <c r="AL36" s="397">
        <f>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13.281369509043927</v>
      </c>
      <c r="AM36" s="536">
        <f>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0</v>
      </c>
      <c r="AN36" s="656">
        <f>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13.281369509043927</v>
      </c>
      <c r="AO36" s="536">
        <f>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0.92305518087855365</v>
      </c>
      <c r="AP36" s="658">
        <f>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0.92305518087855276</v>
      </c>
      <c r="AQ36" s="517">
        <f>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0</v>
      </c>
      <c r="AR36"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0</v>
      </c>
      <c r="AS36"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-79.286254184213377</v>
      </c>
      <c r="AT36" s="538">
        <f>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0</v>
      </c>
      <c r="AU36"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0</v>
      </c>
      <c r="AV36"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-79.286254184213377</v>
      </c>
    </row>
    <row r="37" spans="2:48" x14ac:dyDescent="0.2">
      <c r="B37" s="16"/>
      <c r="C37" s="44" t="s">
        <v>102</v>
      </c>
      <c r="D37" s="31" t="str">
        <f>INDEX(Tbl_MeasureList[],MATCH(Tbl_ER_MeasureSummary[[#This Row],[Measure ID]:[Measure ID]],Tbl_MeasureList[[Measure ID]:[Measure ID]],0),MATCH(Tbl_ER_MeasureSummary[[#Headers],[Baseline Equipment ID]],Tbl_MeasureList[#Headers],0))</f>
        <v>EQUI024</v>
      </c>
      <c r="E37" s="525" t="str">
        <f>INDEX(Tbl_MeasureList[],MATCH(Tbl_ER_MeasureSummary[[#This Row],[Measure ID]:[Measure ID]],Tbl_MeasureList[[Measure ID]:[Measure ID]],0),MATCH(Tbl_ER_MeasureSummary[[#Headers],[Replacement ID]],Tbl_MeasureList[#Headers],0))</f>
        <v>EQUI022</v>
      </c>
      <c r="F37" s="433" t="s">
        <v>1216</v>
      </c>
      <c r="G37" s="31" t="str">
        <f>INDEX(Tbl_MeasureList[],MATCH(Tbl_ER_MeasureSummary[[#This Row],[Measure ID]:[Measure ID]],Tbl_MeasureList[[Measure ID]:[Measure ID]],0),MATCH(Tbl_ER_MeasureSummary[[#Headers],[Baseline Name]],Tbl_MeasureList[#Headers],0))</f>
        <v>Oil Boiler+Storage WH</v>
      </c>
      <c r="H37" s="525" t="str">
        <f>INDEX(Tbl_MeasureList[],MATCH(Tbl_ER_MeasureSummary[[#This Row],[Measure ID]:[Measure ID]],Tbl_MeasureList[[Measure ID]:[Measure ID]],0),MATCH(Tbl_ER_MeasureSummary[[#Headers],[Replacement Name]],Tbl_MeasureList[#Headers],0))</f>
        <v>Gas Combination Boiler</v>
      </c>
      <c r="I37"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Oil Boiler+Storage WH to Gas Combination Boiler (EE)</v>
      </c>
      <c r="J37"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19</v>
      </c>
      <c r="K37" s="31" t="str">
        <f>INDEX(Tbl_MeasureList[],MATCH(Tbl_ER_MeasureSummary[[#This Row],[Measure ID]:[Measure ID]],Tbl_MeasureList[[Measure ID]:[Measure ID]],0),MATCH(Tbl_ER_MeasureSummary[[#Headers],[Baseline Function]],Tbl_MeasureList[#Headers],0))</f>
        <v>Heat+HW</v>
      </c>
      <c r="L37" s="525" t="str">
        <f>INDEX(Tbl_MeasureList[],MATCH(Tbl_ER_MeasureSummary[[#This Row],[Measure ID]:[Measure ID]],Tbl_MeasureList[[Measure ID]:[Measure ID]],0),MATCH(Tbl_ER_MeasureSummary[[#Headers],[Replacement Function]],Tbl_MeasureList[#Headers],0))</f>
        <v>Heat+HW</v>
      </c>
      <c r="M37" s="31" t="str">
        <f>INDEX(Tbl_MeasureList[],MATCH(Tbl_ER_MeasureSummary[[#This Row],[Measure ID]:[Measure ID]],Tbl_MeasureList[[Measure ID]:[Measure ID]],0),MATCH(Tbl_ER_MeasureSummary[[#Headers],[Keep Existing Heating Equipment?]],Tbl_MeasureList[#Headers],0))</f>
        <v>No</v>
      </c>
      <c r="N37"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Oil</v>
      </c>
      <c r="O37"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37"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75% AFUE, 0.58 UEF</v>
      </c>
      <c r="Q37"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84% AFUE, 0.62 UEF</v>
      </c>
      <c r="R37"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90% AFUE</v>
      </c>
      <c r="S37"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95% AFUE</v>
      </c>
      <c r="T37" s="522">
        <f ca="1">IF(Tbl_ER_MeasureSummary[[#This Row],[Savings Stream]]="Retire","-",
INDEX(Tbl_MeasureList[],MATCH(Tbl_ER_MeasureSummary[[#This Row],[Measure ID]:[Measure ID]],Tbl_MeasureList[[Measure ID]:[Measure ID]],0),MATCH(Tbl_ER_MeasureSummary[[#Headers],[Fuel Switch Annual Energy Savings on MMBtu Basis (MMBtu/yr)]],Tbl_MeasureList[#Headers],0)))</f>
        <v>12.724423981566829</v>
      </c>
      <c r="U37" s="519">
        <f ca="1">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0</v>
      </c>
      <c r="V37" s="549">
        <f ca="1">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12421.298907102564</v>
      </c>
      <c r="W37" s="395">
        <f ca="1">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-99</v>
      </c>
      <c r="X37" s="534">
        <f ca="1">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-1.5186960690316387E-2</v>
      </c>
      <c r="Y37" s="396">
        <f ca="1">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37" s="536">
        <f ca="1">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-1006.6666666666667</v>
      </c>
      <c r="AA37" s="397">
        <f ca="1">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0</v>
      </c>
      <c r="AB37" s="536">
        <f ca="1">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113.72887864823349</v>
      </c>
      <c r="AC37" s="656">
        <f ca="1">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12.724423981566829</v>
      </c>
      <c r="AD37" s="536">
        <f ca="1">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3.2832340629800312</v>
      </c>
      <c r="AE37" s="658">
        <f ca="1">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3.2482712229800317</v>
      </c>
      <c r="AF37" s="519">
        <f ca="1">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999.85691536205286</v>
      </c>
      <c r="AG37" s="549">
        <f ca="1">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12421.298907102564</v>
      </c>
      <c r="AH37" s="395">
        <f ca="1">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-82</v>
      </c>
      <c r="AI37" s="534">
        <f ca="1">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-1.2579098753595391E-2</v>
      </c>
      <c r="AJ37" s="396">
        <f ca="1">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37" s="536">
        <f ca="1">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-953.68421052631595</v>
      </c>
      <c r="AL37" s="397">
        <f ca="1">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0</v>
      </c>
      <c r="AM37" s="536">
        <f ca="1">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113.72887864823349</v>
      </c>
      <c r="AN37" s="656">
        <f ca="1">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18.080673595601908</v>
      </c>
      <c r="AO37" s="536">
        <f ca="1">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3.5931814314010833</v>
      </c>
      <c r="AP37" s="658">
        <f ca="1">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3.5642223114010827</v>
      </c>
      <c r="AQ37" s="517">
        <f ca="1">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-0.9558958382628473</v>
      </c>
      <c r="AR37"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824.35995388429239</v>
      </c>
      <c r="AS37"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-98.22331158650826</v>
      </c>
      <c r="AT37" s="538">
        <f ca="1">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-0.79175210846013611</v>
      </c>
      <c r="AU37"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824.37556995762134</v>
      </c>
      <c r="AV37"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-93.006779187308013</v>
      </c>
    </row>
    <row r="38" spans="2:48" x14ac:dyDescent="0.2">
      <c r="B38" s="16"/>
      <c r="C38" s="44" t="s">
        <v>102</v>
      </c>
      <c r="D38" s="31" t="str">
        <f>INDEX(Tbl_MeasureList[],MATCH(Tbl_ER_MeasureSummary[[#This Row],[Measure ID]:[Measure ID]],Tbl_MeasureList[[Measure ID]:[Measure ID]],0),MATCH(Tbl_ER_MeasureSummary[[#Headers],[Baseline Equipment ID]],Tbl_MeasureList[#Headers],0))</f>
        <v>EQUI024</v>
      </c>
      <c r="E38" s="525" t="str">
        <f>INDEX(Tbl_MeasureList[],MATCH(Tbl_ER_MeasureSummary[[#This Row],[Measure ID]:[Measure ID]],Tbl_MeasureList[[Measure ID]:[Measure ID]],0),MATCH(Tbl_ER_MeasureSummary[[#Headers],[Replacement ID]],Tbl_MeasureList[#Headers],0))</f>
        <v>EQUI022</v>
      </c>
      <c r="F38" s="433" t="s">
        <v>1218</v>
      </c>
      <c r="G38" s="31" t="str">
        <f>INDEX(Tbl_MeasureList[],MATCH(Tbl_ER_MeasureSummary[[#This Row],[Measure ID]:[Measure ID]],Tbl_MeasureList[[Measure ID]:[Measure ID]],0),MATCH(Tbl_ER_MeasureSummary[[#Headers],[Baseline Name]],Tbl_MeasureList[#Headers],0))</f>
        <v>Oil Boiler+Storage WH</v>
      </c>
      <c r="H38" s="525" t="str">
        <f>INDEX(Tbl_MeasureList[],MATCH(Tbl_ER_MeasureSummary[[#This Row],[Measure ID]:[Measure ID]],Tbl_MeasureList[[Measure ID]:[Measure ID]],0),MATCH(Tbl_ER_MeasureSummary[[#Headers],[Replacement Name]],Tbl_MeasureList[#Headers],0))</f>
        <v>Gas Combination Boiler</v>
      </c>
      <c r="I38"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Oil Boiler+Storage WH to Gas Combination Boiler (Retire)</v>
      </c>
      <c r="J38"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10</v>
      </c>
      <c r="K38" s="31" t="str">
        <f>INDEX(Tbl_MeasureList[],MATCH(Tbl_ER_MeasureSummary[[#This Row],[Measure ID]:[Measure ID]],Tbl_MeasureList[[Measure ID]:[Measure ID]],0),MATCH(Tbl_ER_MeasureSummary[[#Headers],[Baseline Function]],Tbl_MeasureList[#Headers],0))</f>
        <v>Heat+HW</v>
      </c>
      <c r="L38" s="525" t="str">
        <f>INDEX(Tbl_MeasureList[],MATCH(Tbl_ER_MeasureSummary[[#This Row],[Measure ID]:[Measure ID]],Tbl_MeasureList[[Measure ID]:[Measure ID]],0),MATCH(Tbl_ER_MeasureSummary[[#Headers],[Replacement Function]],Tbl_MeasureList[#Headers],0))</f>
        <v>Heat+HW</v>
      </c>
      <c r="M38" s="31" t="str">
        <f>INDEX(Tbl_MeasureList[],MATCH(Tbl_ER_MeasureSummary[[#This Row],[Measure ID]:[Measure ID]],Tbl_MeasureList[[Measure ID]:[Measure ID]],0),MATCH(Tbl_ER_MeasureSummary[[#Headers],[Keep Existing Heating Equipment?]],Tbl_MeasureList[#Headers],0))</f>
        <v>No</v>
      </c>
      <c r="N38"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Oil</v>
      </c>
      <c r="O38"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38"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75% AFUE, 0.58 UEF</v>
      </c>
      <c r="Q38"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84% AFUE, 0.62 UEF</v>
      </c>
      <c r="R38"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90% AFUE</v>
      </c>
      <c r="S38"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95% AFUE</v>
      </c>
      <c r="T38" s="522" t="str">
        <f>IF(Tbl_ER_MeasureSummary[[#This Row],[Savings Stream]]="Retire","-",
INDEX(Tbl_MeasureList[],MATCH(Tbl_ER_MeasureSummary[[#This Row],[Measure ID]:[Measure ID]],Tbl_MeasureList[[Measure ID]:[Measure ID]],0),MATCH(Tbl_ER_MeasureSummary[[#Headers],[Fuel Switch Annual Energy Savings on MMBtu Basis (MMBtu/yr)]],Tbl_MeasureList[#Headers],0)))</f>
        <v>-</v>
      </c>
      <c r="U38" s="519">
        <f>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280.82627359085654</v>
      </c>
      <c r="V38" s="549">
        <f>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0</v>
      </c>
      <c r="W38" s="395">
        <f>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0</v>
      </c>
      <c r="X38" s="534">
        <f>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0</v>
      </c>
      <c r="Y38" s="396">
        <f>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38" s="536">
        <f>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0</v>
      </c>
      <c r="AA38" s="397">
        <f>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0</v>
      </c>
      <c r="AB38" s="536">
        <f>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12.503305259812493</v>
      </c>
      <c r="AC38" s="656">
        <f>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12.503305259812493</v>
      </c>
      <c r="AD38" s="536">
        <f>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1.0083915692038783</v>
      </c>
      <c r="AE38" s="658">
        <f>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1.0083915692038801</v>
      </c>
      <c r="AF38" s="519">
        <f>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280.82627359085654</v>
      </c>
      <c r="AG38" s="549">
        <f>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0</v>
      </c>
      <c r="AH38" s="395">
        <f>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0</v>
      </c>
      <c r="AI38" s="534">
        <f>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0</v>
      </c>
      <c r="AJ38" s="396">
        <f>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38" s="536">
        <f>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0</v>
      </c>
      <c r="AL38" s="397">
        <f>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0</v>
      </c>
      <c r="AM38" s="536">
        <f>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12.503305259812493</v>
      </c>
      <c r="AN38" s="656">
        <f>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12.503305259812493</v>
      </c>
      <c r="AO38" s="536">
        <f>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1.0083915692038783</v>
      </c>
      <c r="AP38" s="658">
        <f>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1.0083915692038801</v>
      </c>
      <c r="AQ38" s="517">
        <f>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0</v>
      </c>
      <c r="AR38"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915.09068040194268</v>
      </c>
      <c r="AS38"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-97.829608033689681</v>
      </c>
      <c r="AT38" s="538">
        <f>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0</v>
      </c>
      <c r="AU38"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915.09068040194268</v>
      </c>
      <c r="AV38"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-97.829608033689681</v>
      </c>
    </row>
    <row r="39" spans="2:48" x14ac:dyDescent="0.2">
      <c r="B39" s="16"/>
      <c r="C39" s="44" t="s">
        <v>103</v>
      </c>
      <c r="D39" s="31" t="str">
        <f>INDEX(Tbl_MeasureList[],MATCH(Tbl_ER_MeasureSummary[[#This Row],[Measure ID]:[Measure ID]],Tbl_MeasureList[[Measure ID]:[Measure ID]],0),MATCH(Tbl_ER_MeasureSummary[[#Headers],[Baseline Equipment ID]],Tbl_MeasureList[#Headers],0))</f>
        <v>EQUI025</v>
      </c>
      <c r="E39" s="525" t="str">
        <f>INDEX(Tbl_MeasureList[],MATCH(Tbl_ER_MeasureSummary[[#This Row],[Measure ID]:[Measure ID]],Tbl_MeasureList[[Measure ID]:[Measure ID]],0),MATCH(Tbl_ER_MeasureSummary[[#Headers],[Replacement ID]],Tbl_MeasureList[#Headers],0))</f>
        <v>EQUI022</v>
      </c>
      <c r="F39" s="433" t="s">
        <v>1216</v>
      </c>
      <c r="G39" s="31" t="str">
        <f>INDEX(Tbl_MeasureList[],MATCH(Tbl_ER_MeasureSummary[[#This Row],[Measure ID]:[Measure ID]],Tbl_MeasureList[[Measure ID]:[Measure ID]],0),MATCH(Tbl_ER_MeasureSummary[[#Headers],[Baseline Name]],Tbl_MeasureList[#Headers],0))</f>
        <v>Propane Boiler+Storage WH</v>
      </c>
      <c r="H39" s="525" t="str">
        <f>INDEX(Tbl_MeasureList[],MATCH(Tbl_ER_MeasureSummary[[#This Row],[Measure ID]:[Measure ID]],Tbl_MeasureList[[Measure ID]:[Measure ID]],0),MATCH(Tbl_ER_MeasureSummary[[#Headers],[Replacement Name]],Tbl_MeasureList[#Headers],0))</f>
        <v>Gas Combination Boiler</v>
      </c>
      <c r="I39"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Propane Boiler+Storage WH to Gas Combination Boiler (EE)</v>
      </c>
      <c r="J39"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19</v>
      </c>
      <c r="K39" s="31" t="str">
        <f>INDEX(Tbl_MeasureList[],MATCH(Tbl_ER_MeasureSummary[[#This Row],[Measure ID]:[Measure ID]],Tbl_MeasureList[[Measure ID]:[Measure ID]],0),MATCH(Tbl_ER_MeasureSummary[[#Headers],[Baseline Function]],Tbl_MeasureList[#Headers],0))</f>
        <v>Heat+HW</v>
      </c>
      <c r="L39" s="525" t="str">
        <f>INDEX(Tbl_MeasureList[],MATCH(Tbl_ER_MeasureSummary[[#This Row],[Measure ID]:[Measure ID]],Tbl_MeasureList[[Measure ID]:[Measure ID]],0),MATCH(Tbl_ER_MeasureSummary[[#Headers],[Replacement Function]],Tbl_MeasureList[#Headers],0))</f>
        <v>Heat+HW</v>
      </c>
      <c r="M39" s="31" t="str">
        <f>INDEX(Tbl_MeasureList[],MATCH(Tbl_ER_MeasureSummary[[#This Row],[Measure ID]:[Measure ID]],Tbl_MeasureList[[Measure ID]:[Measure ID]],0),MATCH(Tbl_ER_MeasureSummary[[#Headers],[Keep Existing Heating Equipment?]],Tbl_MeasureList[#Headers],0))</f>
        <v>No</v>
      </c>
      <c r="N39"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Propane</v>
      </c>
      <c r="O39"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39"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75% AFUE, 0.58 UEF</v>
      </c>
      <c r="Q39"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82% AFUE (79.3% actual), 0.62 UEF</v>
      </c>
      <c r="R39"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90% AFUE</v>
      </c>
      <c r="S39"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95% AFUE</v>
      </c>
      <c r="T39" s="522">
        <f ca="1">IF(Tbl_ER_MeasureSummary[[#This Row],[Savings Stream]]="Retire","-",
INDEX(Tbl_MeasureList[],MATCH(Tbl_ER_MeasureSummary[[#This Row],[Measure ID]:[Measure ID]],Tbl_MeasureList[[Measure ID]:[Measure ID]],0),MATCH(Tbl_ER_MeasureSummary[[#Headers],[Fuel Switch Annual Energy Savings on MMBtu Basis (MMBtu/yr)]],Tbl_MeasureList[#Headers],0)))</f>
        <v>16.71895614924496</v>
      </c>
      <c r="U39" s="519">
        <f ca="1">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0</v>
      </c>
      <c r="V39" s="549">
        <f ca="1">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12579.702110698927</v>
      </c>
      <c r="W39" s="395">
        <f ca="1">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-132</v>
      </c>
      <c r="X39" s="534">
        <f ca="1">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-2.0249280920421858E-2</v>
      </c>
      <c r="Y39" s="396">
        <f ca="1">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39" s="536">
        <f ca="1">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-977.77777777777771</v>
      </c>
      <c r="AA39" s="397">
        <f ca="1">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114.94711792702273</v>
      </c>
      <c r="AB39" s="536">
        <f ca="1">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0</v>
      </c>
      <c r="AC39" s="656">
        <f ca="1">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16.71895614924496</v>
      </c>
      <c r="AD39" s="536">
        <f ca="1">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2.2688246959280809</v>
      </c>
      <c r="AE39" s="658">
        <f ca="1">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2.2222075759280813</v>
      </c>
      <c r="AF39" s="519">
        <f ca="1">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2614.9242311477292</v>
      </c>
      <c r="AG39" s="549">
        <f ca="1">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12579.702110698927</v>
      </c>
      <c r="AH39" s="395">
        <f ca="1">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-115</v>
      </c>
      <c r="AI39" s="534">
        <f ca="1">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-1.7641418983700863E-2</v>
      </c>
      <c r="AJ39" s="396">
        <f ca="1">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39" s="536">
        <f ca="1">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-926.31578947368428</v>
      </c>
      <c r="AL39" s="397">
        <f ca="1">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114.94711792702273</v>
      </c>
      <c r="AM39" s="536">
        <f ca="1">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0</v>
      </c>
      <c r="AN39" s="656">
        <f ca="1">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21.923158979654303</v>
      </c>
      <c r="AO39" s="536">
        <f ca="1">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2.5698773275070268</v>
      </c>
      <c r="AP39" s="658">
        <f ca="1">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2.5292639275070279</v>
      </c>
      <c r="AQ39" s="517">
        <f ca="1">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-1.274527784350463</v>
      </c>
      <c r="AR39"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-0.12125421643673746</v>
      </c>
      <c r="AS39"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-95.547073908887128</v>
      </c>
      <c r="AT39" s="538">
        <f ca="1">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-1.1103840545477519</v>
      </c>
      <c r="AU39"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-0.1056381431077637</v>
      </c>
      <c r="AV39"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-90.478303204172548</v>
      </c>
    </row>
    <row r="40" spans="2:48" x14ac:dyDescent="0.2">
      <c r="B40" s="16"/>
      <c r="C40" s="44" t="s">
        <v>103</v>
      </c>
      <c r="D40" s="31" t="str">
        <f>INDEX(Tbl_MeasureList[],MATCH(Tbl_ER_MeasureSummary[[#This Row],[Measure ID]:[Measure ID]],Tbl_MeasureList[[Measure ID]:[Measure ID]],0),MATCH(Tbl_ER_MeasureSummary[[#Headers],[Baseline Equipment ID]],Tbl_MeasureList[#Headers],0))</f>
        <v>EQUI025</v>
      </c>
      <c r="E40" s="525" t="str">
        <f>INDEX(Tbl_MeasureList[],MATCH(Tbl_ER_MeasureSummary[[#This Row],[Measure ID]:[Measure ID]],Tbl_MeasureList[[Measure ID]:[Measure ID]],0),MATCH(Tbl_ER_MeasureSummary[[#Headers],[Replacement ID]],Tbl_MeasureList[#Headers],0))</f>
        <v>EQUI022</v>
      </c>
      <c r="F40" s="433" t="s">
        <v>1218</v>
      </c>
      <c r="G40" s="31" t="str">
        <f>INDEX(Tbl_MeasureList[],MATCH(Tbl_ER_MeasureSummary[[#This Row],[Measure ID]:[Measure ID]],Tbl_MeasureList[[Measure ID]:[Measure ID]],0),MATCH(Tbl_ER_MeasureSummary[[#Headers],[Baseline Name]],Tbl_MeasureList[#Headers],0))</f>
        <v>Propane Boiler+Storage WH</v>
      </c>
      <c r="H40" s="525" t="str">
        <f>INDEX(Tbl_MeasureList[],MATCH(Tbl_ER_MeasureSummary[[#This Row],[Measure ID]:[Measure ID]],Tbl_MeasureList[[Measure ID]:[Measure ID]],0),MATCH(Tbl_ER_MeasureSummary[[#Headers],[Replacement Name]],Tbl_MeasureList[#Headers],0))</f>
        <v>Gas Combination Boiler</v>
      </c>
      <c r="I40"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Propane Boiler+Storage WH to Gas Combination Boiler (Retire)</v>
      </c>
      <c r="J40"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10</v>
      </c>
      <c r="K40" s="31" t="str">
        <f>INDEX(Tbl_MeasureList[],MATCH(Tbl_ER_MeasureSummary[[#This Row],[Measure ID]:[Measure ID]],Tbl_MeasureList[[Measure ID]:[Measure ID]],0),MATCH(Tbl_ER_MeasureSummary[[#Headers],[Baseline Function]],Tbl_MeasureList[#Headers],0))</f>
        <v>Heat+HW</v>
      </c>
      <c r="L40" s="525" t="str">
        <f>INDEX(Tbl_MeasureList[],MATCH(Tbl_ER_MeasureSummary[[#This Row],[Measure ID]:[Measure ID]],Tbl_MeasureList[[Measure ID]:[Measure ID]],0),MATCH(Tbl_ER_MeasureSummary[[#Headers],[Replacement Function]],Tbl_MeasureList[#Headers],0))</f>
        <v>Heat+HW</v>
      </c>
      <c r="M40" s="31" t="str">
        <f>INDEX(Tbl_MeasureList[],MATCH(Tbl_ER_MeasureSummary[[#This Row],[Measure ID]:[Measure ID]],Tbl_MeasureList[[Measure ID]:[Measure ID]],0),MATCH(Tbl_ER_MeasureSummary[[#Headers],[Keep Existing Heating Equipment?]],Tbl_MeasureList[#Headers],0))</f>
        <v>No</v>
      </c>
      <c r="N40"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Propane</v>
      </c>
      <c r="O40"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40"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75% AFUE, 0.58 UEF</v>
      </c>
      <c r="Q40"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82% AFUE (79.3% actual), 0.62 UEF</v>
      </c>
      <c r="R40"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90% AFUE</v>
      </c>
      <c r="S40"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95% AFUE</v>
      </c>
      <c r="T40" s="522" t="str">
        <f>IF(Tbl_ER_MeasureSummary[[#This Row],[Savings Stream]]="Retire","-",
INDEX(Tbl_MeasureList[],MATCH(Tbl_ER_MeasureSummary[[#This Row],[Measure ID]:[Measure ID]],Tbl_MeasureList[[Measure ID]:[Measure ID]],0),MATCH(Tbl_ER_MeasureSummary[[#Headers],[Fuel Switch Annual Energy Savings on MMBtu Basis (MMBtu/yr)]],Tbl_MeasureList[#Headers],0)))</f>
        <v>-</v>
      </c>
      <c r="U40" s="519">
        <f>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244.51156826092665</v>
      </c>
      <c r="V40" s="549">
        <f>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0</v>
      </c>
      <c r="W40" s="395">
        <f>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0</v>
      </c>
      <c r="X40" s="534">
        <f>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0</v>
      </c>
      <c r="Y40" s="396">
        <f>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40" s="536">
        <f>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0</v>
      </c>
      <c r="AA40" s="397">
        <f>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6.8023073603336002</v>
      </c>
      <c r="AB40" s="536">
        <f>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0</v>
      </c>
      <c r="AC40" s="656">
        <f>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6.8023073603336002</v>
      </c>
      <c r="AD40" s="536">
        <f>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0.47276036154318657</v>
      </c>
      <c r="AE40" s="658">
        <f>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0.47276036154318568</v>
      </c>
      <c r="AF40" s="519">
        <f>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244.51156826092665</v>
      </c>
      <c r="AG40" s="549">
        <f>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0</v>
      </c>
      <c r="AH40" s="395">
        <f>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0</v>
      </c>
      <c r="AI40" s="534">
        <f>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0</v>
      </c>
      <c r="AJ40" s="396">
        <f>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40" s="536">
        <f>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0</v>
      </c>
      <c r="AL40" s="397">
        <f>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6.8023073603336002</v>
      </c>
      <c r="AM40" s="536">
        <f>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0</v>
      </c>
      <c r="AN40" s="656">
        <f>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6.8023073603336002</v>
      </c>
      <c r="AO40" s="536">
        <f>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0.47276036154318657</v>
      </c>
      <c r="AP40" s="658">
        <f>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0.47276036154318568</v>
      </c>
      <c r="AQ40" s="517">
        <f>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0</v>
      </c>
      <c r="AR40"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0</v>
      </c>
      <c r="AS40"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-95.022135838462361</v>
      </c>
      <c r="AT40" s="538">
        <f>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0</v>
      </c>
      <c r="AU40"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0</v>
      </c>
      <c r="AV40"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-95.022135838462361</v>
      </c>
    </row>
    <row r="41" spans="2:48" x14ac:dyDescent="0.2">
      <c r="B41" s="16"/>
      <c r="C41" s="44" t="s">
        <v>104</v>
      </c>
      <c r="D41" s="31" t="str">
        <f>INDEX(Tbl_MeasureList[],MATCH(Tbl_ER_MeasureSummary[[#This Row],[Measure ID]:[Measure ID]],Tbl_MeasureList[[Measure ID]:[Measure ID]],0),MATCH(Tbl_ER_MeasureSummary[[#Headers],[Baseline Equipment ID]],Tbl_MeasureList[#Headers],0))</f>
        <v>EQUI026</v>
      </c>
      <c r="E41" s="525" t="str">
        <f>INDEX(Tbl_MeasureList[],MATCH(Tbl_ER_MeasureSummary[[#This Row],[Measure ID]:[Measure ID]],Tbl_MeasureList[[Measure ID]:[Measure ID]],0),MATCH(Tbl_ER_MeasureSummary[[#Headers],[Replacement ID]],Tbl_MeasureList[#Headers],0))</f>
        <v>EQUI028</v>
      </c>
      <c r="F41" s="433" t="s">
        <v>1216</v>
      </c>
      <c r="G41" s="31" t="str">
        <f>INDEX(Tbl_MeasureList[],MATCH(Tbl_ER_MeasureSummary[[#This Row],[Measure ID]:[Measure ID]],Tbl_MeasureList[[Measure ID]:[Measure ID]],0),MATCH(Tbl_ER_MeasureSummary[[#Headers],[Baseline Name]],Tbl_MeasureList[#Headers],0))</f>
        <v>Oil Storage WH</v>
      </c>
      <c r="H41" s="525" t="str">
        <f>INDEX(Tbl_MeasureList[],MATCH(Tbl_ER_MeasureSummary[[#This Row],[Measure ID]:[Measure ID]],Tbl_MeasureList[[Measure ID]:[Measure ID]],0),MATCH(Tbl_ER_MeasureSummary[[#Headers],[Replacement Name]],Tbl_MeasureList[#Headers],0))</f>
        <v>Gas Storage WH</v>
      </c>
      <c r="I41"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Oil Storage WH to Gas Storage WH (EE)</v>
      </c>
      <c r="J41"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15</v>
      </c>
      <c r="K41" s="31" t="str">
        <f>INDEX(Tbl_MeasureList[],MATCH(Tbl_ER_MeasureSummary[[#This Row],[Measure ID]:[Measure ID]],Tbl_MeasureList[[Measure ID]:[Measure ID]],0),MATCH(Tbl_ER_MeasureSummary[[#Headers],[Baseline Function]],Tbl_MeasureList[#Headers],0))</f>
        <v>HW</v>
      </c>
      <c r="L41" s="525" t="str">
        <f>INDEX(Tbl_MeasureList[],MATCH(Tbl_ER_MeasureSummary[[#This Row],[Measure ID]:[Measure ID]],Tbl_MeasureList[[Measure ID]:[Measure ID]],0),MATCH(Tbl_ER_MeasureSummary[[#Headers],[Replacement Function]],Tbl_MeasureList[#Headers],0))</f>
        <v>HW</v>
      </c>
      <c r="M41" s="31" t="str">
        <f>INDEX(Tbl_MeasureList[],MATCH(Tbl_ER_MeasureSummary[[#This Row],[Measure ID]:[Measure ID]],Tbl_MeasureList[[Measure ID]:[Measure ID]],0),MATCH(Tbl_ER_MeasureSummary[[#Headers],[Keep Existing Heating Equipment?]],Tbl_MeasureList[#Headers],0))</f>
        <v>No</v>
      </c>
      <c r="N41"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Oil</v>
      </c>
      <c r="O41"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41"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0.58 UEF</v>
      </c>
      <c r="Q41"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0.62 UEF</v>
      </c>
      <c r="R41"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0.60 UEF</v>
      </c>
      <c r="S41"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0.66 UEF</v>
      </c>
      <c r="T41" s="522">
        <f ca="1">IF(Tbl_ER_MeasureSummary[[#This Row],[Savings Stream]]="Retire","-",
INDEX(Tbl_MeasureList[],MATCH(Tbl_ER_MeasureSummary[[#This Row],[Measure ID]:[Measure ID]],Tbl_MeasureList[[Measure ID]:[Measure ID]],0),MATCH(Tbl_ER_MeasureSummary[[#Headers],[Fuel Switch Annual Energy Savings on MMBtu Basis (MMBtu/yr)]],Tbl_MeasureList[#Headers],0)))</f>
        <v>-2.8533724340175901</v>
      </c>
      <c r="U41" s="519">
        <f ca="1">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20.421457575757472</v>
      </c>
      <c r="V41" s="549">
        <f ca="1">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6470.736553523313</v>
      </c>
      <c r="W41" s="395">
        <f ca="1">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-68.5</v>
      </c>
      <c r="X41" s="534">
        <f ca="1">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-2.7043031977891829E-2</v>
      </c>
      <c r="Y41" s="396">
        <f ca="1">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-1.2710225029609159E-2</v>
      </c>
      <c r="Z41" s="536">
        <f ca="1">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-231.66666666666669</v>
      </c>
      <c r="AA41" s="397">
        <f ca="1">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0</v>
      </c>
      <c r="AB41" s="536">
        <f ca="1">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22.41935483870968</v>
      </c>
      <c r="AC41" s="656">
        <f ca="1">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-0.98103382795698835</v>
      </c>
      <c r="AD41" s="536">
        <f ca="1">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0.4528709677419358</v>
      </c>
      <c r="AE41" s="658">
        <f ca="1">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0.42867950774193586</v>
      </c>
      <c r="AF41" s="519">
        <f ca="1">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151.84810722880144</v>
      </c>
      <c r="AG41" s="549">
        <f ca="1">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8838.736553523313</v>
      </c>
      <c r="AH41" s="395">
        <f ca="1">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-60.6</v>
      </c>
      <c r="AI41" s="534">
        <f ca="1">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-2.3924200552704302E-2</v>
      </c>
      <c r="AJ41" s="396">
        <f ca="1">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-1.1244374259771022E-2</v>
      </c>
      <c r="AK41" s="536">
        <f ca="1">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-210.60606060606059</v>
      </c>
      <c r="AL41" s="397">
        <f ca="1">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0</v>
      </c>
      <c r="AM41" s="536">
        <f ca="1">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22.41935483870968</v>
      </c>
      <c r="AN41" s="656">
        <f ca="1">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1.1519815781036193</v>
      </c>
      <c r="AO41" s="536">
        <f ca="1">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0.57607551319648143</v>
      </c>
      <c r="AP41" s="658">
        <f ca="1">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0.55467401719648146</v>
      </c>
      <c r="AQ41" s="517">
        <f ca="1">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-0.66140267596974789</v>
      </c>
      <c r="AR41"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162.4609434495172</v>
      </c>
      <c r="AS41"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-22.786178455848543</v>
      </c>
      <c r="AT41" s="538">
        <f ca="1">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-0.58512411917907625</v>
      </c>
      <c r="AU41"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162.46820033065242</v>
      </c>
      <c r="AV41"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-20.708055579355548</v>
      </c>
    </row>
    <row r="42" spans="2:48" x14ac:dyDescent="0.2">
      <c r="B42" s="16"/>
      <c r="C42" s="44" t="s">
        <v>104</v>
      </c>
      <c r="D42" s="31" t="str">
        <f>INDEX(Tbl_MeasureList[],MATCH(Tbl_ER_MeasureSummary[[#This Row],[Measure ID]:[Measure ID]],Tbl_MeasureList[[Measure ID]:[Measure ID]],0),MATCH(Tbl_ER_MeasureSummary[[#Headers],[Baseline Equipment ID]],Tbl_MeasureList[#Headers],0))</f>
        <v>EQUI026</v>
      </c>
      <c r="E42" s="525" t="str">
        <f>INDEX(Tbl_MeasureList[],MATCH(Tbl_ER_MeasureSummary[[#This Row],[Measure ID]:[Measure ID]],Tbl_MeasureList[[Measure ID]:[Measure ID]],0),MATCH(Tbl_ER_MeasureSummary[[#Headers],[Replacement ID]],Tbl_MeasureList[#Headers],0))</f>
        <v>EQUI028</v>
      </c>
      <c r="F42" s="433" t="s">
        <v>1218</v>
      </c>
      <c r="G42" s="31" t="str">
        <f>INDEX(Tbl_MeasureList[],MATCH(Tbl_ER_MeasureSummary[[#This Row],[Measure ID]:[Measure ID]],Tbl_MeasureList[[Measure ID]:[Measure ID]],0),MATCH(Tbl_ER_MeasureSummary[[#Headers],[Baseline Name]],Tbl_MeasureList[#Headers],0))</f>
        <v>Oil Storage WH</v>
      </c>
      <c r="H42" s="525" t="str">
        <f>INDEX(Tbl_MeasureList[],MATCH(Tbl_ER_MeasureSummary[[#This Row],[Measure ID]:[Measure ID]],Tbl_MeasureList[[Measure ID]:[Measure ID]],0),MATCH(Tbl_ER_MeasureSummary[[#Headers],[Replacement Name]],Tbl_MeasureList[#Headers],0))</f>
        <v>Gas Storage WH</v>
      </c>
      <c r="I42"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Oil Storage WH to Gas Storage WH (Retire)</v>
      </c>
      <c r="J42"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4</v>
      </c>
      <c r="K42" s="31" t="str">
        <f>INDEX(Tbl_MeasureList[],MATCH(Tbl_ER_MeasureSummary[[#This Row],[Measure ID]:[Measure ID]],Tbl_MeasureList[[Measure ID]:[Measure ID]],0),MATCH(Tbl_ER_MeasureSummary[[#Headers],[Baseline Function]],Tbl_MeasureList[#Headers],0))</f>
        <v>HW</v>
      </c>
      <c r="L42" s="525" t="str">
        <f>INDEX(Tbl_MeasureList[],MATCH(Tbl_ER_MeasureSummary[[#This Row],[Measure ID]:[Measure ID]],Tbl_MeasureList[[Measure ID]:[Measure ID]],0),MATCH(Tbl_ER_MeasureSummary[[#Headers],[Replacement Function]],Tbl_MeasureList[#Headers],0))</f>
        <v>HW</v>
      </c>
      <c r="M42" s="31" t="str">
        <f>INDEX(Tbl_MeasureList[],MATCH(Tbl_ER_MeasureSummary[[#This Row],[Measure ID]:[Measure ID]],Tbl_MeasureList[[Measure ID]:[Measure ID]],0),MATCH(Tbl_ER_MeasureSummary[[#Headers],[Keep Existing Heating Equipment?]],Tbl_MeasureList[#Headers],0))</f>
        <v>No</v>
      </c>
      <c r="N42"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Oil</v>
      </c>
      <c r="O42"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42"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0.58 UEF</v>
      </c>
      <c r="Q42"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0.62 UEF</v>
      </c>
      <c r="R42"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0.60 UEF</v>
      </c>
      <c r="S42"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0.66 UEF</v>
      </c>
      <c r="T42" s="522" t="str">
        <f>IF(Tbl_ER_MeasureSummary[[#This Row],[Savings Stream]]="Retire","-",
INDEX(Tbl_MeasureList[],MATCH(Tbl_ER_MeasureSummary[[#This Row],[Measure ID]:[Measure ID]],Tbl_MeasureList[[Measure ID]:[Measure ID]],0),MATCH(Tbl_ER_MeasureSummary[[#Headers],[Fuel Switch Annual Energy Savings on MMBtu Basis (MMBtu/yr)]],Tbl_MeasureList[#Headers],0)))</f>
        <v>-</v>
      </c>
      <c r="U42" s="519">
        <f>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34.727059516301836</v>
      </c>
      <c r="V42" s="549">
        <f>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0</v>
      </c>
      <c r="W42" s="395">
        <f>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0</v>
      </c>
      <c r="X42" s="534">
        <f>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0</v>
      </c>
      <c r="Y42" s="396">
        <f>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42" s="536">
        <f>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0</v>
      </c>
      <c r="AA42" s="397">
        <f>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0</v>
      </c>
      <c r="AB42" s="536">
        <f>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1.5461624026696335</v>
      </c>
      <c r="AC42" s="656">
        <f>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1.5461624026696335</v>
      </c>
      <c r="AD42" s="536">
        <f>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0.12469799777530599</v>
      </c>
      <c r="AE42" s="658">
        <f>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0.12469799777530599</v>
      </c>
      <c r="AF42" s="519">
        <f>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34.727059516301836</v>
      </c>
      <c r="AG42" s="549">
        <f>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0</v>
      </c>
      <c r="AH42" s="395">
        <f>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0</v>
      </c>
      <c r="AI42" s="534">
        <f>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0</v>
      </c>
      <c r="AJ42" s="396">
        <f>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42" s="536">
        <f>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0</v>
      </c>
      <c r="AL42" s="397">
        <f>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0</v>
      </c>
      <c r="AM42" s="536">
        <f>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1.5461624026696335</v>
      </c>
      <c r="AN42" s="656">
        <f>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1.5461624026696335</v>
      </c>
      <c r="AO42" s="536">
        <f>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0.12469799777530599</v>
      </c>
      <c r="AP42" s="658">
        <f>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0.12469799777530599</v>
      </c>
      <c r="AQ42" s="517">
        <f>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0</v>
      </c>
      <c r="AR42"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173.73240959352867</v>
      </c>
      <c r="AS42"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-22.513767411726597</v>
      </c>
      <c r="AT42" s="538">
        <f>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0</v>
      </c>
      <c r="AU42"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173.73240959352867</v>
      </c>
      <c r="AV42"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-22.513767411726597</v>
      </c>
    </row>
    <row r="43" spans="2:48" x14ac:dyDescent="0.2">
      <c r="B43" s="16"/>
      <c r="C43" s="44" t="s">
        <v>105</v>
      </c>
      <c r="D43" s="31" t="str">
        <f>INDEX(Tbl_MeasureList[],MATCH(Tbl_ER_MeasureSummary[[#This Row],[Measure ID]:[Measure ID]],Tbl_MeasureList[[Measure ID]:[Measure ID]],0),MATCH(Tbl_ER_MeasureSummary[[#Headers],[Baseline Equipment ID]],Tbl_MeasureList[#Headers],0))</f>
        <v>EQUI027</v>
      </c>
      <c r="E43" s="525" t="str">
        <f>INDEX(Tbl_MeasureList[],MATCH(Tbl_ER_MeasureSummary[[#This Row],[Measure ID]:[Measure ID]],Tbl_MeasureList[[Measure ID]:[Measure ID]],0),MATCH(Tbl_ER_MeasureSummary[[#Headers],[Replacement ID]],Tbl_MeasureList[#Headers],0))</f>
        <v>EQUI028</v>
      </c>
      <c r="F43" s="433" t="s">
        <v>1216</v>
      </c>
      <c r="G43" s="31" t="str">
        <f>INDEX(Tbl_MeasureList[],MATCH(Tbl_ER_MeasureSummary[[#This Row],[Measure ID]:[Measure ID]],Tbl_MeasureList[[Measure ID]:[Measure ID]],0),MATCH(Tbl_ER_MeasureSummary[[#Headers],[Baseline Name]],Tbl_MeasureList[#Headers],0))</f>
        <v>Propane Storage WH</v>
      </c>
      <c r="H43" s="525" t="str">
        <f>INDEX(Tbl_MeasureList[],MATCH(Tbl_ER_MeasureSummary[[#This Row],[Measure ID]:[Measure ID]],Tbl_MeasureList[[Measure ID]:[Measure ID]],0),MATCH(Tbl_ER_MeasureSummary[[#Headers],[Replacement Name]],Tbl_MeasureList[#Headers],0))</f>
        <v>Gas Storage WH</v>
      </c>
      <c r="I43"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Propane Storage WH to Gas Storage WH (EE)</v>
      </c>
      <c r="J43"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15</v>
      </c>
      <c r="K43" s="31" t="str">
        <f>INDEX(Tbl_MeasureList[],MATCH(Tbl_ER_MeasureSummary[[#This Row],[Measure ID]:[Measure ID]],Tbl_MeasureList[[Measure ID]:[Measure ID]],0),MATCH(Tbl_ER_MeasureSummary[[#Headers],[Baseline Function]],Tbl_MeasureList[#Headers],0))</f>
        <v>HW</v>
      </c>
      <c r="L43" s="525" t="str">
        <f>INDEX(Tbl_MeasureList[],MATCH(Tbl_ER_MeasureSummary[[#This Row],[Measure ID]:[Measure ID]],Tbl_MeasureList[[Measure ID]:[Measure ID]],0),MATCH(Tbl_ER_MeasureSummary[[#Headers],[Replacement Function]],Tbl_MeasureList[#Headers],0))</f>
        <v>HW</v>
      </c>
      <c r="M43" s="31" t="str">
        <f>INDEX(Tbl_MeasureList[],MATCH(Tbl_ER_MeasureSummary[[#This Row],[Measure ID]:[Measure ID]],Tbl_MeasureList[[Measure ID]:[Measure ID]],0),MATCH(Tbl_ER_MeasureSummary[[#Headers],[Keep Existing Heating Equipment?]],Tbl_MeasureList[#Headers],0))</f>
        <v>No</v>
      </c>
      <c r="N43"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Propane</v>
      </c>
      <c r="O43"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43"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0.58 UEF</v>
      </c>
      <c r="Q43"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0.63 UEF</v>
      </c>
      <c r="R43"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0.60 UEF</v>
      </c>
      <c r="S43"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0.66 UEF</v>
      </c>
      <c r="T43" s="522">
        <f ca="1">IF(Tbl_ER_MeasureSummary[[#This Row],[Savings Stream]]="Retire","-",
INDEX(Tbl_MeasureList[],MATCH(Tbl_ER_MeasureSummary[[#This Row],[Measure ID]:[Measure ID]],Tbl_MeasureList[[Measure ID]:[Measure ID]],0),MATCH(Tbl_ER_MeasureSummary[[#Headers],[Fuel Switch Annual Energy Savings on MMBtu Basis (MMBtu/yr)]],Tbl_MeasureList[#Headers],0)))</f>
        <v>-2.60894660894661</v>
      </c>
      <c r="U43" s="519">
        <f ca="1">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14.067215151515143</v>
      </c>
      <c r="V43" s="549">
        <f ca="1">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6534.0505845565913</v>
      </c>
      <c r="W43" s="395">
        <f ca="1">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-68.5</v>
      </c>
      <c r="X43" s="534">
        <f ca="1">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-2.7043031977891829E-2</v>
      </c>
      <c r="Y43" s="396">
        <f ca="1">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-1.2710225029609159E-2</v>
      </c>
      <c r="Z43" s="536">
        <f ca="1">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-188.33333333333337</v>
      </c>
      <c r="AA43" s="397">
        <f ca="1">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17.936507936507937</v>
      </c>
      <c r="AB43" s="536">
        <f ca="1">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0</v>
      </c>
      <c r="AC43" s="656">
        <f ca="1">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-1.1305473968253992</v>
      </c>
      <c r="AD43" s="536">
        <f ca="1">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0.14483730158730146</v>
      </c>
      <c r="AE43" s="658">
        <f ca="1">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0.12064584158730152</v>
      </c>
      <c r="AF43" s="519">
        <f ca="1">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356.58288162857042</v>
      </c>
      <c r="AG43" s="549">
        <f ca="1">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8902.0505845565913</v>
      </c>
      <c r="AH43" s="395">
        <f ca="1">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-60.6</v>
      </c>
      <c r="AI43" s="534">
        <f ca="1">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-2.3924200552704302E-2</v>
      </c>
      <c r="AJ43" s="396">
        <f ca="1">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-1.1244374259771022E-2</v>
      </c>
      <c r="AK43" s="536">
        <f ca="1">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-171.21212121212122</v>
      </c>
      <c r="AL43" s="397">
        <f ca="1">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17.936507936507937</v>
      </c>
      <c r="AM43" s="536">
        <f ca="1">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0</v>
      </c>
      <c r="AN43" s="656">
        <f ca="1">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0.60852861529581403</v>
      </c>
      <c r="AO43" s="536">
        <f ca="1">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0.24499639249639249</v>
      </c>
      <c r="AP43" s="658">
        <f ca="1">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0.22359489649639253</v>
      </c>
      <c r="AQ43" s="517">
        <f ca="1">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-0.66140267596974789</v>
      </c>
      <c r="AR43"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-6.2923589590276635E-2</v>
      </c>
      <c r="AS43"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-18.574970163007599</v>
      </c>
      <c r="AT43" s="538">
        <f ca="1">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-0.58512411917907625</v>
      </c>
      <c r="AU43"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-5.5666708455047655E-2</v>
      </c>
      <c r="AV43"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-16.879684404045598</v>
      </c>
    </row>
    <row r="44" spans="2:48" x14ac:dyDescent="0.2">
      <c r="B44" s="16"/>
      <c r="C44" s="44" t="s">
        <v>105</v>
      </c>
      <c r="D44" s="31" t="str">
        <f>INDEX(Tbl_MeasureList[],MATCH(Tbl_ER_MeasureSummary[[#This Row],[Measure ID]:[Measure ID]],Tbl_MeasureList[[Measure ID]:[Measure ID]],0),MATCH(Tbl_ER_MeasureSummary[[#Headers],[Baseline Equipment ID]],Tbl_MeasureList[#Headers],0))</f>
        <v>EQUI027</v>
      </c>
      <c r="E44" s="525" t="str">
        <f>INDEX(Tbl_MeasureList[],MATCH(Tbl_ER_MeasureSummary[[#This Row],[Measure ID]:[Measure ID]],Tbl_MeasureList[[Measure ID]:[Measure ID]],0),MATCH(Tbl_ER_MeasureSummary[[#Headers],[Replacement ID]],Tbl_MeasureList[#Headers],0))</f>
        <v>EQUI028</v>
      </c>
      <c r="F44" s="433" t="s">
        <v>1218</v>
      </c>
      <c r="G44" s="31" t="str">
        <f>INDEX(Tbl_MeasureList[],MATCH(Tbl_ER_MeasureSummary[[#This Row],[Measure ID]:[Measure ID]],Tbl_MeasureList[[Measure ID]:[Measure ID]],0),MATCH(Tbl_ER_MeasureSummary[[#Headers],[Baseline Name]],Tbl_MeasureList[#Headers],0))</f>
        <v>Propane Storage WH</v>
      </c>
      <c r="H44" s="525" t="str">
        <f>INDEX(Tbl_MeasureList[],MATCH(Tbl_ER_MeasureSummary[[#This Row],[Measure ID]:[Measure ID]],Tbl_MeasureList[[Measure ID]:[Measure ID]],0),MATCH(Tbl_ER_MeasureSummary[[#Headers],[Replacement Name]],Tbl_MeasureList[#Headers],0))</f>
        <v>Gas Storage WH</v>
      </c>
      <c r="I44"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Propane Storage WH to Gas Storage WH (Retire)</v>
      </c>
      <c r="J44"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4</v>
      </c>
      <c r="K44" s="31" t="str">
        <f>INDEX(Tbl_MeasureList[],MATCH(Tbl_ER_MeasureSummary[[#This Row],[Measure ID]:[Measure ID]],Tbl_MeasureList[[Measure ID]:[Measure ID]],0),MATCH(Tbl_ER_MeasureSummary[[#Headers],[Baseline Function]],Tbl_MeasureList[#Headers],0))</f>
        <v>HW</v>
      </c>
      <c r="L44" s="525" t="str">
        <f>INDEX(Tbl_MeasureList[],MATCH(Tbl_ER_MeasureSummary[[#This Row],[Measure ID]:[Measure ID]],Tbl_MeasureList[[Measure ID]:[Measure ID]],0),MATCH(Tbl_ER_MeasureSummary[[#Headers],[Replacement Function]],Tbl_MeasureList[#Headers],0))</f>
        <v>HW</v>
      </c>
      <c r="M44" s="31" t="str">
        <f>INDEX(Tbl_MeasureList[],MATCH(Tbl_ER_MeasureSummary[[#This Row],[Measure ID]:[Measure ID]],Tbl_MeasureList[[Measure ID]:[Measure ID]],0),MATCH(Tbl_ER_MeasureSummary[[#Headers],[Keep Existing Heating Equipment?]],Tbl_MeasureList[#Headers],0))</f>
        <v>No</v>
      </c>
      <c r="N44"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Propane</v>
      </c>
      <c r="O44"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44"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0.58 UEF</v>
      </c>
      <c r="Q44"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0.63 UEF</v>
      </c>
      <c r="R44"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0.60 UEF</v>
      </c>
      <c r="S44"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0.66 UEF</v>
      </c>
      <c r="T44" s="522" t="str">
        <f>IF(Tbl_ER_MeasureSummary[[#This Row],[Savings Stream]]="Retire","-",
INDEX(Tbl_MeasureList[],MATCH(Tbl_ER_MeasureSummary[[#This Row],[Measure ID]:[Measure ID]],Tbl_MeasureList[[Measure ID]:[Measure ID]],0),MATCH(Tbl_ER_MeasureSummary[[#Headers],[Fuel Switch Annual Energy Savings on MMBtu Basis (MMBtu/yr)]],Tbl_MeasureList[#Headers],0)))</f>
        <v>-</v>
      </c>
      <c r="U44" s="519">
        <f>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55.58057871928645</v>
      </c>
      <c r="V44" s="549">
        <f>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0</v>
      </c>
      <c r="W44" s="395">
        <f>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0</v>
      </c>
      <c r="X44" s="534">
        <f>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0</v>
      </c>
      <c r="Y44" s="396">
        <f>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44" s="536">
        <f>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0</v>
      </c>
      <c r="AA44" s="397">
        <f>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1.5462506841817216</v>
      </c>
      <c r="AB44" s="536">
        <f>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0</v>
      </c>
      <c r="AC44" s="656">
        <f>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1.5462506841817216</v>
      </c>
      <c r="AD44" s="536">
        <f>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0.1074644225506296</v>
      </c>
      <c r="AE44" s="658">
        <f>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0.1074644225506296</v>
      </c>
      <c r="AF44" s="519">
        <f>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55.58057871928645</v>
      </c>
      <c r="AG44" s="549">
        <f>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0</v>
      </c>
      <c r="AH44" s="395">
        <f>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0</v>
      </c>
      <c r="AI44" s="534">
        <f>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0</v>
      </c>
      <c r="AJ44" s="396">
        <f>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44" s="536">
        <f>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0</v>
      </c>
      <c r="AL44" s="397">
        <f>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1.5462506841817216</v>
      </c>
      <c r="AM44" s="536">
        <f>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0</v>
      </c>
      <c r="AN44" s="656">
        <f>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1.5462506841817216</v>
      </c>
      <c r="AO44" s="536">
        <f>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0.1074644225506296</v>
      </c>
      <c r="AP44" s="658">
        <f>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0.1074644225506296</v>
      </c>
      <c r="AQ44" s="517">
        <f>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0</v>
      </c>
      <c r="AR44"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0</v>
      </c>
      <c r="AS44"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-18.302559118885654</v>
      </c>
      <c r="AT44" s="538">
        <f>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0</v>
      </c>
      <c r="AU44"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0</v>
      </c>
      <c r="AV44"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-18.302559118885654</v>
      </c>
    </row>
    <row r="45" spans="2:48" x14ac:dyDescent="0.2">
      <c r="B45" s="16"/>
      <c r="C45" s="44" t="s">
        <v>106</v>
      </c>
      <c r="D45" s="31" t="str">
        <f>INDEX(Tbl_MeasureList[],MATCH(Tbl_ER_MeasureSummary[[#This Row],[Measure ID]:[Measure ID]],Tbl_MeasureList[[Measure ID]:[Measure ID]],0),MATCH(Tbl_ER_MeasureSummary[[#Headers],[Baseline Equipment ID]],Tbl_MeasureList[#Headers],0))</f>
        <v>EQUI026</v>
      </c>
      <c r="E45" s="525" t="str">
        <f>INDEX(Tbl_MeasureList[],MATCH(Tbl_ER_MeasureSummary[[#This Row],[Measure ID]:[Measure ID]],Tbl_MeasureList[[Measure ID]:[Measure ID]],0),MATCH(Tbl_ER_MeasureSummary[[#Headers],[Replacement ID]],Tbl_MeasureList[#Headers],0))</f>
        <v>EQUI030</v>
      </c>
      <c r="F45" s="433" t="s">
        <v>1216</v>
      </c>
      <c r="G45" s="31" t="str">
        <f>INDEX(Tbl_MeasureList[],MATCH(Tbl_ER_MeasureSummary[[#This Row],[Measure ID]:[Measure ID]],Tbl_MeasureList[[Measure ID]:[Measure ID]],0),MATCH(Tbl_ER_MeasureSummary[[#Headers],[Baseline Name]],Tbl_MeasureList[#Headers],0))</f>
        <v>Oil Storage WH</v>
      </c>
      <c r="H45" s="525" t="str">
        <f>INDEX(Tbl_MeasureList[],MATCH(Tbl_ER_MeasureSummary[[#This Row],[Measure ID]:[Measure ID]],Tbl_MeasureList[[Measure ID]:[Measure ID]],0),MATCH(Tbl_ER_MeasureSummary[[#Headers],[Replacement Name]],Tbl_MeasureList[#Headers],0))</f>
        <v>Gas On-Demand WH</v>
      </c>
      <c r="I45"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Oil Storage WH to Gas On-Demand WH (EE)</v>
      </c>
      <c r="J45"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19</v>
      </c>
      <c r="K45" s="31" t="str">
        <f>INDEX(Tbl_MeasureList[],MATCH(Tbl_ER_MeasureSummary[[#This Row],[Measure ID]:[Measure ID]],Tbl_MeasureList[[Measure ID]:[Measure ID]],0),MATCH(Tbl_ER_MeasureSummary[[#Headers],[Baseline Function]],Tbl_MeasureList[#Headers],0))</f>
        <v>HW</v>
      </c>
      <c r="L45" s="525" t="str">
        <f>INDEX(Tbl_MeasureList[],MATCH(Tbl_ER_MeasureSummary[[#This Row],[Measure ID]:[Measure ID]],Tbl_MeasureList[[Measure ID]:[Measure ID]],0),MATCH(Tbl_ER_MeasureSummary[[#Headers],[Replacement Function]],Tbl_MeasureList[#Headers],0))</f>
        <v>HW</v>
      </c>
      <c r="M45" s="31" t="str">
        <f>INDEX(Tbl_MeasureList[],MATCH(Tbl_ER_MeasureSummary[[#This Row],[Measure ID]:[Measure ID]],Tbl_MeasureList[[Measure ID]:[Measure ID]],0),MATCH(Tbl_ER_MeasureSummary[[#Headers],[Keep Existing Heating Equipment?]],Tbl_MeasureList[#Headers],0))</f>
        <v>No</v>
      </c>
      <c r="N45"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Oil</v>
      </c>
      <c r="O45"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45"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0.58 UEF</v>
      </c>
      <c r="Q45"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0.62 UEF</v>
      </c>
      <c r="R45"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0.87 UEF</v>
      </c>
      <c r="S45"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v>
      </c>
      <c r="T45" s="522">
        <f ca="1">IF(Tbl_ER_MeasureSummary[[#This Row],[Savings Stream]]="Retire","-",
INDEX(Tbl_MeasureList[],MATCH(Tbl_ER_MeasureSummary[[#This Row],[Measure ID]:[Measure ID]],Tbl_MeasureList[[Measure ID]:[Measure ID]],0),MATCH(Tbl_ER_MeasureSummary[[#Headers],[Fuel Switch Annual Energy Savings on MMBtu Basis (MMBtu/yr)]],Tbl_MeasureList[#Headers],0)))</f>
        <v>4.9447244387096809</v>
      </c>
      <c r="U45" s="519">
        <f ca="1">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22.668234597701087</v>
      </c>
      <c r="V45" s="549">
        <f ca="1">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8053.736553523313</v>
      </c>
      <c r="W45" s="395">
        <f ca="1">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-28.6</v>
      </c>
      <c r="X45" s="534">
        <f ca="1">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-1.1290959336754837E-2</v>
      </c>
      <c r="Y45" s="396">
        <f ca="1">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-5.306750888274773E-3</v>
      </c>
      <c r="Z45" s="536">
        <f ca="1">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-159.77011494252875</v>
      </c>
      <c r="AA45" s="397">
        <f ca="1">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0</v>
      </c>
      <c r="AB45" s="536">
        <f ca="1">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22.41935483870968</v>
      </c>
      <c r="AC45" s="656">
        <f ca="1">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6.3447601444568065</v>
      </c>
      <c r="AD45" s="536">
        <f ca="1">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0.87346579532814272</v>
      </c>
      <c r="AE45" s="658">
        <f ca="1">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0.8633654193281427</v>
      </c>
      <c r="AF45" s="519" t="str">
        <f>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v>
      </c>
      <c r="AG45" s="549" t="str">
        <f>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v>
      </c>
      <c r="AH45" s="395" t="str">
        <f>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v>
      </c>
      <c r="AI45" s="534" t="str">
        <f>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v>
      </c>
      <c r="AJ45" s="396" t="str">
        <f>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v>
      </c>
      <c r="AK45" s="536" t="str">
        <f>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v>
      </c>
      <c r="AL45" s="397" t="str">
        <f>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v>
      </c>
      <c r="AM45" s="536" t="str">
        <f>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v>
      </c>
      <c r="AN45" s="656" t="str">
        <f>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v>
      </c>
      <c r="AO45" s="536" t="str">
        <f>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v>
      </c>
      <c r="AP45" s="658" t="str">
        <f>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v>
      </c>
      <c r="AQ45" s="517">
        <f ca="1">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-0.27614768660926703</v>
      </c>
      <c r="AR45"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162.49759529221285</v>
      </c>
      <c r="AS45"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-15.640472727943711</v>
      </c>
      <c r="AT45" s="538" t="str">
        <f>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v>
      </c>
      <c r="AU45" s="397" t="str">
        <f>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v>
      </c>
      <c r="AV45" s="550" t="str">
        <f>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v>
      </c>
    </row>
    <row r="46" spans="2:48" x14ac:dyDescent="0.2">
      <c r="B46" s="16"/>
      <c r="C46" s="44" t="s">
        <v>106</v>
      </c>
      <c r="D46" s="31" t="str">
        <f>INDEX(Tbl_MeasureList[],MATCH(Tbl_ER_MeasureSummary[[#This Row],[Measure ID]:[Measure ID]],Tbl_MeasureList[[Measure ID]:[Measure ID]],0),MATCH(Tbl_ER_MeasureSummary[[#Headers],[Baseline Equipment ID]],Tbl_MeasureList[#Headers],0))</f>
        <v>EQUI026</v>
      </c>
      <c r="E46" s="525" t="str">
        <f>INDEX(Tbl_MeasureList[],MATCH(Tbl_ER_MeasureSummary[[#This Row],[Measure ID]:[Measure ID]],Tbl_MeasureList[[Measure ID]:[Measure ID]],0),MATCH(Tbl_ER_MeasureSummary[[#Headers],[Replacement ID]],Tbl_MeasureList[#Headers],0))</f>
        <v>EQUI030</v>
      </c>
      <c r="F46" s="433" t="s">
        <v>1218</v>
      </c>
      <c r="G46" s="31" t="str">
        <f>INDEX(Tbl_MeasureList[],MATCH(Tbl_ER_MeasureSummary[[#This Row],[Measure ID]:[Measure ID]],Tbl_MeasureList[[Measure ID]:[Measure ID]],0),MATCH(Tbl_ER_MeasureSummary[[#Headers],[Baseline Name]],Tbl_MeasureList[#Headers],0))</f>
        <v>Oil Storage WH</v>
      </c>
      <c r="H46" s="525" t="str">
        <f>INDEX(Tbl_MeasureList[],MATCH(Tbl_ER_MeasureSummary[[#This Row],[Measure ID]:[Measure ID]],Tbl_MeasureList[[Measure ID]:[Measure ID]],0),MATCH(Tbl_ER_MeasureSummary[[#Headers],[Replacement Name]],Tbl_MeasureList[#Headers],0))</f>
        <v>Gas On-Demand WH</v>
      </c>
      <c r="I46"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Oil Storage WH to Gas On-Demand WH (Retire)</v>
      </c>
      <c r="J46"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4</v>
      </c>
      <c r="K46" s="31" t="str">
        <f>INDEX(Tbl_MeasureList[],MATCH(Tbl_ER_MeasureSummary[[#This Row],[Measure ID]:[Measure ID]],Tbl_MeasureList[[Measure ID]:[Measure ID]],0),MATCH(Tbl_ER_MeasureSummary[[#Headers],[Baseline Function]],Tbl_MeasureList[#Headers],0))</f>
        <v>HW</v>
      </c>
      <c r="L46" s="525" t="str">
        <f>INDEX(Tbl_MeasureList[],MATCH(Tbl_ER_MeasureSummary[[#This Row],[Measure ID]:[Measure ID]],Tbl_MeasureList[[Measure ID]:[Measure ID]],0),MATCH(Tbl_ER_MeasureSummary[[#Headers],[Replacement Function]],Tbl_MeasureList[#Headers],0))</f>
        <v>HW</v>
      </c>
      <c r="M46" s="31" t="str">
        <f>INDEX(Tbl_MeasureList[],MATCH(Tbl_ER_MeasureSummary[[#This Row],[Measure ID]:[Measure ID]],Tbl_MeasureList[[Measure ID]:[Measure ID]],0),MATCH(Tbl_ER_MeasureSummary[[#Headers],[Keep Existing Heating Equipment?]],Tbl_MeasureList[#Headers],0))</f>
        <v>No</v>
      </c>
      <c r="N46"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Oil</v>
      </c>
      <c r="O46"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46"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0.58 UEF</v>
      </c>
      <c r="Q46"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0.62 UEF</v>
      </c>
      <c r="R46"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0.87 UEF</v>
      </c>
      <c r="S46"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v>
      </c>
      <c r="T46" s="522" t="str">
        <f>IF(Tbl_ER_MeasureSummary[[#This Row],[Savings Stream]]="Retire","-",
INDEX(Tbl_MeasureList[],MATCH(Tbl_ER_MeasureSummary[[#This Row],[Measure ID]:[Measure ID]],Tbl_MeasureList[[Measure ID]:[Measure ID]],0),MATCH(Tbl_ER_MeasureSummary[[#Headers],[Fuel Switch Annual Energy Savings on MMBtu Basis (MMBtu/yr)]],Tbl_MeasureList[#Headers],0)))</f>
        <v>-</v>
      </c>
      <c r="U46" s="519">
        <f>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34.727059516301836</v>
      </c>
      <c r="V46" s="549">
        <f>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0</v>
      </c>
      <c r="W46" s="395">
        <f>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0</v>
      </c>
      <c r="X46" s="534">
        <f>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0</v>
      </c>
      <c r="Y46" s="396">
        <f>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46" s="536">
        <f>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0</v>
      </c>
      <c r="AA46" s="397">
        <f>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0</v>
      </c>
      <c r="AB46" s="536">
        <f>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1.5461624026696335</v>
      </c>
      <c r="AC46" s="656">
        <f>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1.5461624026696335</v>
      </c>
      <c r="AD46" s="536">
        <f>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0.12469799777530599</v>
      </c>
      <c r="AE46" s="658">
        <f>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0.12469799777530599</v>
      </c>
      <c r="AF46" s="519">
        <f>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34.727059516301836</v>
      </c>
      <c r="AG46" s="549">
        <f>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0</v>
      </c>
      <c r="AH46" s="395">
        <f>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0</v>
      </c>
      <c r="AI46" s="534">
        <f>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0</v>
      </c>
      <c r="AJ46" s="396">
        <f>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46" s="536">
        <f>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0</v>
      </c>
      <c r="AL46" s="397">
        <f>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0</v>
      </c>
      <c r="AM46" s="536">
        <f>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1.5461624026696335</v>
      </c>
      <c r="AN46" s="656">
        <f>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1.5461624026696335</v>
      </c>
      <c r="AO46" s="536">
        <f>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0.12469799777530599</v>
      </c>
      <c r="AP46" s="658">
        <f>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0.12469799777530599</v>
      </c>
      <c r="AQ46" s="517">
        <f>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0</v>
      </c>
      <c r="AR46"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173.73240959352867</v>
      </c>
      <c r="AS46"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-15.526736146018344</v>
      </c>
      <c r="AT46" s="538">
        <f>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0</v>
      </c>
      <c r="AU46"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173.73240959352867</v>
      </c>
      <c r="AV46"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-15.526736146018344</v>
      </c>
    </row>
    <row r="47" spans="2:48" x14ac:dyDescent="0.2">
      <c r="B47" s="16"/>
      <c r="C47" s="44" t="s">
        <v>107</v>
      </c>
      <c r="D47" s="31" t="str">
        <f>INDEX(Tbl_MeasureList[],MATCH(Tbl_ER_MeasureSummary[[#This Row],[Measure ID]:[Measure ID]],Tbl_MeasureList[[Measure ID]:[Measure ID]],0),MATCH(Tbl_ER_MeasureSummary[[#Headers],[Baseline Equipment ID]],Tbl_MeasureList[#Headers],0))</f>
        <v>EQUI027</v>
      </c>
      <c r="E47" s="525" t="str">
        <f>INDEX(Tbl_MeasureList[],MATCH(Tbl_ER_MeasureSummary[[#This Row],[Measure ID]:[Measure ID]],Tbl_MeasureList[[Measure ID]:[Measure ID]],0),MATCH(Tbl_ER_MeasureSummary[[#Headers],[Replacement ID]],Tbl_MeasureList[#Headers],0))</f>
        <v>EQUI030</v>
      </c>
      <c r="F47" s="433" t="s">
        <v>1216</v>
      </c>
      <c r="G47" s="31" t="str">
        <f>INDEX(Tbl_MeasureList[],MATCH(Tbl_ER_MeasureSummary[[#This Row],[Measure ID]:[Measure ID]],Tbl_MeasureList[[Measure ID]:[Measure ID]],0),MATCH(Tbl_ER_MeasureSummary[[#Headers],[Baseline Name]],Tbl_MeasureList[#Headers],0))</f>
        <v>Propane Storage WH</v>
      </c>
      <c r="H47" s="525" t="str">
        <f>INDEX(Tbl_MeasureList[],MATCH(Tbl_ER_MeasureSummary[[#This Row],[Measure ID]:[Measure ID]],Tbl_MeasureList[[Measure ID]:[Measure ID]],0),MATCH(Tbl_ER_MeasureSummary[[#Headers],[Replacement Name]],Tbl_MeasureList[#Headers],0))</f>
        <v>Gas On-Demand WH</v>
      </c>
      <c r="I47"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Propane Storage WH to Gas On-Demand WH (EE)</v>
      </c>
      <c r="J47"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19</v>
      </c>
      <c r="K47" s="31" t="str">
        <f>INDEX(Tbl_MeasureList[],MATCH(Tbl_ER_MeasureSummary[[#This Row],[Measure ID]:[Measure ID]],Tbl_MeasureList[[Measure ID]:[Measure ID]],0),MATCH(Tbl_ER_MeasureSummary[[#Headers],[Baseline Function]],Tbl_MeasureList[#Headers],0))</f>
        <v>HW</v>
      </c>
      <c r="L47" s="525" t="str">
        <f>INDEX(Tbl_MeasureList[],MATCH(Tbl_ER_MeasureSummary[[#This Row],[Measure ID]:[Measure ID]],Tbl_MeasureList[[Measure ID]:[Measure ID]],0),MATCH(Tbl_ER_MeasureSummary[[#Headers],[Replacement Function]],Tbl_MeasureList[#Headers],0))</f>
        <v>HW</v>
      </c>
      <c r="M47" s="31" t="str">
        <f>INDEX(Tbl_MeasureList[],MATCH(Tbl_ER_MeasureSummary[[#This Row],[Measure ID]:[Measure ID]],Tbl_MeasureList[[Measure ID]:[Measure ID]],0),MATCH(Tbl_ER_MeasureSummary[[#Headers],[Keep Existing Heating Equipment?]],Tbl_MeasureList[#Headers],0))</f>
        <v>No</v>
      </c>
      <c r="N47"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Propane</v>
      </c>
      <c r="O47"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47"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0.58 UEF</v>
      </c>
      <c r="Q47"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0.63 UEF</v>
      </c>
      <c r="R47"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0.87 UEF</v>
      </c>
      <c r="S47"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v>
      </c>
      <c r="T47" s="522">
        <f ca="1">IF(Tbl_ER_MeasureSummary[[#This Row],[Savings Stream]]="Retire","-",
INDEX(Tbl_MeasureList[],MATCH(Tbl_ER_MeasureSummary[[#This Row],[Measure ID]:[Measure ID]],Tbl_MeasureList[[Measure ID]:[Measure ID]],0),MATCH(Tbl_ER_MeasureSummary[[#Headers],[Fuel Switch Annual Energy Savings on MMBtu Basis (MMBtu/yr)]],Tbl_MeasureList[#Headers],0)))</f>
        <v>3.7118775365079362</v>
      </c>
      <c r="U47" s="519">
        <f ca="1">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18.450332298850583</v>
      </c>
      <c r="V47" s="549">
        <f ca="1">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8117.0505845565913</v>
      </c>
      <c r="W47" s="395">
        <f ca="1">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-28.6</v>
      </c>
      <c r="X47" s="534">
        <f ca="1">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-1.1290959336754837E-2</v>
      </c>
      <c r="Y47" s="396">
        <f ca="1">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-5.306750888274773E-3</v>
      </c>
      <c r="Z47" s="536">
        <f ca="1">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-129.88505747126436</v>
      </c>
      <c r="AA47" s="397">
        <f ca="1">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17.936507936507937</v>
      </c>
      <c r="AB47" s="536">
        <f ca="1">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0</v>
      </c>
      <c r="AC47" s="656">
        <f ca="1">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4.8504189893815006</v>
      </c>
      <c r="AD47" s="536">
        <f ca="1">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0.48675971538040519</v>
      </c>
      <c r="AE47" s="658">
        <f ca="1">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0.47665933938040517</v>
      </c>
      <c r="AF47" s="519" t="str">
        <f>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v>
      </c>
      <c r="AG47" s="549" t="str">
        <f>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v>
      </c>
      <c r="AH47" s="395" t="str">
        <f>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v>
      </c>
      <c r="AI47" s="534" t="str">
        <f>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v>
      </c>
      <c r="AJ47" s="396" t="str">
        <f>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v>
      </c>
      <c r="AK47" s="536" t="str">
        <f>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v>
      </c>
      <c r="AL47" s="397" t="str">
        <f>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v>
      </c>
      <c r="AM47" s="536" t="str">
        <f>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v>
      </c>
      <c r="AN47" s="656" t="str">
        <f>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v>
      </c>
      <c r="AO47" s="536" t="str">
        <f>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v>
      </c>
      <c r="AP47" s="658" t="str">
        <f>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v>
      </c>
      <c r="AQ47" s="517">
        <f ca="1">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-0.27614768660926703</v>
      </c>
      <c r="AR47"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-2.6271746894626451E-2</v>
      </c>
      <c r="AS47"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-12.736191146674091</v>
      </c>
      <c r="AT47" s="538" t="str">
        <f>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v>
      </c>
      <c r="AU47" s="397" t="str">
        <f>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v>
      </c>
      <c r="AV47" s="550" t="str">
        <f>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v>
      </c>
    </row>
    <row r="48" spans="2:48" x14ac:dyDescent="0.2">
      <c r="B48" s="16"/>
      <c r="C48" s="44" t="s">
        <v>107</v>
      </c>
      <c r="D48" s="31" t="str">
        <f>INDEX(Tbl_MeasureList[],MATCH(Tbl_ER_MeasureSummary[[#This Row],[Measure ID]:[Measure ID]],Tbl_MeasureList[[Measure ID]:[Measure ID]],0),MATCH(Tbl_ER_MeasureSummary[[#Headers],[Baseline Equipment ID]],Tbl_MeasureList[#Headers],0))</f>
        <v>EQUI027</v>
      </c>
      <c r="E48" s="525" t="str">
        <f>INDEX(Tbl_MeasureList[],MATCH(Tbl_ER_MeasureSummary[[#This Row],[Measure ID]:[Measure ID]],Tbl_MeasureList[[Measure ID]:[Measure ID]],0),MATCH(Tbl_ER_MeasureSummary[[#Headers],[Replacement ID]],Tbl_MeasureList[#Headers],0))</f>
        <v>EQUI030</v>
      </c>
      <c r="F48" s="433" t="s">
        <v>1218</v>
      </c>
      <c r="G48" s="31" t="str">
        <f>INDEX(Tbl_MeasureList[],MATCH(Tbl_ER_MeasureSummary[[#This Row],[Measure ID]:[Measure ID]],Tbl_MeasureList[[Measure ID]:[Measure ID]],0),MATCH(Tbl_ER_MeasureSummary[[#Headers],[Baseline Name]],Tbl_MeasureList[#Headers],0))</f>
        <v>Propane Storage WH</v>
      </c>
      <c r="H48" s="525" t="str">
        <f>INDEX(Tbl_MeasureList[],MATCH(Tbl_ER_MeasureSummary[[#This Row],[Measure ID]:[Measure ID]],Tbl_MeasureList[[Measure ID]:[Measure ID]],0),MATCH(Tbl_ER_MeasureSummary[[#Headers],[Replacement Name]],Tbl_MeasureList[#Headers],0))</f>
        <v>Gas On-Demand WH</v>
      </c>
      <c r="I48"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Propane Storage WH to Gas On-Demand WH (Retire)</v>
      </c>
      <c r="J48"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4</v>
      </c>
      <c r="K48" s="31" t="str">
        <f>INDEX(Tbl_MeasureList[],MATCH(Tbl_ER_MeasureSummary[[#This Row],[Measure ID]:[Measure ID]],Tbl_MeasureList[[Measure ID]:[Measure ID]],0),MATCH(Tbl_ER_MeasureSummary[[#Headers],[Baseline Function]],Tbl_MeasureList[#Headers],0))</f>
        <v>HW</v>
      </c>
      <c r="L48" s="525" t="str">
        <f>INDEX(Tbl_MeasureList[],MATCH(Tbl_ER_MeasureSummary[[#This Row],[Measure ID]:[Measure ID]],Tbl_MeasureList[[Measure ID]:[Measure ID]],0),MATCH(Tbl_ER_MeasureSummary[[#Headers],[Replacement Function]],Tbl_MeasureList[#Headers],0))</f>
        <v>HW</v>
      </c>
      <c r="M48" s="31" t="str">
        <f>INDEX(Tbl_MeasureList[],MATCH(Tbl_ER_MeasureSummary[[#This Row],[Measure ID]:[Measure ID]],Tbl_MeasureList[[Measure ID]:[Measure ID]],0),MATCH(Tbl_ER_MeasureSummary[[#Headers],[Keep Existing Heating Equipment?]],Tbl_MeasureList[#Headers],0))</f>
        <v>No</v>
      </c>
      <c r="N48"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Propane</v>
      </c>
      <c r="O48"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48"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0.58 UEF</v>
      </c>
      <c r="Q48"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0.63 UEF</v>
      </c>
      <c r="R48"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0.87 UEF</v>
      </c>
      <c r="S48"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v>
      </c>
      <c r="T48" s="522" t="str">
        <f>IF(Tbl_ER_MeasureSummary[[#This Row],[Savings Stream]]="Retire","-",
INDEX(Tbl_MeasureList[],MATCH(Tbl_ER_MeasureSummary[[#This Row],[Measure ID]:[Measure ID]],Tbl_MeasureList[[Measure ID]:[Measure ID]],0),MATCH(Tbl_ER_MeasureSummary[[#Headers],[Fuel Switch Annual Energy Savings on MMBtu Basis (MMBtu/yr)]],Tbl_MeasureList[#Headers],0)))</f>
        <v>-</v>
      </c>
      <c r="U48" s="519">
        <f>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55.58057871928645</v>
      </c>
      <c r="V48" s="549">
        <f>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0</v>
      </c>
      <c r="W48" s="395">
        <f>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0</v>
      </c>
      <c r="X48" s="534">
        <f>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0</v>
      </c>
      <c r="Y48" s="396">
        <f>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48" s="536">
        <f>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0</v>
      </c>
      <c r="AA48" s="397">
        <f>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1.5462506841817216</v>
      </c>
      <c r="AB48" s="536">
        <f>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0</v>
      </c>
      <c r="AC48" s="656">
        <f>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1.5462506841817216</v>
      </c>
      <c r="AD48" s="536">
        <f>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0.1074644225506296</v>
      </c>
      <c r="AE48" s="658">
        <f>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0.1074644225506296</v>
      </c>
      <c r="AF48" s="519">
        <f>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55.58057871928645</v>
      </c>
      <c r="AG48" s="549">
        <f>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0</v>
      </c>
      <c r="AH48" s="395">
        <f>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0</v>
      </c>
      <c r="AI48" s="534">
        <f>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0</v>
      </c>
      <c r="AJ48" s="396">
        <f>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48" s="536">
        <f>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0</v>
      </c>
      <c r="AL48" s="397">
        <f>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1.5462506841817216</v>
      </c>
      <c r="AM48" s="536">
        <f>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0</v>
      </c>
      <c r="AN48" s="656">
        <f>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1.5462506841817216</v>
      </c>
      <c r="AO48" s="536">
        <f>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0.1074644225506296</v>
      </c>
      <c r="AP48" s="658">
        <f>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0.1074644225506296</v>
      </c>
      <c r="AQ48" s="517">
        <f>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0</v>
      </c>
      <c r="AR48"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0</v>
      </c>
      <c r="AS48"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-12.622454564748724</v>
      </c>
      <c r="AT48" s="538">
        <f>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0</v>
      </c>
      <c r="AU48"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0</v>
      </c>
      <c r="AV48"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-12.622454564748724</v>
      </c>
    </row>
    <row r="49" spans="2:49" x14ac:dyDescent="0.2">
      <c r="B49" s="16"/>
      <c r="C49" s="44" t="s">
        <v>108</v>
      </c>
      <c r="D49" s="31" t="str">
        <f>INDEX(Tbl_MeasureList[],MATCH(Tbl_ER_MeasureSummary[[#This Row],[Measure ID]:[Measure ID]],Tbl_MeasureList[[Measure ID]:[Measure ID]],0),MATCH(Tbl_ER_MeasureSummary[[#Headers],[Baseline Equipment ID]],Tbl_MeasureList[#Headers],0))</f>
        <v>EQUI014</v>
      </c>
      <c r="E49" s="525" t="str">
        <f>INDEX(Tbl_MeasureList[],MATCH(Tbl_ER_MeasureSummary[[#This Row],[Measure ID]:[Measure ID]],Tbl_MeasureList[[Measure ID]:[Measure ID]],0),MATCH(Tbl_ER_MeasureSummary[[#Headers],[Replacement ID]],Tbl_MeasureList[#Headers],0))</f>
        <v>EQUI030</v>
      </c>
      <c r="F49" s="433" t="s">
        <v>1216</v>
      </c>
      <c r="G49" s="31" t="str">
        <f>INDEX(Tbl_MeasureList[],MATCH(Tbl_ER_MeasureSummary[[#This Row],[Measure ID]:[Measure ID]],Tbl_MeasureList[[Measure ID]:[Measure ID]],0),MATCH(Tbl_ER_MeasureSummary[[#Headers],[Baseline Name]],Tbl_MeasureList[#Headers],0))</f>
        <v>Tankless Coil WH</v>
      </c>
      <c r="H49" s="525" t="str">
        <f>INDEX(Tbl_MeasureList[],MATCH(Tbl_ER_MeasureSummary[[#This Row],[Measure ID]:[Measure ID]],Tbl_MeasureList[[Measure ID]:[Measure ID]],0),MATCH(Tbl_ER_MeasureSummary[[#Headers],[Replacement Name]],Tbl_MeasureList[#Headers],0))</f>
        <v>Gas On-Demand WH</v>
      </c>
      <c r="I49"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Tankless Coil WH to Gas On-Demand WH (EE)</v>
      </c>
      <c r="J49"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19</v>
      </c>
      <c r="K49" s="31" t="str">
        <f>INDEX(Tbl_MeasureList[],MATCH(Tbl_ER_MeasureSummary[[#This Row],[Measure ID]:[Measure ID]],Tbl_MeasureList[[Measure ID]:[Measure ID]],0),MATCH(Tbl_ER_MeasureSummary[[#Headers],[Baseline Function]],Tbl_MeasureList[#Headers],0))</f>
        <v>HW</v>
      </c>
      <c r="L49" s="525" t="str">
        <f>INDEX(Tbl_MeasureList[],MATCH(Tbl_ER_MeasureSummary[[#This Row],[Measure ID]:[Measure ID]],Tbl_MeasureList[[Measure ID]:[Measure ID]],0),MATCH(Tbl_ER_MeasureSummary[[#Headers],[Replacement Function]],Tbl_MeasureList[#Headers],0))</f>
        <v>HW</v>
      </c>
      <c r="M49" s="31" t="str">
        <f>INDEX(Tbl_MeasureList[],MATCH(Tbl_ER_MeasureSummary[[#This Row],[Measure ID]:[Measure ID]],Tbl_MeasureList[[Measure ID]:[Measure ID]],0),MATCH(Tbl_ER_MeasureSummary[[#Headers],[Keep Existing Heating Equipment?]],Tbl_MeasureList[#Headers],0))</f>
        <v>No</v>
      </c>
      <c r="N49"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Oil</v>
      </c>
      <c r="O49"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49"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75% AFUE</v>
      </c>
      <c r="Q49"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84% AFUE</v>
      </c>
      <c r="R49"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0.87 UEF</v>
      </c>
      <c r="S49"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v>
      </c>
      <c r="T49" s="522">
        <f ca="1">IF(Tbl_ER_MeasureSummary[[#This Row],[Savings Stream]]="Retire","-",
INDEX(Tbl_MeasureList[],MATCH(Tbl_ER_MeasureSummary[[#This Row],[Measure ID]:[Measure ID]],Tbl_MeasureList[[Measure ID]:[Measure ID]],0),MATCH(Tbl_ER_MeasureSummary[[#Headers],[Fuel Switch Annual Energy Savings on MMBtu Basis (MMBtu/yr)]],Tbl_MeasureList[#Headers],0)))</f>
        <v>-0.92701135238095134</v>
      </c>
      <c r="U49" s="519">
        <f ca="1">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22.668234597701087</v>
      </c>
      <c r="V49" s="549">
        <f ca="1">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8845.0612516397432</v>
      </c>
      <c r="W49" s="395">
        <f ca="1">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-28.6</v>
      </c>
      <c r="X49" s="534">
        <f ca="1">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-1.1290959336754837E-2</v>
      </c>
      <c r="Y49" s="396">
        <f ca="1">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-5.306750888274773E-3</v>
      </c>
      <c r="Z49" s="536">
        <f ca="1">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-159.77011494252875</v>
      </c>
      <c r="AA49" s="397">
        <f ca="1">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0</v>
      </c>
      <c r="AB49" s="536">
        <f ca="1">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16.547619047619047</v>
      </c>
      <c r="AC49" s="656">
        <f ca="1">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0.47302435336617421</v>
      </c>
      <c r="AD49" s="536">
        <f ca="1">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0.39991030377668324</v>
      </c>
      <c r="AE49" s="658">
        <f ca="1">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0.38980992777668322</v>
      </c>
      <c r="AF49" s="519" t="str">
        <f>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v>
      </c>
      <c r="AG49" s="549" t="str">
        <f>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v>
      </c>
      <c r="AH49" s="395" t="str">
        <f>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v>
      </c>
      <c r="AI49" s="534" t="str">
        <f>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v>
      </c>
      <c r="AJ49" s="396" t="str">
        <f>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v>
      </c>
      <c r="AK49" s="536" t="str">
        <f>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v>
      </c>
      <c r="AL49" s="397" t="str">
        <f>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v>
      </c>
      <c r="AM49" s="536" t="str">
        <f>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v>
      </c>
      <c r="AN49" s="656" t="str">
        <f>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v>
      </c>
      <c r="AO49" s="536" t="str">
        <f>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v>
      </c>
      <c r="AP49" s="658" t="str">
        <f>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v>
      </c>
      <c r="AQ49" s="517">
        <f ca="1">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-0.27614768660926703</v>
      </c>
      <c r="AR49"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119.9318205914942</v>
      </c>
      <c r="AS49"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-15.640472727943711</v>
      </c>
      <c r="AT49" s="538" t="str">
        <f>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v>
      </c>
      <c r="AU49" s="397" t="str">
        <f>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v>
      </c>
      <c r="AV49" s="550" t="str">
        <f>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v>
      </c>
    </row>
    <row r="50" spans="2:49" x14ac:dyDescent="0.2">
      <c r="B50" s="16"/>
      <c r="C50" s="44" t="s">
        <v>108</v>
      </c>
      <c r="D50" s="31" t="str">
        <f>INDEX(Tbl_MeasureList[],MATCH(Tbl_ER_MeasureSummary[[#This Row],[Measure ID]:[Measure ID]],Tbl_MeasureList[[Measure ID]:[Measure ID]],0),MATCH(Tbl_ER_MeasureSummary[[#Headers],[Baseline Equipment ID]],Tbl_MeasureList[#Headers],0))</f>
        <v>EQUI014</v>
      </c>
      <c r="E50" s="525" t="str">
        <f>INDEX(Tbl_MeasureList[],MATCH(Tbl_ER_MeasureSummary[[#This Row],[Measure ID]:[Measure ID]],Tbl_MeasureList[[Measure ID]:[Measure ID]],0),MATCH(Tbl_ER_MeasureSummary[[#Headers],[Replacement ID]],Tbl_MeasureList[#Headers],0))</f>
        <v>EQUI030</v>
      </c>
      <c r="F50" s="433" t="s">
        <v>1218</v>
      </c>
      <c r="G50" s="31" t="str">
        <f>INDEX(Tbl_MeasureList[],MATCH(Tbl_ER_MeasureSummary[[#This Row],[Measure ID]:[Measure ID]],Tbl_MeasureList[[Measure ID]:[Measure ID]],0),MATCH(Tbl_ER_MeasureSummary[[#Headers],[Baseline Name]],Tbl_MeasureList[#Headers],0))</f>
        <v>Tankless Coil WH</v>
      </c>
      <c r="H50" s="525" t="str">
        <f>INDEX(Tbl_MeasureList[],MATCH(Tbl_ER_MeasureSummary[[#This Row],[Measure ID]:[Measure ID]],Tbl_MeasureList[[Measure ID]:[Measure ID]],0),MATCH(Tbl_ER_MeasureSummary[[#Headers],[Replacement Name]],Tbl_MeasureList[#Headers],0))</f>
        <v>Gas On-Demand WH</v>
      </c>
      <c r="I50"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Tankless Coil WH to Gas On-Demand WH (Retire)</v>
      </c>
      <c r="J50"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7</v>
      </c>
      <c r="K50" s="31" t="str">
        <f>INDEX(Tbl_MeasureList[],MATCH(Tbl_ER_MeasureSummary[[#This Row],[Measure ID]:[Measure ID]],Tbl_MeasureList[[Measure ID]:[Measure ID]],0),MATCH(Tbl_ER_MeasureSummary[[#Headers],[Baseline Function]],Tbl_MeasureList[#Headers],0))</f>
        <v>HW</v>
      </c>
      <c r="L50" s="525" t="str">
        <f>INDEX(Tbl_MeasureList[],MATCH(Tbl_ER_MeasureSummary[[#This Row],[Measure ID]:[Measure ID]],Tbl_MeasureList[[Measure ID]:[Measure ID]],0),MATCH(Tbl_ER_MeasureSummary[[#Headers],[Replacement Function]],Tbl_MeasureList[#Headers],0))</f>
        <v>HW</v>
      </c>
      <c r="M50" s="31" t="str">
        <f>INDEX(Tbl_MeasureList[],MATCH(Tbl_ER_MeasureSummary[[#This Row],[Measure ID]:[Measure ID]],Tbl_MeasureList[[Measure ID]:[Measure ID]],0),MATCH(Tbl_ER_MeasureSummary[[#Headers],[Keep Existing Heating Equipment?]],Tbl_MeasureList[#Headers],0))</f>
        <v>No</v>
      </c>
      <c r="N50"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Oil</v>
      </c>
      <c r="O50"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50"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75% AFUE</v>
      </c>
      <c r="Q50"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84% AFUE</v>
      </c>
      <c r="R50"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0.87 UEF</v>
      </c>
      <c r="S50"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v>
      </c>
      <c r="T50" s="522" t="str">
        <f>IF(Tbl_ER_MeasureSummary[[#This Row],[Savings Stream]]="Retire","-",
INDEX(Tbl_MeasureList[],MATCH(Tbl_ER_MeasureSummary[[#This Row],[Measure ID]:[Measure ID]],Tbl_MeasureList[[Measure ID]:[Measure ID]],0),MATCH(Tbl_ER_MeasureSummary[[#Headers],[Fuel Switch Annual Energy Savings on MMBtu Basis (MMBtu/yr)]],Tbl_MeasureList[#Headers],0)))</f>
        <v>-</v>
      </c>
      <c r="U50" s="519">
        <f>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44.599466435936279</v>
      </c>
      <c r="V50" s="549">
        <f>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0</v>
      </c>
      <c r="W50" s="395">
        <f>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0</v>
      </c>
      <c r="X50" s="534">
        <f>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0</v>
      </c>
      <c r="Y50" s="396">
        <f>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50" s="536">
        <f>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0</v>
      </c>
      <c r="AA50" s="397">
        <f>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0</v>
      </c>
      <c r="AB50" s="536">
        <f>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1.9857142857142875</v>
      </c>
      <c r="AC50" s="656">
        <f>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1.9857142857142875</v>
      </c>
      <c r="AD50" s="536">
        <f>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0.16014785714285718</v>
      </c>
      <c r="AE50" s="658">
        <f>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0.16014785714285718</v>
      </c>
      <c r="AF50" s="519">
        <f>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44.599466435936279</v>
      </c>
      <c r="AG50" s="549">
        <f>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0</v>
      </c>
      <c r="AH50" s="395">
        <f>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0</v>
      </c>
      <c r="AI50" s="534">
        <f>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0</v>
      </c>
      <c r="AJ50" s="396">
        <f>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50" s="536">
        <f>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0</v>
      </c>
      <c r="AL50" s="397">
        <f>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0</v>
      </c>
      <c r="AM50" s="536">
        <f>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1.9857142857142875</v>
      </c>
      <c r="AN50" s="656">
        <f>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1.9857142857142875</v>
      </c>
      <c r="AO50" s="536">
        <f>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0.16014785714285718</v>
      </c>
      <c r="AP50" s="658">
        <f>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0.16014785714285718</v>
      </c>
      <c r="AQ50" s="517">
        <f>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0</v>
      </c>
      <c r="AR50"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134.3530634189955</v>
      </c>
      <c r="AS50"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-15.526736146018344</v>
      </c>
      <c r="AT50" s="538">
        <f>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0</v>
      </c>
      <c r="AU50"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134.3530634189955</v>
      </c>
      <c r="AV50"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-15.526736146018344</v>
      </c>
    </row>
    <row r="51" spans="2:49" x14ac:dyDescent="0.2">
      <c r="B51" s="16"/>
      <c r="C51" s="44" t="s">
        <v>109</v>
      </c>
      <c r="D51" s="31" t="str">
        <f>INDEX(Tbl_MeasureList[],MATCH(Tbl_ER_MeasureSummary[[#This Row],[Measure ID]:[Measure ID]],Tbl_MeasureList[[Measure ID]:[Measure ID]],0),MATCH(Tbl_ER_MeasureSummary[[#Headers],[Baseline Equipment ID]],Tbl_MeasureList[#Headers],0))</f>
        <v>EQUI029</v>
      </c>
      <c r="E51" s="525" t="str">
        <f>INDEX(Tbl_MeasureList[],MATCH(Tbl_ER_MeasureSummary[[#This Row],[Measure ID]:[Measure ID]],Tbl_MeasureList[[Measure ID]:[Measure ID]],0),MATCH(Tbl_ER_MeasureSummary[[#Headers],[Replacement ID]],Tbl_MeasureList[#Headers],0))</f>
        <v>EQUI030</v>
      </c>
      <c r="F51" s="433" t="s">
        <v>1216</v>
      </c>
      <c r="G51" s="31" t="str">
        <f>INDEX(Tbl_MeasureList[],MATCH(Tbl_ER_MeasureSummary[[#This Row],[Measure ID]:[Measure ID]],Tbl_MeasureList[[Measure ID]:[Measure ID]],0),MATCH(Tbl_ER_MeasureSummary[[#Headers],[Baseline Name]],Tbl_MeasureList[#Headers],0))</f>
        <v>Propane On-Demand WH</v>
      </c>
      <c r="H51" s="525" t="str">
        <f>INDEX(Tbl_MeasureList[],MATCH(Tbl_ER_MeasureSummary[[#This Row],[Measure ID]:[Measure ID]],Tbl_MeasureList[[Measure ID]:[Measure ID]],0),MATCH(Tbl_ER_MeasureSummary[[#Headers],[Replacement Name]],Tbl_MeasureList[#Headers],0))</f>
        <v>Gas On-Demand WH</v>
      </c>
      <c r="I51"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Propane On-Demand WH to Gas On-Demand WH (EE)</v>
      </c>
      <c r="J51"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19</v>
      </c>
      <c r="K51" s="31" t="str">
        <f>INDEX(Tbl_MeasureList[],MATCH(Tbl_ER_MeasureSummary[[#This Row],[Measure ID]:[Measure ID]],Tbl_MeasureList[[Measure ID]:[Measure ID]],0),MATCH(Tbl_ER_MeasureSummary[[#Headers],[Baseline Function]],Tbl_MeasureList[#Headers],0))</f>
        <v>HW</v>
      </c>
      <c r="L51" s="525" t="str">
        <f>INDEX(Tbl_MeasureList[],MATCH(Tbl_ER_MeasureSummary[[#This Row],[Measure ID]:[Measure ID]],Tbl_MeasureList[[Measure ID]:[Measure ID]],0),MATCH(Tbl_ER_MeasureSummary[[#Headers],[Replacement Function]],Tbl_MeasureList[#Headers],0))</f>
        <v>HW</v>
      </c>
      <c r="M51" s="31" t="str">
        <f>INDEX(Tbl_MeasureList[],MATCH(Tbl_ER_MeasureSummary[[#This Row],[Measure ID]:[Measure ID]],Tbl_MeasureList[[Measure ID]:[Measure ID]],0),MATCH(Tbl_ER_MeasureSummary[[#Headers],[Keep Existing Heating Equipment?]],Tbl_MeasureList[#Headers],0))</f>
        <v>No</v>
      </c>
      <c r="N51"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Propane</v>
      </c>
      <c r="O51"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51"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0.711 UEF</v>
      </c>
      <c r="Q51"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0.80 UEF</v>
      </c>
      <c r="R51"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0.87 UEF</v>
      </c>
      <c r="S51"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v>
      </c>
      <c r="T51" s="522">
        <f ca="1">IF(Tbl_ER_MeasureSummary[[#This Row],[Savings Stream]]="Retire","-",
INDEX(Tbl_MeasureList[],MATCH(Tbl_ER_MeasureSummary[[#This Row],[Measure ID]:[Measure ID]],Tbl_MeasureList[[Measure ID]:[Measure ID]],0),MATCH(Tbl_ER_MeasureSummary[[#Headers],[Fuel Switch Annual Energy Savings on MMBtu Basis (MMBtu/yr)]],Tbl_MeasureList[#Headers],0)))</f>
        <v>0</v>
      </c>
      <c r="U51" s="519">
        <f ca="1">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18.450332298850583</v>
      </c>
      <c r="V51" s="549">
        <f ca="1">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7515.0033953543661</v>
      </c>
      <c r="W51" s="395">
        <f ca="1">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0.59999999999999787</v>
      </c>
      <c r="X51" s="534">
        <f ca="1">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2.36873272799051E-4</v>
      </c>
      <c r="Y51" s="396">
        <f ca="1">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1.1133043821555388E-4</v>
      </c>
      <c r="Z51" s="536">
        <f ca="1">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-129.88505747126436</v>
      </c>
      <c r="AA51" s="397">
        <f ca="1">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14.125</v>
      </c>
      <c r="AB51" s="536">
        <f ca="1">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0</v>
      </c>
      <c r="AC51" s="656">
        <f ca="1">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1.1385414528735645</v>
      </c>
      <c r="AD51" s="536">
        <f ca="1">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0.22185991379310355</v>
      </c>
      <c r="AE51" s="658">
        <f ca="1">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0.22207180979310348</v>
      </c>
      <c r="AF51" s="519" t="str">
        <f>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v>
      </c>
      <c r="AG51" s="549" t="str">
        <f>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v>
      </c>
      <c r="AH51" s="395" t="str">
        <f>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v>
      </c>
      <c r="AI51" s="534" t="str">
        <f>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v>
      </c>
      <c r="AJ51" s="396" t="str">
        <f>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v>
      </c>
      <c r="AK51" s="536" t="str">
        <f>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v>
      </c>
      <c r="AL51" s="397" t="str">
        <f>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v>
      </c>
      <c r="AM51" s="536" t="str">
        <f>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v>
      </c>
      <c r="AN51" s="656" t="str">
        <f>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v>
      </c>
      <c r="AO51" s="536" t="str">
        <f>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v>
      </c>
      <c r="AP51" s="658" t="str">
        <f>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v>
      </c>
      <c r="AQ51" s="517">
        <f ca="1">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5.7933081106839026E-3</v>
      </c>
      <c r="AR51"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5.5115552925789565E-4</v>
      </c>
      <c r="AS51"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-12.62006848261043</v>
      </c>
      <c r="AT51" s="538" t="str">
        <f>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v>
      </c>
      <c r="AU51" s="397" t="str">
        <f>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v>
      </c>
      <c r="AV51" s="550" t="str">
        <f>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v>
      </c>
    </row>
    <row r="52" spans="2:49" x14ac:dyDescent="0.2">
      <c r="B52" s="16"/>
      <c r="C52" s="44" t="s">
        <v>109</v>
      </c>
      <c r="D52" s="31" t="str">
        <f>INDEX(Tbl_MeasureList[],MATCH(Tbl_ER_MeasureSummary[[#This Row],[Measure ID]:[Measure ID]],Tbl_MeasureList[[Measure ID]:[Measure ID]],0),MATCH(Tbl_ER_MeasureSummary[[#Headers],[Baseline Equipment ID]],Tbl_MeasureList[#Headers],0))</f>
        <v>EQUI029</v>
      </c>
      <c r="E52" s="525" t="str">
        <f>INDEX(Tbl_MeasureList[],MATCH(Tbl_ER_MeasureSummary[[#This Row],[Measure ID]:[Measure ID]],Tbl_MeasureList[[Measure ID]:[Measure ID]],0),MATCH(Tbl_ER_MeasureSummary[[#Headers],[Replacement ID]],Tbl_MeasureList[#Headers],0))</f>
        <v>EQUI030</v>
      </c>
      <c r="F52" s="433" t="s">
        <v>1218</v>
      </c>
      <c r="G52" s="31" t="str">
        <f>INDEX(Tbl_MeasureList[],MATCH(Tbl_ER_MeasureSummary[[#This Row],[Measure ID]:[Measure ID]],Tbl_MeasureList[[Measure ID]:[Measure ID]],0),MATCH(Tbl_ER_MeasureSummary[[#Headers],[Baseline Name]],Tbl_MeasureList[#Headers],0))</f>
        <v>Propane On-Demand WH</v>
      </c>
      <c r="H52" s="525" t="str">
        <f>INDEX(Tbl_MeasureList[],MATCH(Tbl_ER_MeasureSummary[[#This Row],[Measure ID]:[Measure ID]],Tbl_MeasureList[[Measure ID]:[Measure ID]],0),MATCH(Tbl_ER_MeasureSummary[[#Headers],[Replacement Name]],Tbl_MeasureList[#Headers],0))</f>
        <v>Gas On-Demand WH</v>
      </c>
      <c r="I52" s="31"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Propane On-Demand WH to Gas On-Demand WH (Retire)</v>
      </c>
      <c r="J52" s="525">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7</v>
      </c>
      <c r="K52" s="31" t="str">
        <f>INDEX(Tbl_MeasureList[],MATCH(Tbl_ER_MeasureSummary[[#This Row],[Measure ID]:[Measure ID]],Tbl_MeasureList[[Measure ID]:[Measure ID]],0),MATCH(Tbl_ER_MeasureSummary[[#Headers],[Baseline Function]],Tbl_MeasureList[#Headers],0))</f>
        <v>HW</v>
      </c>
      <c r="L52" s="525" t="str">
        <f>INDEX(Tbl_MeasureList[],MATCH(Tbl_ER_MeasureSummary[[#This Row],[Measure ID]:[Measure ID]],Tbl_MeasureList[[Measure ID]:[Measure ID]],0),MATCH(Tbl_ER_MeasureSummary[[#Headers],[Replacement Function]],Tbl_MeasureList[#Headers],0))</f>
        <v>HW</v>
      </c>
      <c r="M52" s="31" t="str">
        <f>INDEX(Tbl_MeasureList[],MATCH(Tbl_ER_MeasureSummary[[#This Row],[Measure ID]:[Measure ID]],Tbl_MeasureList[[Measure ID]:[Measure ID]],0),MATCH(Tbl_ER_MeasureSummary[[#Headers],[Keep Existing Heating Equipment?]],Tbl_MeasureList[#Headers],0))</f>
        <v>No</v>
      </c>
      <c r="N52" s="298"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Propane</v>
      </c>
      <c r="O52" s="543"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52" s="528"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0.711 UEF</v>
      </c>
      <c r="Q52" s="545"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0.80 UEF</v>
      </c>
      <c r="R52" s="528"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0.87 UEF</v>
      </c>
      <c r="S52" s="547"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v>
      </c>
      <c r="T52" s="522" t="str">
        <f>IF(Tbl_ER_MeasureSummary[[#This Row],[Savings Stream]]="Retire","-",
INDEX(Tbl_MeasureList[],MATCH(Tbl_ER_MeasureSummary[[#This Row],[Measure ID]:[Measure ID]],Tbl_MeasureList[[Measure ID]:[Measure ID]],0),MATCH(Tbl_ER_MeasureSummary[[#Headers],[Fuel Switch Annual Energy Savings on MMBtu Basis (MMBtu/yr)]],Tbl_MeasureList[#Headers],0)))</f>
        <v>-</v>
      </c>
      <c r="U52" s="519">
        <f>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62.902596438059959</v>
      </c>
      <c r="V52" s="549">
        <f>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0</v>
      </c>
      <c r="W52" s="395">
        <f>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-3.3000000000000007</v>
      </c>
      <c r="X52" s="534">
        <f>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-1.3028030003947883E-3</v>
      </c>
      <c r="Y52" s="396">
        <f>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-6.123174101855507E-4</v>
      </c>
      <c r="Z52" s="536">
        <f>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0</v>
      </c>
      <c r="AA52" s="397">
        <f>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1.7681082981715903</v>
      </c>
      <c r="AB52" s="536">
        <f>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0</v>
      </c>
      <c r="AC52" s="656">
        <f>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1.7568486981715896</v>
      </c>
      <c r="AD52" s="536">
        <f>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0.12288352672292557</v>
      </c>
      <c r="AE52" s="658">
        <f>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0.12171809872292561</v>
      </c>
      <c r="AF52" s="519">
        <f>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62.902596438059959</v>
      </c>
      <c r="AG52" s="549">
        <f>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0</v>
      </c>
      <c r="AH52" s="395">
        <f>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-3.3000000000000007</v>
      </c>
      <c r="AI52" s="534">
        <f>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-1.3028030003947883E-3</v>
      </c>
      <c r="AJ52" s="396">
        <f>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-6.123174101855507E-4</v>
      </c>
      <c r="AK52" s="536">
        <f>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0</v>
      </c>
      <c r="AL52" s="397">
        <f>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1.7681082981715903</v>
      </c>
      <c r="AM52" s="536">
        <f>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0</v>
      </c>
      <c r="AN52" s="656">
        <f>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1.7568486981715896</v>
      </c>
      <c r="AO52" s="536">
        <f>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0.12288352672292557</v>
      </c>
      <c r="AP52" s="658">
        <f>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0.12171809872292561</v>
      </c>
      <c r="AQ52" s="517">
        <f>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-3.186319460876158E-2</v>
      </c>
      <c r="AR52"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-3.0313554109184372E-3</v>
      </c>
      <c r="AS52"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-12.635578016509342</v>
      </c>
      <c r="AT52" s="538">
        <f>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-3.186319460876158E-2</v>
      </c>
      <c r="AU52"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-3.0313554109184372E-3</v>
      </c>
      <c r="AV52"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-12.635578016509342</v>
      </c>
    </row>
    <row r="53" spans="2:49" ht="22.5" x14ac:dyDescent="0.2">
      <c r="B53" s="16"/>
      <c r="C53" s="441" t="s">
        <v>1217</v>
      </c>
      <c r="D53" s="442" t="str">
        <f>INDEX(Tbl_MeasureList[],MATCH(Tbl_ER_MeasureSummary[[#This Row],[Measure ID]:[Measure ID]],Tbl_MeasureList[[Measure ID]:[Measure ID]],0),MATCH(Tbl_ER_MeasureSummary[[#Headers],[Baseline Equipment ID]],Tbl_MeasureList[#Headers],0))</f>
        <v>EQUI036</v>
      </c>
      <c r="E53" s="526" t="str">
        <f>INDEX(Tbl_MeasureList[],MATCH(Tbl_ER_MeasureSummary[[#This Row],[Measure ID]:[Measure ID]],Tbl_MeasureList[[Measure ID]:[Measure ID]],0),MATCH(Tbl_ER_MeasureSummary[[#Headers],[Replacement ID]],Tbl_MeasureList[#Headers],0))</f>
        <v>EQUI039</v>
      </c>
      <c r="F53" s="433" t="s">
        <v>1216</v>
      </c>
      <c r="G53" s="442" t="str">
        <f>INDEX(Tbl_MeasureList[],MATCH(Tbl_ER_MeasureSummary[[#This Row],[Measure ID]:[Measure ID]],Tbl_MeasureList[[Measure ID]:[Measure ID]],0),MATCH(Tbl_ER_MeasureSummary[[#Headers],[Baseline Name]],Tbl_MeasureList[#Headers],0))</f>
        <v>Room AC/No AC Blend+Oil Boiler</v>
      </c>
      <c r="H53" s="526" t="str">
        <f>INDEX(Tbl_MeasureList[],MATCH(Tbl_ER_MeasureSummary[[#This Row],[Measure ID]:[Measure ID]],Tbl_MeasureList[[Measure ID]:[Measure ID]],0),MATCH(Tbl_ER_MeasureSummary[[#Headers],[Replacement Name]],Tbl_MeasureList[#Headers],0))</f>
        <v>DMSHP</v>
      </c>
      <c r="I53" s="442"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Room AC/No AC Blend+Oil Boiler to DMSHP (EE)</v>
      </c>
      <c r="J53" s="527">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18</v>
      </c>
      <c r="K53" s="443" t="str">
        <f>INDEX(Tbl_MeasureList[],MATCH(Tbl_ER_MeasureSummary[[#This Row],[Measure ID]:[Measure ID]],Tbl_MeasureList[[Measure ID]:[Measure ID]],0),MATCH(Tbl_ER_MeasureSummary[[#Headers],[Baseline Function]],Tbl_MeasureList[#Headers],0))</f>
        <v>Cool+Heat</v>
      </c>
      <c r="L53" s="526" t="str">
        <f>INDEX(Tbl_MeasureList[],MATCH(Tbl_ER_MeasureSummary[[#This Row],[Measure ID]:[Measure ID]],Tbl_MeasureList[[Measure ID]:[Measure ID]],0),MATCH(Tbl_ER_MeasureSummary[[#Headers],[Replacement Function]],Tbl_MeasureList[#Headers],0))</f>
        <v>Cool+Heat</v>
      </c>
      <c r="M53" s="443" t="str">
        <f>INDEX(Tbl_MeasureList[],MATCH(Tbl_ER_MeasureSummary[[#This Row],[Measure ID]:[Measure ID]],Tbl_MeasureList[[Measure ID]:[Measure ID]],0),MATCH(Tbl_ER_MeasureSummary[[#Headers],[Keep Existing Heating Equipment?]],Tbl_MeasureList[#Headers],0))</f>
        <v>No</v>
      </c>
      <c r="N53" s="444"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Electric+Oil</v>
      </c>
      <c r="O53" s="544"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Electric</v>
      </c>
      <c r="P53" s="529"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8 EER
75% AFUE</v>
      </c>
      <c r="Q53" s="546"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10 EER
84% AFUE</v>
      </c>
      <c r="R53" s="529"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18 SEER/10.0 HSPF</v>
      </c>
      <c r="S53" s="548"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20 SEER/12.0 HSPF</v>
      </c>
      <c r="T53" s="522">
        <f ca="1">IF(Tbl_ER_MeasureSummary[[#This Row],[Savings Stream]]="Retire","-",
INDEX(Tbl_MeasureList[],MATCH(Tbl_ER_MeasureSummary[[#This Row],[Measure ID]:[Measure ID]],Tbl_MeasureList[[Measure ID]:[Measure ID]],0),MATCH(Tbl_ER_MeasureSummary[[#Headers],[Fuel Switch Annual Energy Savings on MMBtu Basis (MMBtu/yr)]],Tbl_MeasureList[#Headers],0)))</f>
        <v>55.760666529774923</v>
      </c>
      <c r="U53" s="520">
        <f ca="1">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390.01718870869695</v>
      </c>
      <c r="V53" s="557">
        <f ca="1">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9518.3754407516753</v>
      </c>
      <c r="W53" s="395">
        <f ca="1">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-8446.9986410602432</v>
      </c>
      <c r="X53" s="535">
        <f ca="1">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-1.5967171620325984</v>
      </c>
      <c r="Y53" s="446">
        <f ca="1">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1.6000000000000236E-2</v>
      </c>
      <c r="Z53" s="536">
        <f ca="1">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0</v>
      </c>
      <c r="AA53" s="397">
        <f ca="1">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0</v>
      </c>
      <c r="AB53" s="536">
        <f ca="1">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91.30952380952381</v>
      </c>
      <c r="AC53" s="657">
        <f ca="1">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62.488364446226257</v>
      </c>
      <c r="AD53" s="537">
        <f ca="1">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7.3641130952380953</v>
      </c>
      <c r="AE53" s="659">
        <f ca="1">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4.3809710551612602</v>
      </c>
      <c r="AF53" s="519">
        <f ca="1">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668.68580842679467</v>
      </c>
      <c r="AG53" s="549">
        <f ca="1">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9918.0754407516761</v>
      </c>
      <c r="AH53" s="395">
        <f ca="1">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-6987.5681270365467</v>
      </c>
      <c r="AI53" s="534">
        <f ca="1">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-1.7647171620325983</v>
      </c>
      <c r="AJ53" s="396">
        <f ca="1">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1.6000000000000236E-2</v>
      </c>
      <c r="AK53" s="536">
        <f ca="1">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0</v>
      </c>
      <c r="AL53" s="397">
        <f ca="1">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0</v>
      </c>
      <c r="AM53" s="536">
        <f ca="1">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91.30952380952381</v>
      </c>
      <c r="AN53" s="656">
        <f ca="1">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67.467941360075116</v>
      </c>
      <c r="AO53" s="536">
        <f ca="1">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7.3641130952380953</v>
      </c>
      <c r="AP53" s="658">
        <f ca="1">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4.8963835354938681</v>
      </c>
      <c r="AQ53" s="517">
        <f ca="1">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-81.560109563650641</v>
      </c>
      <c r="AR53"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654.1676774964219</v>
      </c>
      <c r="AS53"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-33.592054299385097</v>
      </c>
      <c r="AT53" s="538">
        <f ca="1">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-67.468558507195496</v>
      </c>
      <c r="AU53"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655.50829949204171</v>
      </c>
      <c r="AV53"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-27.78818583006213</v>
      </c>
    </row>
    <row r="54" spans="2:49" ht="22.5" x14ac:dyDescent="0.2">
      <c r="B54" s="16"/>
      <c r="C54" s="441" t="s">
        <v>1217</v>
      </c>
      <c r="D54" s="442" t="str">
        <f>INDEX(Tbl_MeasureList[],MATCH(Tbl_ER_MeasureSummary[[#This Row],[Measure ID]:[Measure ID]],Tbl_MeasureList[[Measure ID]:[Measure ID]],0),MATCH(Tbl_ER_MeasureSummary[[#Headers],[Baseline Equipment ID]],Tbl_MeasureList[#Headers],0))</f>
        <v>EQUI036</v>
      </c>
      <c r="E54" s="526" t="str">
        <f>INDEX(Tbl_MeasureList[],MATCH(Tbl_ER_MeasureSummary[[#This Row],[Measure ID]:[Measure ID]],Tbl_MeasureList[[Measure ID]:[Measure ID]],0),MATCH(Tbl_ER_MeasureSummary[[#Headers],[Replacement ID]],Tbl_MeasureList[#Headers],0))</f>
        <v>EQUI039</v>
      </c>
      <c r="F54" s="433" t="s">
        <v>1218</v>
      </c>
      <c r="G54" s="442" t="str">
        <f>INDEX(Tbl_MeasureList[],MATCH(Tbl_ER_MeasureSummary[[#This Row],[Measure ID]:[Measure ID]],Tbl_MeasureList[[Measure ID]:[Measure ID]],0),MATCH(Tbl_ER_MeasureSummary[[#Headers],[Baseline Name]],Tbl_MeasureList[#Headers],0))</f>
        <v>Room AC/No AC Blend+Oil Boiler</v>
      </c>
      <c r="H54" s="526" t="str">
        <f>INDEX(Tbl_MeasureList[],MATCH(Tbl_ER_MeasureSummary[[#This Row],[Measure ID]:[Measure ID]],Tbl_MeasureList[[Measure ID]:[Measure ID]],0),MATCH(Tbl_ER_MeasureSummary[[#Headers],[Replacement Name]],Tbl_MeasureList[#Headers],0))</f>
        <v>DMSHP</v>
      </c>
      <c r="I54" s="442"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Room AC/No AC Blend+Oil Boiler to DMSHP (Retire)</v>
      </c>
      <c r="J54" s="527">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10</v>
      </c>
      <c r="K54" s="443" t="str">
        <f>INDEX(Tbl_MeasureList[],MATCH(Tbl_ER_MeasureSummary[[#This Row],[Measure ID]:[Measure ID]],Tbl_MeasureList[[Measure ID]:[Measure ID]],0),MATCH(Tbl_ER_MeasureSummary[[#Headers],[Baseline Function]],Tbl_MeasureList[#Headers],0))</f>
        <v>Cool+Heat</v>
      </c>
      <c r="L54" s="526" t="str">
        <f>INDEX(Tbl_MeasureList[],MATCH(Tbl_ER_MeasureSummary[[#This Row],[Measure ID]:[Measure ID]],Tbl_MeasureList[[Measure ID]:[Measure ID]],0),MATCH(Tbl_ER_MeasureSummary[[#Headers],[Replacement Function]],Tbl_MeasureList[#Headers],0))</f>
        <v>Cool+Heat</v>
      </c>
      <c r="M54" s="443" t="str">
        <f>INDEX(Tbl_MeasureList[],MATCH(Tbl_ER_MeasureSummary[[#This Row],[Measure ID]:[Measure ID]],Tbl_MeasureList[[Measure ID]:[Measure ID]],0),MATCH(Tbl_ER_MeasureSummary[[#Headers],[Keep Existing Heating Equipment?]],Tbl_MeasureList[#Headers],0))</f>
        <v>No</v>
      </c>
      <c r="N54" s="444"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Electric+Oil</v>
      </c>
      <c r="O54" s="544"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Electric</v>
      </c>
      <c r="P54" s="529"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8 EER
75% AFUE</v>
      </c>
      <c r="Q54" s="546"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10 EER
84% AFUE</v>
      </c>
      <c r="R54" s="529"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18 SEER/10.0 HSPF</v>
      </c>
      <c r="S54" s="548"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20 SEER/12.0 HSPF</v>
      </c>
      <c r="T54" s="522" t="str">
        <f>IF(Tbl_ER_MeasureSummary[[#This Row],[Savings Stream]]="Retire","-",
INDEX(Tbl_MeasureList[],MATCH(Tbl_ER_MeasureSummary[[#This Row],[Measure ID]:[Measure ID]],Tbl_MeasureList[[Measure ID]:[Measure ID]],0),MATCH(Tbl_ER_MeasureSummary[[#Headers],[Fuel Switch Annual Energy Savings on MMBtu Basis (MMBtu/yr)]],Tbl_MeasureList[#Headers],0)))</f>
        <v>-</v>
      </c>
      <c r="U54" s="520">
        <f>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303.56097407455491</v>
      </c>
      <c r="V54" s="557">
        <f>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0</v>
      </c>
      <c r="W54" s="395">
        <f>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290.50434782608704</v>
      </c>
      <c r="X54" s="535">
        <f>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0</v>
      </c>
      <c r="Y54" s="446">
        <f>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0.38399999999999967</v>
      </c>
      <c r="Z54" s="536">
        <f>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0</v>
      </c>
      <c r="AA54" s="397">
        <f>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0</v>
      </c>
      <c r="AB54" s="536">
        <f>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10.957142857142856</v>
      </c>
      <c r="AC54" s="657">
        <f>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11.948343691925473</v>
      </c>
      <c r="AD54" s="537">
        <f>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0.88369357142857208</v>
      </c>
      <c r="AE54" s="659">
        <f>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0.98628808690683201</v>
      </c>
      <c r="AF54" s="519">
        <f>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303.56097407455491</v>
      </c>
      <c r="AG54" s="549">
        <f>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0</v>
      </c>
      <c r="AH54" s="395">
        <f>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290.50434782608704</v>
      </c>
      <c r="AI54" s="534">
        <f>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0</v>
      </c>
      <c r="AJ54" s="396">
        <f>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0.38399999999999967</v>
      </c>
      <c r="AK54" s="536">
        <f>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0</v>
      </c>
      <c r="AL54" s="397">
        <f>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0</v>
      </c>
      <c r="AM54" s="536">
        <f>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10.957142857142856</v>
      </c>
      <c r="AN54" s="656">
        <f>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11.948343691925473</v>
      </c>
      <c r="AO54" s="536">
        <f>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0.88369357142857208</v>
      </c>
      <c r="AP54" s="658">
        <f>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0.98628808690683201</v>
      </c>
      <c r="AQ54" s="517">
        <f>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2.8049686574163557</v>
      </c>
      <c r="AR54"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741.62512593771032</v>
      </c>
      <c r="AS54"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1.1552787257411581</v>
      </c>
      <c r="AT54" s="538">
        <f>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2.8049686574163557</v>
      </c>
      <c r="AU54"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741.62512593771032</v>
      </c>
      <c r="AV54"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1.1552787257411581</v>
      </c>
    </row>
    <row r="55" spans="2:49" ht="22.5" x14ac:dyDescent="0.2">
      <c r="B55" s="16"/>
      <c r="C55" s="441" t="s">
        <v>1316</v>
      </c>
      <c r="D55" s="442" t="str">
        <f>INDEX(Tbl_MeasureList[],MATCH(Tbl_ER_MeasureSummary[[#This Row],[Measure ID]:[Measure ID]],Tbl_MeasureList[[Measure ID]:[Measure ID]],0),MATCH(Tbl_ER_MeasureSummary[[#Headers],[Baseline Equipment ID]],Tbl_MeasureList[#Headers],0))</f>
        <v>EQUI037</v>
      </c>
      <c r="E55" s="526" t="str">
        <f>INDEX(Tbl_MeasureList[],MATCH(Tbl_ER_MeasureSummary[[#This Row],[Measure ID]:[Measure ID]],Tbl_MeasureList[[Measure ID]:[Measure ID]],0),MATCH(Tbl_ER_MeasureSummary[[#Headers],[Replacement ID]],Tbl_MeasureList[#Headers],0))</f>
        <v>EQUI039</v>
      </c>
      <c r="F55" s="433" t="s">
        <v>1216</v>
      </c>
      <c r="G55" s="442" t="str">
        <f>INDEX(Tbl_MeasureList[],MATCH(Tbl_ER_MeasureSummary[[#This Row],[Measure ID]:[Measure ID]],Tbl_MeasureList[[Measure ID]:[Measure ID]],0),MATCH(Tbl_ER_MeasureSummary[[#Headers],[Baseline Name]],Tbl_MeasureList[#Headers],0))</f>
        <v>Room AC/No AC Blend+Propane Boiler</v>
      </c>
      <c r="H55" s="526" t="str">
        <f>INDEX(Tbl_MeasureList[],MATCH(Tbl_ER_MeasureSummary[[#This Row],[Measure ID]:[Measure ID]],Tbl_MeasureList[[Measure ID]:[Measure ID]],0),MATCH(Tbl_ER_MeasureSummary[[#Headers],[Replacement Name]],Tbl_MeasureList[#Headers],0))</f>
        <v>DMSHP</v>
      </c>
      <c r="I55" s="442"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Room AC/No AC Blend+Propane Boiler to DMSHP (EE)</v>
      </c>
      <c r="J55" s="527">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18</v>
      </c>
      <c r="K55" s="443" t="str">
        <f>INDEX(Tbl_MeasureList[],MATCH(Tbl_ER_MeasureSummary[[#This Row],[Measure ID]:[Measure ID]],Tbl_MeasureList[[Measure ID]:[Measure ID]],0),MATCH(Tbl_ER_MeasureSummary[[#Headers],[Baseline Function]],Tbl_MeasureList[#Headers],0))</f>
        <v>Cool+Heat</v>
      </c>
      <c r="L55" s="526" t="str">
        <f>INDEX(Tbl_MeasureList[],MATCH(Tbl_ER_MeasureSummary[[#This Row],[Measure ID]:[Measure ID]],Tbl_MeasureList[[Measure ID]:[Measure ID]],0),MATCH(Tbl_ER_MeasureSummary[[#Headers],[Replacement Function]],Tbl_MeasureList[#Headers],0))</f>
        <v>Cool+Heat</v>
      </c>
      <c r="M55" s="443" t="str">
        <f>INDEX(Tbl_MeasureList[],MATCH(Tbl_ER_MeasureSummary[[#This Row],[Measure ID]:[Measure ID]],Tbl_MeasureList[[Measure ID]:[Measure ID]],0),MATCH(Tbl_ER_MeasureSummary[[#Headers],[Keep Existing Heating Equipment?]],Tbl_MeasureList[#Headers],0))</f>
        <v>No</v>
      </c>
      <c r="N55" s="444"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Electric+Propane</v>
      </c>
      <c r="O55" s="544"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Electric</v>
      </c>
      <c r="P55" s="529"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8 EER
75% AFUE</v>
      </c>
      <c r="Q55" s="546"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10 EER
82% AFUE (79.3% actual)</v>
      </c>
      <c r="R55" s="529"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18 SEER/10.0 HSPF</v>
      </c>
      <c r="S55" s="548"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20 SEER/12.0 HSPF</v>
      </c>
      <c r="T55" s="522">
        <f ca="1">IF(Tbl_ER_MeasureSummary[[#This Row],[Savings Stream]]="Retire","-",
INDEX(Tbl_MeasureList[],MATCH(Tbl_ER_MeasureSummary[[#This Row],[Measure ID]:[Measure ID]],Tbl_MeasureList[[Measure ID]:[Measure ID]],0),MATCH(Tbl_ER_MeasureSummary[[#Headers],[Fuel Switch Annual Energy Savings on MMBtu Basis (MMBtu/yr)]],Tbl_MeasureList[#Headers],0)))</f>
        <v>61.059858195660951</v>
      </c>
      <c r="U55" s="520">
        <f ca="1">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390.01718870869695</v>
      </c>
      <c r="V55" s="557">
        <f ca="1">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9635.0256260087772</v>
      </c>
      <c r="W55" s="395">
        <f ca="1">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-8479.9986410602432</v>
      </c>
      <c r="X55" s="535">
        <f ca="1">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-1.6017794822627038</v>
      </c>
      <c r="Y55" s="446">
        <f ca="1">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1.6000000000000236E-2</v>
      </c>
      <c r="Z55" s="536">
        <f ca="1">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0</v>
      </c>
      <c r="AA55" s="397">
        <f ca="1">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96.721311475409834</v>
      </c>
      <c r="AB55" s="536">
        <f ca="1">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0</v>
      </c>
      <c r="AC55" s="657">
        <f ca="1">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67.787556112112284</v>
      </c>
      <c r="AD55" s="537">
        <f ca="1">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6.722131147540984</v>
      </c>
      <c r="AE55" s="659">
        <f ca="1">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3.7273348274641487</v>
      </c>
      <c r="AF55" s="519">
        <f ca="1">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2088.0165639110432</v>
      </c>
      <c r="AG55" s="549">
        <f ca="1">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10034.725626008778</v>
      </c>
      <c r="AH55" s="395">
        <f ca="1">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-7020.5681270365467</v>
      </c>
      <c r="AI55" s="534">
        <f ca="1">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-1.7697794822627038</v>
      </c>
      <c r="AJ55" s="396">
        <f ca="1">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1.6000000000000236E-2</v>
      </c>
      <c r="AK55" s="536">
        <f ca="1">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0</v>
      </c>
      <c r="AL55" s="397">
        <f ca="1">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96.721311475409834</v>
      </c>
      <c r="AM55" s="536">
        <f ca="1">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0</v>
      </c>
      <c r="AN55" s="656">
        <f ca="1">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72.76713302596113</v>
      </c>
      <c r="AO55" s="536">
        <f ca="1">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6.722131147540984</v>
      </c>
      <c r="AP55" s="658">
        <f ca="1">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4.2427473077967566</v>
      </c>
      <c r="AQ55" s="517">
        <f ca="1">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-81.878741509738248</v>
      </c>
      <c r="AR55"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-7.7896635651996844</v>
      </c>
      <c r="AS55"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-33.723288816991293</v>
      </c>
      <c r="AT55" s="538">
        <f ca="1">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-67.787190453283102</v>
      </c>
      <c r="AU55"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-6.4490415695799239</v>
      </c>
      <c r="AV55"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-27.919420347668321</v>
      </c>
    </row>
    <row r="56" spans="2:49" ht="22.5" x14ac:dyDescent="0.2">
      <c r="B56" s="16"/>
      <c r="C56" s="441" t="s">
        <v>1316</v>
      </c>
      <c r="D56" s="442" t="str">
        <f>INDEX(Tbl_MeasureList[],MATCH(Tbl_ER_MeasureSummary[[#This Row],[Measure ID]:[Measure ID]],Tbl_MeasureList[[Measure ID]:[Measure ID]],0),MATCH(Tbl_ER_MeasureSummary[[#Headers],[Baseline Equipment ID]],Tbl_MeasureList[#Headers],0))</f>
        <v>EQUI037</v>
      </c>
      <c r="E56" s="526" t="str">
        <f>INDEX(Tbl_MeasureList[],MATCH(Tbl_ER_MeasureSummary[[#This Row],[Measure ID]:[Measure ID]],Tbl_MeasureList[[Measure ID]:[Measure ID]],0),MATCH(Tbl_ER_MeasureSummary[[#Headers],[Replacement ID]],Tbl_MeasureList[#Headers],0))</f>
        <v>EQUI039</v>
      </c>
      <c r="F56" s="433" t="s">
        <v>1218</v>
      </c>
      <c r="G56" s="442" t="str">
        <f>INDEX(Tbl_MeasureList[],MATCH(Tbl_ER_MeasureSummary[[#This Row],[Measure ID]:[Measure ID]],Tbl_MeasureList[[Measure ID]:[Measure ID]],0),MATCH(Tbl_ER_MeasureSummary[[#Headers],[Baseline Name]],Tbl_MeasureList[#Headers],0))</f>
        <v>Room AC/No AC Blend+Propane Boiler</v>
      </c>
      <c r="H56" s="526" t="str">
        <f>INDEX(Tbl_MeasureList[],MATCH(Tbl_ER_MeasureSummary[[#This Row],[Measure ID]:[Measure ID]],Tbl_MeasureList[[Measure ID]:[Measure ID]],0),MATCH(Tbl_ER_MeasureSummary[[#Headers],[Replacement Name]],Tbl_MeasureList[#Headers],0))</f>
        <v>DMSHP</v>
      </c>
      <c r="I56" s="442"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Room AC/No AC Blend+Propane Boiler to DMSHP (Retire)</v>
      </c>
      <c r="J56" s="527">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10</v>
      </c>
      <c r="K56" s="443" t="str">
        <f>INDEX(Tbl_MeasureList[],MATCH(Tbl_ER_MeasureSummary[[#This Row],[Measure ID]:[Measure ID]],Tbl_MeasureList[[Measure ID]:[Measure ID]],0),MATCH(Tbl_ER_MeasureSummary[[#Headers],[Baseline Function]],Tbl_MeasureList[#Headers],0))</f>
        <v>Cool+Heat</v>
      </c>
      <c r="L56" s="526" t="str">
        <f>INDEX(Tbl_MeasureList[],MATCH(Tbl_ER_MeasureSummary[[#This Row],[Measure ID]:[Measure ID]],Tbl_MeasureList[[Measure ID]:[Measure ID]],0),MATCH(Tbl_ER_MeasureSummary[[#Headers],[Replacement Function]],Tbl_MeasureList[#Headers],0))</f>
        <v>Cool+Heat</v>
      </c>
      <c r="M56" s="443" t="str">
        <f>INDEX(Tbl_MeasureList[],MATCH(Tbl_ER_MeasureSummary[[#This Row],[Measure ID]:[Measure ID]],Tbl_MeasureList[[Measure ID]:[Measure ID]],0),MATCH(Tbl_ER_MeasureSummary[[#Headers],[Keep Existing Heating Equipment?]],Tbl_MeasureList[#Headers],0))</f>
        <v>No</v>
      </c>
      <c r="N56" s="444"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Electric+Propane</v>
      </c>
      <c r="O56" s="544"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Electric</v>
      </c>
      <c r="P56" s="529"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8 EER
75% AFUE</v>
      </c>
      <c r="Q56" s="546"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10 EER
82% AFUE (79.3% actual)</v>
      </c>
      <c r="R56" s="529"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18 SEER/10.0 HSPF</v>
      </c>
      <c r="S56" s="548"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20 SEER/12.0 HSPF</v>
      </c>
      <c r="T56" s="522" t="str">
        <f>IF(Tbl_ER_MeasureSummary[[#This Row],[Savings Stream]]="Retire","-",
INDEX(Tbl_MeasureList[],MATCH(Tbl_ER_MeasureSummary[[#This Row],[Measure ID]:[Measure ID]],Tbl_MeasureList[[Measure ID]:[Measure ID]],0),MATCH(Tbl_ER_MeasureSummary[[#Headers],[Fuel Switch Annual Energy Savings on MMBtu Basis (MMBtu/yr)]],Tbl_MeasureList[#Headers],0)))</f>
        <v>-</v>
      </c>
      <c r="U56" s="520">
        <f>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256.79169652782821</v>
      </c>
      <c r="V56" s="557">
        <f>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0</v>
      </c>
      <c r="W56" s="395">
        <f>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290.50434782608704</v>
      </c>
      <c r="X56" s="535">
        <f>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0</v>
      </c>
      <c r="Y56" s="446">
        <f>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0.38399999999999967</v>
      </c>
      <c r="Z56" s="536">
        <f>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0</v>
      </c>
      <c r="AA56" s="397">
        <f>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5.5453551912568315</v>
      </c>
      <c r="AB56" s="536">
        <f>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0</v>
      </c>
      <c r="AC56" s="657">
        <f>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6.5365560260394346</v>
      </c>
      <c r="AD56" s="537">
        <f>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0.38540218579234864</v>
      </c>
      <c r="AE56" s="659">
        <f>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0.48799670127061034</v>
      </c>
      <c r="AF56" s="519">
        <f>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256.79169652782821</v>
      </c>
      <c r="AG56" s="549">
        <f>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0</v>
      </c>
      <c r="AH56" s="395">
        <f>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290.50434782608704</v>
      </c>
      <c r="AI56" s="534">
        <f>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0</v>
      </c>
      <c r="AJ56" s="396">
        <f>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0.38399999999999967</v>
      </c>
      <c r="AK56" s="536">
        <f>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0</v>
      </c>
      <c r="AL56" s="397">
        <f>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5.5453551912568315</v>
      </c>
      <c r="AM56" s="536">
        <f>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0</v>
      </c>
      <c r="AN56" s="656">
        <f>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6.5365560260394346</v>
      </c>
      <c r="AO56" s="536">
        <f>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0.38540218579234864</v>
      </c>
      <c r="AP56" s="658">
        <f>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0.48799670127061034</v>
      </c>
      <c r="AQ56" s="517">
        <f>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2.8049686574163557</v>
      </c>
      <c r="AR56"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0.26685512929634558</v>
      </c>
      <c r="AS56"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1.1552787257411581</v>
      </c>
      <c r="AT56" s="538">
        <f>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2.8049686574163557</v>
      </c>
      <c r="AU56"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0.26685512929634558</v>
      </c>
      <c r="AV56"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1.1552787257411581</v>
      </c>
    </row>
    <row r="57" spans="2:49" x14ac:dyDescent="0.2">
      <c r="B57" s="16"/>
      <c r="C57" s="441" t="s">
        <v>1317</v>
      </c>
      <c r="D57" s="442" t="str">
        <f>INDEX(Tbl_MeasureList[],MATCH(Tbl_ER_MeasureSummary[[#This Row],[Measure ID]:[Measure ID]],Tbl_MeasureList[[Measure ID]:[Measure ID]],0),MATCH(Tbl_ER_MeasureSummary[[#Headers],[Baseline Equipment ID]],Tbl_MeasureList[#Headers],0))</f>
        <v>EQUI017</v>
      </c>
      <c r="E57" s="526" t="str">
        <f>INDEX(Tbl_MeasureList[],MATCH(Tbl_ER_MeasureSummary[[#This Row],[Measure ID]:[Measure ID]],Tbl_MeasureList[[Measure ID]:[Measure ID]],0),MATCH(Tbl_ER_MeasureSummary[[#Headers],[Replacement ID]],Tbl_MeasureList[#Headers],0))</f>
        <v>EQUI022</v>
      </c>
      <c r="F57" s="433" t="s">
        <v>1216</v>
      </c>
      <c r="G57" s="442" t="str">
        <f>INDEX(Tbl_MeasureList[],MATCH(Tbl_ER_MeasureSummary[[#This Row],[Measure ID]:[Measure ID]],Tbl_MeasureList[[Measure ID]:[Measure ID]],0),MATCH(Tbl_ER_MeasureSummary[[#Headers],[Baseline Name]],Tbl_MeasureList[#Headers],0))</f>
        <v>Oil Boiler+Indirect WH</v>
      </c>
      <c r="H57" s="526" t="str">
        <f>INDEX(Tbl_MeasureList[],MATCH(Tbl_ER_MeasureSummary[[#This Row],[Measure ID]:[Measure ID]],Tbl_MeasureList[[Measure ID]:[Measure ID]],0),MATCH(Tbl_ER_MeasureSummary[[#Headers],[Replacement Name]],Tbl_MeasureList[#Headers],0))</f>
        <v>Gas Combination Boiler</v>
      </c>
      <c r="I57" s="442"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Oil Boiler+Indirect WH to Gas Combination Boiler (EE)</v>
      </c>
      <c r="J57" s="527">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19</v>
      </c>
      <c r="K57" s="443" t="str">
        <f>INDEX(Tbl_MeasureList[],MATCH(Tbl_ER_MeasureSummary[[#This Row],[Measure ID]:[Measure ID]],Tbl_MeasureList[[Measure ID]:[Measure ID]],0),MATCH(Tbl_ER_MeasureSummary[[#Headers],[Baseline Function]],Tbl_MeasureList[#Headers],0))</f>
        <v>Heat+HW</v>
      </c>
      <c r="L57" s="526" t="str">
        <f>INDEX(Tbl_MeasureList[],MATCH(Tbl_ER_MeasureSummary[[#This Row],[Measure ID]:[Measure ID]],Tbl_MeasureList[[Measure ID]:[Measure ID]],0),MATCH(Tbl_ER_MeasureSummary[[#Headers],[Replacement Function]],Tbl_MeasureList[#Headers],0))</f>
        <v>Heat+HW</v>
      </c>
      <c r="M57" s="443" t="str">
        <f>INDEX(Tbl_MeasureList[],MATCH(Tbl_ER_MeasureSummary[[#This Row],[Measure ID]:[Measure ID]],Tbl_MeasureList[[Measure ID]:[Measure ID]],0),MATCH(Tbl_ER_MeasureSummary[[#Headers],[Keep Existing Heating Equipment?]],Tbl_MeasureList[#Headers],0))</f>
        <v>No</v>
      </c>
      <c r="N57" s="444"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Oil</v>
      </c>
      <c r="O57" s="544"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57" s="529"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75% AFUE, UA 4.1 Btu/hr-F</v>
      </c>
      <c r="Q57" s="546"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84% AFUE, UA 4.1 Btu/hr-F</v>
      </c>
      <c r="R57" s="529"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90% AFUE</v>
      </c>
      <c r="S57" s="548"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95% AFUE</v>
      </c>
      <c r="T57" s="522">
        <f ca="1">IF(Tbl_ER_MeasureSummary[[#This Row],[Savings Stream]]="Retire","-",
INDEX(Tbl_MeasureList[],MATCH(Tbl_ER_MeasureSummary[[#This Row],[Measure ID]:[Measure ID]],Tbl_MeasureList[[Measure ID]:[Measure ID]],0),MATCH(Tbl_ER_MeasureSummary[[#Headers],[Fuel Switch Annual Energy Savings on MMBtu Basis (MMBtu/yr)]],Tbl_MeasureList[#Headers],0)))</f>
        <v>8.9905453333333583</v>
      </c>
      <c r="U57" s="520">
        <f ca="1">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0</v>
      </c>
      <c r="V57" s="557">
        <f ca="1">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11631.004663072888</v>
      </c>
      <c r="W57" s="395">
        <f ca="1">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-99</v>
      </c>
      <c r="X57" s="535">
        <f ca="1">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-1.5186960690316387E-2</v>
      </c>
      <c r="Y57" s="446">
        <f ca="1">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57" s="536">
        <f ca="1">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-1006.6666666666667</v>
      </c>
      <c r="AA57" s="397">
        <f ca="1">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0</v>
      </c>
      <c r="AB57" s="536">
        <f ca="1">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109.99500000000002</v>
      </c>
      <c r="AC57" s="657">
        <f ca="1">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8.9905453333333583</v>
      </c>
      <c r="AD57" s="537">
        <f ca="1">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2.9820967500000028</v>
      </c>
      <c r="AE57" s="659">
        <f ca="1">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2.9471339100000034</v>
      </c>
      <c r="AF57" s="519">
        <f ca="1">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870.49939247469774</v>
      </c>
      <c r="AG57" s="549">
        <f ca="1">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11631.004663072888</v>
      </c>
      <c r="AH57" s="395">
        <f ca="1">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-82</v>
      </c>
      <c r="AI57" s="534">
        <f ca="1">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-1.2579098753595391E-2</v>
      </c>
      <c r="AJ57" s="396">
        <f ca="1">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57" s="536">
        <f ca="1">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-953.68421052631595</v>
      </c>
      <c r="AL57" s="397">
        <f ca="1">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0</v>
      </c>
      <c r="AM57" s="536">
        <f ca="1">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109.99500000000002</v>
      </c>
      <c r="AN57" s="656">
        <f ca="1">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14.346794947368437</v>
      </c>
      <c r="AO57" s="536">
        <f ca="1">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3.2920441184210549</v>
      </c>
      <c r="AP57" s="658">
        <f ca="1">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3.2630849984210544</v>
      </c>
      <c r="AQ57" s="517">
        <f ca="1">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-0.9558958382628473</v>
      </c>
      <c r="AR57"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797.29207430740689</v>
      </c>
      <c r="AS57"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-98.22331158650826</v>
      </c>
      <c r="AT57" s="538">
        <f ca="1">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-0.79175210846013611</v>
      </c>
      <c r="AU57"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797.30769038073583</v>
      </c>
      <c r="AV57"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-93.006779187308013</v>
      </c>
    </row>
    <row r="58" spans="2:49" x14ac:dyDescent="0.2">
      <c r="B58" s="16"/>
      <c r="C58" s="441" t="s">
        <v>1317</v>
      </c>
      <c r="D58" s="442" t="str">
        <f>INDEX(Tbl_MeasureList[],MATCH(Tbl_ER_MeasureSummary[[#This Row],[Measure ID]:[Measure ID]],Tbl_MeasureList[[Measure ID]:[Measure ID]],0),MATCH(Tbl_ER_MeasureSummary[[#Headers],[Baseline Equipment ID]],Tbl_MeasureList[#Headers],0))</f>
        <v>EQUI017</v>
      </c>
      <c r="E58" s="526" t="str">
        <f>INDEX(Tbl_MeasureList[],MATCH(Tbl_ER_MeasureSummary[[#This Row],[Measure ID]:[Measure ID]],Tbl_MeasureList[[Measure ID]:[Measure ID]],0),MATCH(Tbl_ER_MeasureSummary[[#Headers],[Replacement ID]],Tbl_MeasureList[#Headers],0))</f>
        <v>EQUI022</v>
      </c>
      <c r="F58" s="433" t="s">
        <v>1218</v>
      </c>
      <c r="G58" s="442" t="str">
        <f>INDEX(Tbl_MeasureList[],MATCH(Tbl_ER_MeasureSummary[[#This Row],[Measure ID]:[Measure ID]],Tbl_MeasureList[[Measure ID]:[Measure ID]],0),MATCH(Tbl_ER_MeasureSummary[[#Headers],[Baseline Name]],Tbl_MeasureList[#Headers],0))</f>
        <v>Oil Boiler+Indirect WH</v>
      </c>
      <c r="H58" s="526" t="str">
        <f>INDEX(Tbl_MeasureList[],MATCH(Tbl_ER_MeasureSummary[[#This Row],[Measure ID]:[Measure ID]],Tbl_MeasureList[[Measure ID]:[Measure ID]],0),MATCH(Tbl_ER_MeasureSummary[[#Headers],[Replacement Name]],Tbl_MeasureList[#Headers],0))</f>
        <v>Gas Combination Boiler</v>
      </c>
      <c r="I58" s="442" t="str">
        <f>INDEX(Tbl_MeasureList[],MATCH(Tbl_ER_MeasureSummary[[#This Row],[Measure ID]:[Measure ID]],Tbl_MeasureList[[Measure ID]:[Measure ID]],0),MATCH(Tbl_ER_MeasureSummary[[#Headers],[Baseline Name]],Tbl_MeasureList[#Headers],0))&amp;" to "&amp;INDEX(Tbl_MeasureList[],MATCH(Tbl_ER_MeasureSummary[[#This Row],[Measure ID]:[Measure ID]],Tbl_MeasureList[[Measure ID]:[Measure ID]],0),MATCH(Tbl_ER_MeasureSummary[[#Headers],[Replacement Name]],Tbl_MeasureList[#Headers],0))
&amp;IF(ISBLANK(Tbl_ER_MeasureSummary[[#This Row],[Savings Stream]]),""," ("&amp;Tbl_ER_MeasureSummary[[#This Row],[Savings Stream]]&amp;")")</f>
        <v>Oil Boiler+Indirect WH to Gas Combination Boiler (Retire)</v>
      </c>
      <c r="J58" s="527">
        <f>IF(Tbl_ER_MeasureSummary[[#This Row],[Savings Stream]]="Retire",
INDEX(Tbl_MeasureList[],MATCH(Tbl_ER_MeasureSummary[[#This Row],[Measure ID]],Tbl_MeasureList[[Measure ID]:[Measure ID]],0),MATCH($J$61,Tbl_MeasureList[#Headers],0)),
INDEX(Tbl_MeasureList[],MATCH(Tbl_ER_MeasureSummary[[#This Row],[Measure ID]],Tbl_MeasureList[[Measure ID]:[Measure ID]],0),MATCH($J$60,Tbl_MeasureList[#Headers],0)))</f>
        <v>10</v>
      </c>
      <c r="K58" s="443" t="str">
        <f>INDEX(Tbl_MeasureList[],MATCH(Tbl_ER_MeasureSummary[[#This Row],[Measure ID]:[Measure ID]],Tbl_MeasureList[[Measure ID]:[Measure ID]],0),MATCH(Tbl_ER_MeasureSummary[[#Headers],[Baseline Function]],Tbl_MeasureList[#Headers],0))</f>
        <v>Heat+HW</v>
      </c>
      <c r="L58" s="526" t="str">
        <f>INDEX(Tbl_MeasureList[],MATCH(Tbl_ER_MeasureSummary[[#This Row],[Measure ID]:[Measure ID]],Tbl_MeasureList[[Measure ID]:[Measure ID]],0),MATCH(Tbl_ER_MeasureSummary[[#Headers],[Replacement Function]],Tbl_MeasureList[#Headers],0))</f>
        <v>Heat+HW</v>
      </c>
      <c r="M58" s="443" t="str">
        <f>INDEX(Tbl_MeasureList[],MATCH(Tbl_ER_MeasureSummary[[#This Row],[Measure ID]:[Measure ID]],Tbl_MeasureList[[Measure ID]:[Measure ID]],0),MATCH(Tbl_ER_MeasureSummary[[#Headers],[Keep Existing Heating Equipment?]],Tbl_MeasureList[#Headers],0))</f>
        <v>No</v>
      </c>
      <c r="N58" s="444" t="str">
        <f>INDEX(Tbl_MeasureList[Baseline Fuel 1],MATCH(Tbl_ER_MeasureSummary[[#This Row],[Measure ID]],Tbl_MeasureList[Measure ID],0))&amp;
  IF(INDEX(Tbl_MeasureList[Baseline Fuel 2],MATCH(Tbl_ER_MeasureSummary[[#This Row],[Measure ID]],Tbl_MeasureList[Measure ID],0))&lt;&gt;"-",
       "+"&amp;INDEX(Tbl_MeasureList[Baseline Fuel 2],MATCH(Tbl_ER_MeasureSummary[[#This Row],[Measure ID]],Tbl_MeasureList[Measure ID],0)),"")</f>
        <v>Oil</v>
      </c>
      <c r="O58" s="544" t="str">
        <f>INDEX(Tbl_MeasureList[Replacement Fuel 1],MATCH(Tbl_ER_MeasureSummary[[#This Row],[Measure ID]],Tbl_MeasureList[Measure ID],0))&amp;
  IF(INDEX(Tbl_MeasureList[Replacement Fuel 2],MATCH(Tbl_ER_MeasureSummary[[#This Row],[Measure ID]],Tbl_MeasureList[Measure ID],0))&lt;&gt;"-",
       "+"&amp;INDEX(Tbl_MeasureList[Replacement Fuel 2],MATCH(Tbl_ER_MeasureSummary[[#This Row],[Measure ID]],Tbl_MeasureList[Measure ID],0)),"")</f>
        <v>Natural Gas</v>
      </c>
      <c r="P58" s="529" t="str">
        <f>IF(Tbl_ER_MeasureSummary[[#This Row],[Baseline Fuel]]="Oil",INDEX(Tbl_EquipmentDefinitions[Oil Baseline Efficiency],MATCH(Tbl_ER_MeasureSummary[[#This Row],[Baseline Equipment ID]:[Baseline Equipment ID]],Tbl_EquipmentDefinitions[Equipment ID],0)),
  IF(Tbl_ER_MeasureSummary[[#This Row],[Baseline Fuel]]="Propane",INDEX(Tbl_EquipmentDefinitions[Propane Baseline Efficiency],MATCH(Tbl_ER_MeasureSummary[[#This Row],[Baseline Equipment ID]:[Baseline Equipment ID]],Tbl_EquipmentDefinitions[Equipment ID],0)),
  IF(Tbl_ER_MeasureSummary[[#This Row],[Baseline Fuel]]="Electric+Oil",
        INDEX(Tbl_EquipmentDefinitions[Electricity Baseline Efficiency],MATCH(Tbl_ER_MeasureSummary[[#This Row],[Baseline Equipment ID]:[Baseline Equipment ID]],Tbl_EquipmentDefinitions[Equipment ID],0))&amp;CHAR(10)&amp;
        INDEX(Tbl_EquipmentDefinitions[Oil Baseline Efficiency],MATCH(Tbl_ER_MeasureSummary[[#This Row],[Baseline Equipment ID]:[Baseline Equipment ID]],Tbl_EquipmentDefinitions[Equipment ID],0)),
  IF(Tbl_ER_MeasureSummary[[#This Row],[Baseline Fuel]]="Electric+Propane",
        INDEX(Tbl_EquipmentDefinitions[Electricity Baseline Efficiency],MATCH(Tbl_ER_MeasureSummary[[#This Row],[Baseline Equipment ID]:[Baseline Equipment ID]],Tbl_EquipmentDefinitions[Equipment ID],0))&amp;CHAR(10)&amp;
        INDEX(Tbl_EquipmentDefinitions[Propane Baseline Efficiency],MATCH(Tbl_ER_MeasureSummary[[#This Row],[Baseline Equipment ID]:[Baseline Equipment ID]],Tbl_EquipmentDefinitions[Equipment ID],0)),
  IF(Tbl_ER_MeasureSummary[[#This Row],[Baseline Fuel]]="Electric+Electric",INDEX(Tbl_EquipmentDefinitions[Electricity Baseline Efficiency],MATCH(Tbl_ER_MeasureSummary[[#This Row],[Baseline Equipment ID]:[Baseline Equipment ID]],Tbl_EquipmentDefinitions[Equipment ID],0)),
)))))</f>
        <v>75% AFUE, UA 4.1 Btu/hr-F</v>
      </c>
      <c r="Q58" s="546" t="str">
        <f>IF(Tbl_ER_MeasureSummary[[#This Row],[Baseline Fuel]]="Oil",INDEX(Tbl_EquipmentDefinitions[Oil Code Efficiency],MATCH(Tbl_ER_MeasureSummary[[#This Row],[Baseline Equipment ID]:[Baseline Equipment ID]],Tbl_EquipmentDefinitions[Equipment ID],0)),
  IF(Tbl_ER_MeasureSummary[[#This Row],[Baseline Fuel]]="Propane",INDEX(Tbl_EquipmentDefinitions[Propane Code Efficiency],MATCH(Tbl_ER_MeasureSummary[[#This Row],[Baseline Equipment ID]:[Baseline Equipment ID]],Tbl_EquipmentDefinitions[Equipment ID],0)),
  IF(Tbl_ER_MeasureSummary[[#This Row],[Baseline Fuel]]="Electric+Oil",
        INDEX(Tbl_EquipmentDefinitions[Electricity Code Efficiency],MATCH(Tbl_ER_MeasureSummary[[#This Row],[Baseline Equipment ID]:[Baseline Equipment ID]],Tbl_EquipmentDefinitions[Equipment ID],0))&amp;CHAR(10)&amp;
        INDEX(Tbl_EquipmentDefinitions[Oil Code Efficiency],MATCH(Tbl_ER_MeasureSummary[[#This Row],[Baseline Equipment ID]:[Baseline Equipment ID]],Tbl_EquipmentDefinitions[Equipment ID],0)),
  IF(Tbl_ER_MeasureSummary[[#This Row],[Baseline Fuel]]="Electric+Propane",
        INDEX(Tbl_EquipmentDefinitions[Electricity Code Efficiency],MATCH(Tbl_ER_MeasureSummary[[#This Row],[Baseline Equipment ID]:[Baseline Equipment ID]],Tbl_EquipmentDefinitions[Equipment ID],0))&amp;CHAR(10)&amp;
        INDEX(Tbl_EquipmentDefinitions[Propane Code Efficiency],MATCH(Tbl_ER_MeasureSummary[[#This Row],[Baseline Equipment ID]:[Baseline Equipment ID]],Tbl_EquipmentDefinitions[Equipment ID],0)),
  IF(Tbl_ER_MeasureSummary[[#This Row],[Baseline Fuel]]="Electric+Electric",INDEX(Tbl_EquipmentDefinitions[Electricity Code Efficiency],MATCH(Tbl_ER_MeasureSummary[[#This Row],[Baseline Equipment ID]:[Baseline Equipment ID]],Tbl_EquipmentDefinitions[Equipment ID],0)),
)))))</f>
        <v>84% AFUE, UA 4.1 Btu/hr-F</v>
      </c>
      <c r="R58" s="529" t="str">
        <f>IF(Tbl_ER_MeasureSummary[[#This Row],[Replacement Fuel]]="Natural Gas",INDEX(Tbl_EquipmentDefinitions[Natural Gas Low Measure Efficiency],MATCH(Tbl_ER_MeasureSummary[[#This Row],[Replacement ID]:[Replacement ID]],Tbl_EquipmentDefinitions[Equipment ID],0)),
  IF(Tbl_ER_MeasureSummary[[#This Row],[Replacement Fuel]]="Electric",INDEX(Tbl_EquipmentDefinitions[Electricity Low Measure Efficiency],MATCH(Tbl_ER_MeasureSummary[[#This Row],[Replacement ID]:[Replacement ID]],Tbl_EquipmentDefinitions[Equipment ID],0)),
  IF(Tbl_ER_MeasureSummary[[#This Row],[Replacement Fuel]]="Electric+Oil",
        INDEX(Tbl_EquipmentDefinitions[Electricity Low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Low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Low Measure Efficiency],MATCH(Tbl_ER_MeasureSummary[[#This Row],[Replacement ID]:[Replacement ID]],Tbl_EquipmentDefinitions[Equipment ID],0)),
)))))</f>
        <v>90% AFUE</v>
      </c>
      <c r="S58" s="548" t="str">
        <f>IF(Tbl_ER_MeasureSummary[[#This Row],[Replacement Fuel]]="Natural Gas",INDEX(Tbl_EquipmentDefinitions[Natural Gas High Measure Efficiency],MATCH(Tbl_ER_MeasureSummary[[#This Row],[Replacement ID]:[Replacement ID]],Tbl_EquipmentDefinitions[Equipment ID],0)),
  IF(Tbl_ER_MeasureSummary[[#This Row],[Replacement Fuel]]="Electric",INDEX(Tbl_EquipmentDefinitions[Electricity High Measure Efficiency],MATCH(Tbl_ER_MeasureSummary[[#This Row],[Replacement ID]:[Replacement ID]],Tbl_EquipmentDefinitions[Equipment ID],0)),
  IF(Tbl_ER_MeasureSummary[[#This Row],[Replacement Fuel]]="Electric+Oil",
        INDEX(Tbl_EquipmentDefinitions[Electricity High Measure Efficiency],MATCH(Tbl_ER_MeasureSummary[[#This Row],[Replacement ID]:[Replacement ID]],Tbl_EquipmentDefinitions[Equipment ID],0))&amp;CHAR(10)&amp;
        INDEX(Tbl_EquipmentDefinitions[Oil Baseline Efficiency],MATCH(Tbl_ER_MeasureSummary[[#This Row],[Replacement ID]:[Replacement ID]],Tbl_EquipmentDefinitions[Equipment ID],0)),
  IF(Tbl_ER_MeasureSummary[[#This Row],[Replacement Fuel]]="Electric+Propane",
        INDEX(Tbl_EquipmentDefinitions[Electricity High Measure Efficiency],MATCH(Tbl_ER_MeasureSummary[[#This Row],[Replacement ID]:[Replacement ID]],Tbl_EquipmentDefinitions[Equipment ID],0))&amp;CHAR(10)&amp;
        INDEX(Tbl_EquipmentDefinitions[Propane Baseline Efficiency],MATCH(Tbl_ER_MeasureSummary[[#This Row],[Replacement ID]:[Replacement ID]],Tbl_EquipmentDefinitions[Equipment ID],0)),
  IF(Tbl_ER_MeasureSummary[[#This Row],[Replacement Fuel]]="Electric+Electric",INDEX(Tbl_EquipmentDefinitions[Electricity High Measure Efficiency],MATCH(Tbl_ER_MeasureSummary[[#This Row],[Replacement ID]:[Replacement ID]],Tbl_EquipmentDefinitions[Equipment ID],0)),
)))))</f>
        <v>95% AFUE</v>
      </c>
      <c r="T58" s="522" t="str">
        <f>IF(Tbl_ER_MeasureSummary[[#This Row],[Savings Stream]]="Retire","-",
INDEX(Tbl_MeasureList[],MATCH(Tbl_ER_MeasureSummary[[#This Row],[Measure ID]:[Measure ID]],Tbl_MeasureList[[Measure ID]:[Measure ID]],0),MATCH(Tbl_ER_MeasureSummary[[#Headers],[Fuel Switch Annual Energy Savings on MMBtu Basis (MMBtu/yr)]],Tbl_MeasureList[#Headers],0)))</f>
        <v>-</v>
      </c>
      <c r="U58" s="520">
        <f>IF(Tbl_ER_MeasureSummary[[#This Row],[Savings Stream]]="Retire",
INDEX(Tbl_MeasureList[],MATCH(Tbl_ER_MeasureSummary[[#This Row],[Measure ID]:[Measure ID]],Tbl_MeasureList[[Measure ID]:[Measure ID]],0),MATCH(U$61,Tbl_MeasureList[#Headers],0)),
INDEX(Tbl_MeasureList[],MATCH(Tbl_ER_MeasureSummary[[#This Row],[Measure ID]:[Measure ID]],Tbl_MeasureList[[Measure ID]:[Measure ID]],0),MATCH(U$60,Tbl_MeasureList[#Headers],0)))</f>
        <v>296.46067488643712</v>
      </c>
      <c r="V58" s="557">
        <f>IF(Tbl_ER_MeasureSummary[[#This Row],[Savings Stream]]="Retire",
        INDEX(Tbl_MeasureList[],MATCH(Tbl_ER_MeasureSummary[[#This Row],[Measure ID]:[Measure ID]],Tbl_MeasureList[[Measure ID]:[Measure ID]],0),MATCH(V$61,Tbl_MeasureList[#Headers],0)),
        INDEX(Tbl_MeasureList[],MATCH(Tbl_ER_MeasureSummary[[#This Row],[Measure ID]:[Measure ID]],Tbl_MeasureList[[Measure ID]:[Measure ID]],0),MATCH(V$60,Tbl_MeasureList[#Headers],0))
       )</f>
        <v>0</v>
      </c>
      <c r="W58" s="395">
        <f>IF(Tbl_ER_MeasureSummary[[#This Row],[Savings Stream]]="Retire",
        INDEX(Tbl_MeasureList[],MATCH(Tbl_ER_MeasureSummary[[#This Row],[Measure ID]:[Measure ID]],Tbl_MeasureList[[Measure ID]:[Measure ID]],0),MATCH(W$61,Tbl_MeasureList[#Headers],0)),
        INDEX(Tbl_MeasureList[],MATCH(Tbl_ER_MeasureSummary[[#This Row],[Measure ID]:[Measure ID]],Tbl_MeasureList[[Measure ID]:[Measure ID]],0),MATCH(W$60,Tbl_MeasureList[#Headers],0))
       )</f>
        <v>0</v>
      </c>
      <c r="X58" s="535">
        <f>IF(Tbl_ER_MeasureSummary[[#This Row],[Savings Stream]]="Retire",INDEX(Tbl_MeasureList[],MATCH(Tbl_ER_MeasureSummary[[#This Row],[Measure ID]:[Measure ID]],Tbl_MeasureList[[Measure ID]:[Measure ID]],0),MATCH(X$61,Tbl_MeasureList[#Headers],0)),INDEX(Tbl_MeasureList[],MATCH(Tbl_ER_MeasureSummary[[#This Row],[Measure ID]:[Measure ID]],Tbl_MeasureList[[Measure ID]:[Measure ID]],0),MATCH(X$60,Tbl_MeasureList[#Headers],0)))</f>
        <v>0</v>
      </c>
      <c r="Y58" s="446">
        <f>IF(Tbl_ER_MeasureSummary[[#This Row],[Savings Stream]]="Retire",INDEX(Tbl_MeasureList[],MATCH(Tbl_ER_MeasureSummary[[#This Row],[Measure ID]:[Measure ID]],Tbl_MeasureList[[Measure ID]:[Measure ID]],0),MATCH(Y$61,Tbl_MeasureList[#Headers],0)),INDEX(Tbl_MeasureList[],MATCH(Tbl_ER_MeasureSummary[[#This Row],[Measure ID]:[Measure ID]],Tbl_MeasureList[[Measure ID]:[Measure ID]],0),MATCH(Y$60,Tbl_MeasureList[#Headers],0)))</f>
        <v>0</v>
      </c>
      <c r="Z58" s="536">
        <f>IF(Tbl_ER_MeasureSummary[[#This Row],[Savings Stream]]="Retire",
        INDEX(Tbl_MeasureList[],MATCH(Tbl_ER_MeasureSummary[[#This Row],[Measure ID]:[Measure ID]],Tbl_MeasureList[[Measure ID]:[Measure ID]],0),MATCH(Z$61,Tbl_MeasureList[#Headers],0)),
        INDEX(Tbl_MeasureList[],MATCH(Tbl_ER_MeasureSummary[[#This Row],[Measure ID]:[Measure ID]],Tbl_MeasureList[[Measure ID]:[Measure ID]],0),MATCH(Z$60,Tbl_MeasureList[#Headers],0)))</f>
        <v>0</v>
      </c>
      <c r="AA58" s="397">
        <f>IF(Tbl_ER_MeasureSummary[[#This Row],[Savings Stream]]="Retire",
        INDEX(Tbl_MeasureList[],MATCH(Tbl_ER_MeasureSummary[[#This Row],[Measure ID]:[Measure ID]],Tbl_MeasureList[[Measure ID]:[Measure ID]],0),MATCH(AA$61,Tbl_MeasureList[#Headers],0)),
        INDEX(Tbl_MeasureList[],MATCH(Tbl_ER_MeasureSummary[[#This Row],[Measure ID]:[Measure ID]],Tbl_MeasureList[[Measure ID]:[Measure ID]],0),MATCH(AA$60,Tbl_MeasureList[#Headers],0)))</f>
        <v>0</v>
      </c>
      <c r="AB58" s="536">
        <f>IF(Tbl_ER_MeasureSummary[[#This Row],[Savings Stream]]="Retire",
        INDEX(Tbl_MeasureList[],MATCH(Tbl_ER_MeasureSummary[[#This Row],[Measure ID]:[Measure ID]],Tbl_MeasureList[[Measure ID]:[Measure ID]],0),MATCH(AB$61,Tbl_MeasureList[#Headers],0)),
        INDEX(Tbl_MeasureList[],MATCH(Tbl_ER_MeasureSummary[[#This Row],[Measure ID]:[Measure ID]],Tbl_MeasureList[[Measure ID]:[Measure ID]],0),MATCH(AB$60,Tbl_MeasureList[#Headers],0)))</f>
        <v>13.199399999999997</v>
      </c>
      <c r="AC58" s="657">
        <f>IF(Tbl_ER_MeasureSummary[[#This Row],[Savings Stream]]="Retire",
        INDEX(Tbl_MeasureList[],MATCH(Tbl_ER_MeasureSummary[[#This Row],[Measure ID]:[Measure ID]],Tbl_MeasureList[[Measure ID]:[Measure ID]],0),MATCH(AC$61,Tbl_MeasureList[#Headers],0)),
        INDEX(Tbl_MeasureList[],MATCH(Tbl_ER_MeasureSummary[[#This Row],[Measure ID]:[Measure ID]],Tbl_MeasureList[[Measure ID]:[Measure ID]],0),MATCH(AC$60,Tbl_MeasureList[#Headers],0)))</f>
        <v>13.199399999999997</v>
      </c>
      <c r="AD58" s="537">
        <f>IF(Tbl_ER_MeasureSummary[[#This Row],[Savings Stream]]="Retire",INDEX(Tbl_MeasureList[],MATCH(Tbl_ER_MeasureSummary[[#This Row],[Measure ID]:[Measure ID]],Tbl_MeasureList[[Measure ID]:[Measure ID]],0),MATCH(AD$61,Tbl_MeasureList[#Headers],0)),INDEX(Tbl_MeasureList[],MATCH(Tbl_ER_MeasureSummary[[#This Row],[Measure ID]:[Measure ID]],Tbl_MeasureList[[Measure ID]:[Measure ID]],0),MATCH(AD$60,Tbl_MeasureList[#Headers],0)))</f>
        <v>1.0645316099999995</v>
      </c>
      <c r="AE58" s="659">
        <f>IF(Tbl_ER_MeasureSummary[[#This Row],[Savings Stream]]="Retire",INDEX(Tbl_MeasureList[],MATCH(Tbl_ER_MeasureSummary[[#This Row],[Measure ID]:[Measure ID]],Tbl_MeasureList[[Measure ID]:[Measure ID]],0),MATCH(AE$61,Tbl_MeasureList[#Headers],0)),INDEX(Tbl_MeasureList[],MATCH(Tbl_ER_MeasureSummary[[#This Row],[Measure ID]:[Measure ID]],Tbl_MeasureList[[Measure ID]:[Measure ID]],0),MATCH(AE$60,Tbl_MeasureList[#Headers],0)))</f>
        <v>1.0645316099999995</v>
      </c>
      <c r="AF58" s="519">
        <f>IF(Tbl_ER_MeasureSummary[[#This Row],[Savings Stream]]="Retire",INDEX(Tbl_MeasureList[],MATCH(Tbl_ER_MeasureSummary[[#This Row],[Measure ID]:[Measure ID]],Tbl_MeasureList[[Measure ID]:[Measure ID]],0),MATCH(AF$61,Tbl_MeasureList[#Headers],0)),INDEX(Tbl_MeasureList[],MATCH(Tbl_ER_MeasureSummary[[#This Row],[Measure ID]:[Measure ID]],Tbl_MeasureList[[Measure ID]:[Measure ID]],0),MATCH(AF$60,Tbl_MeasureList[#Headers],0)))</f>
        <v>296.46067488643712</v>
      </c>
      <c r="AG58" s="549">
        <f>IF(Tbl_ER_MeasureSummary[[#This Row],[Savings Stream]]="Retire",INDEX(Tbl_MeasureList[],MATCH(Tbl_ER_MeasureSummary[[#This Row],[Measure ID]:[Measure ID]],Tbl_MeasureList[[Measure ID]:[Measure ID]],0),MATCH(AG$61,Tbl_MeasureList[#Headers],0)),INDEX(Tbl_MeasureList[],MATCH(Tbl_ER_MeasureSummary[[#This Row],[Measure ID]:[Measure ID]],Tbl_MeasureList[[Measure ID]:[Measure ID]],0),MATCH(AG$60,Tbl_MeasureList[#Headers],0)))</f>
        <v>0</v>
      </c>
      <c r="AH58" s="395">
        <f>IF(Tbl_ER_MeasureSummary[[#This Row],[Savings Stream]]="Retire",INDEX(Tbl_MeasureList[],MATCH(Tbl_ER_MeasureSummary[[#This Row],[Measure ID]:[Measure ID]],Tbl_MeasureList[[Measure ID]:[Measure ID]],0),MATCH(AH$61,Tbl_MeasureList[#Headers],0)),INDEX(Tbl_MeasureList[],MATCH(Tbl_ER_MeasureSummary[[#This Row],[Measure ID]:[Measure ID]],Tbl_MeasureList[[Measure ID]:[Measure ID]],0),MATCH(AH$60,Tbl_MeasureList[#Headers],0)))</f>
        <v>0</v>
      </c>
      <c r="AI58" s="534">
        <f>IF(Tbl_ER_MeasureSummary[[#This Row],[Savings Stream]]="Retire",INDEX(Tbl_MeasureList[],MATCH(Tbl_ER_MeasureSummary[[#This Row],[Measure ID]:[Measure ID]],Tbl_MeasureList[[Measure ID]:[Measure ID]],0),MATCH(AI$61,Tbl_MeasureList[#Headers],0)),INDEX(Tbl_MeasureList[],MATCH(Tbl_ER_MeasureSummary[[#This Row],[Measure ID]:[Measure ID]],Tbl_MeasureList[[Measure ID]:[Measure ID]],0),MATCH(AI$60,Tbl_MeasureList[#Headers],0)))</f>
        <v>0</v>
      </c>
      <c r="AJ58" s="396">
        <f>IF(Tbl_ER_MeasureSummary[[#This Row],[Savings Stream]]="Retire",INDEX(Tbl_MeasureList[],MATCH(Tbl_ER_MeasureSummary[[#This Row],[Measure ID]:[Measure ID]],Tbl_MeasureList[[Measure ID]:[Measure ID]],0),MATCH(AJ$61,Tbl_MeasureList[#Headers],0)),INDEX(Tbl_MeasureList[],MATCH(Tbl_ER_MeasureSummary[[#This Row],[Measure ID]:[Measure ID]],Tbl_MeasureList[[Measure ID]:[Measure ID]],0),MATCH(AJ$60,Tbl_MeasureList[#Headers],0)))</f>
        <v>0</v>
      </c>
      <c r="AK58" s="536">
        <f>IF(Tbl_ER_MeasureSummary[[#This Row],[Savings Stream]]="Retire",INDEX(Tbl_MeasureList[],MATCH(Tbl_ER_MeasureSummary[[#This Row],[Measure ID]:[Measure ID]],Tbl_MeasureList[[Measure ID]:[Measure ID]],0),MATCH(AK$61,Tbl_MeasureList[#Headers],0)),INDEX(Tbl_MeasureList[],MATCH(Tbl_ER_MeasureSummary[[#This Row],[Measure ID]:[Measure ID]],Tbl_MeasureList[[Measure ID]:[Measure ID]],0),MATCH(AK$60,Tbl_MeasureList[#Headers],0)))</f>
        <v>0</v>
      </c>
      <c r="AL58" s="397">
        <f>IF(Tbl_ER_MeasureSummary[[#This Row],[Savings Stream]]="Retire",INDEX(Tbl_MeasureList[],MATCH(Tbl_ER_MeasureSummary[[#This Row],[Measure ID]:[Measure ID]],Tbl_MeasureList[[Measure ID]:[Measure ID]],0),MATCH(AL$61,Tbl_MeasureList[#Headers],0)),INDEX(Tbl_MeasureList[],MATCH(Tbl_ER_MeasureSummary[[#This Row],[Measure ID]:[Measure ID]],Tbl_MeasureList[[Measure ID]:[Measure ID]],0),MATCH(AL$60,Tbl_MeasureList[#Headers],0)))</f>
        <v>0</v>
      </c>
      <c r="AM58" s="536">
        <f>IF(Tbl_ER_MeasureSummary[[#This Row],[Savings Stream]]="Retire",INDEX(Tbl_MeasureList[],MATCH(Tbl_ER_MeasureSummary[[#This Row],[Measure ID]:[Measure ID]],Tbl_MeasureList[[Measure ID]:[Measure ID]],0),MATCH(AM$61,Tbl_MeasureList[#Headers],0)),INDEX(Tbl_MeasureList[],MATCH(Tbl_ER_MeasureSummary[[#This Row],[Measure ID]:[Measure ID]],Tbl_MeasureList[[Measure ID]:[Measure ID]],0),MATCH(AM$60,Tbl_MeasureList[#Headers],0)))</f>
        <v>13.199399999999997</v>
      </c>
      <c r="AN58" s="656">
        <f>IF(Tbl_ER_MeasureSummary[[#This Row],[Savings Stream]]="Retire",INDEX(Tbl_MeasureList[],MATCH(Tbl_ER_MeasureSummary[[#This Row],[Measure ID]:[Measure ID]],Tbl_MeasureList[[Measure ID]:[Measure ID]],0),MATCH(AN$61,Tbl_MeasureList[#Headers],0)),INDEX(Tbl_MeasureList[],MATCH(Tbl_ER_MeasureSummary[[#This Row],[Measure ID]:[Measure ID]],Tbl_MeasureList[[Measure ID]:[Measure ID]],0),MATCH(AN$60,Tbl_MeasureList[#Headers],0)))</f>
        <v>13.199399999999997</v>
      </c>
      <c r="AO58" s="536">
        <f>IF(Tbl_ER_MeasureSummary[[#This Row],[Savings Stream]]="Retire",INDEX(Tbl_MeasureList[],MATCH(Tbl_ER_MeasureSummary[[#This Row],[Measure ID]:[Measure ID]],Tbl_MeasureList[[Measure ID]:[Measure ID]],0),MATCH(AO$61,Tbl_MeasureList[#Headers],0)),INDEX(Tbl_MeasureList[],MATCH(Tbl_ER_MeasureSummary[[#This Row],[Measure ID]:[Measure ID]],Tbl_MeasureList[[Measure ID]:[Measure ID]],0),MATCH(AO$60,Tbl_MeasureList[#Headers],0)))</f>
        <v>1.0645316099999995</v>
      </c>
      <c r="AP58" s="658">
        <f>IF(Tbl_ER_MeasureSummary[[#This Row],[Savings Stream]]="Retire",INDEX(Tbl_MeasureList[],MATCH(Tbl_ER_MeasureSummary[[#This Row],[Measure ID]:[Measure ID]],Tbl_MeasureList[[Measure ID]:[Measure ID]],0),MATCH(AP$61,Tbl_MeasureList[#Headers],0)),INDEX(Tbl_MeasureList[],MATCH(Tbl_ER_MeasureSummary[[#This Row],[Measure ID]:[Measure ID]],Tbl_MeasureList[[Measure ID]:[Measure ID]],0),MATCH(AP$60,Tbl_MeasureList[#Headers],0)))</f>
        <v>1.0645316099999995</v>
      </c>
      <c r="AQ58" s="517">
        <f>IF(Tbl_ER_MeasureSummary[[#This Row],[Savings Stream]]="Retire",INDEX(Tbl_MeasureList[],MATCH(Tbl_ER_MeasureSummary[[#This Row],[Measure ID]:[Measure ID]],Tbl_MeasureList[[Measure ID]:[Measure ID]],0),MATCH(AQ$61,Tbl_MeasureList[#Headers],0)),INDEX(Tbl_MeasureList[],MATCH(Tbl_ER_MeasureSummary[[#This Row],[Measure ID]:[Measure ID]],Tbl_MeasureList[[Measure ID]:[Measure ID]],0),MATCH(AQ$60,Tbl_MeasureList[#Headers],0)))</f>
        <v>0</v>
      </c>
      <c r="AR58" s="536">
        <f ca="1">IF(Tbl_ER_MeasureSummary[[#This Row],[Savings Stream]]="Retire",INDEX(Tbl_MeasureList[],MATCH(Tbl_ER_MeasureSummary[[#This Row],[Measure ID]:[Measure ID]],Tbl_MeasureList[[Measure ID]:[Measure ID]],0),MATCH(AR$61,Tbl_MeasureList[#Headers],0)),INDEX(Tbl_MeasureList[],MATCH(Tbl_ER_MeasureSummary[[#This Row],[Measure ID]:[Measure ID]],Tbl_MeasureList[[Measure ID]:[Measure ID]],0),MATCH(AR$60,Tbl_MeasureList[#Headers],0)))</f>
        <v>893.06897676610254</v>
      </c>
      <c r="AS58" s="613">
        <f ca="1">IF(Tbl_ER_MeasureSummary[[#This Row],[Savings Stream]]="Retire",INDEX(Tbl_MeasureList[],MATCH(Tbl_ER_MeasureSummary[[#This Row],[Measure ID]:[Measure ID]],Tbl_MeasureList[[Measure ID]:[Measure ID]],0),MATCH(AS$61,Tbl_MeasureList[#Headers],0)),INDEX(Tbl_MeasureList[],MATCH(Tbl_ER_MeasureSummary[[#This Row],[Measure ID]:[Measure ID]],Tbl_MeasureList[[Measure ID]:[Measure ID]],0),MATCH(AS$60,Tbl_MeasureList[#Headers],0)))</f>
        <v>-97.829608033689681</v>
      </c>
      <c r="AT58" s="538">
        <f>IF(Tbl_ER_MeasureSummary[[#This Row],[Savings Stream]]="Retire",INDEX(Tbl_MeasureList[],MATCH(Tbl_ER_MeasureSummary[[#This Row],[Measure ID]:[Measure ID]],Tbl_MeasureList[[Measure ID]:[Measure ID]],0),MATCH(AT$61,Tbl_MeasureList[#Headers],0)),INDEX(Tbl_MeasureList[],MATCH(Tbl_ER_MeasureSummary[[#This Row],[Measure ID]:[Measure ID]],Tbl_MeasureList[[Measure ID]:[Measure ID]],0),MATCH(AT$60,Tbl_MeasureList[#Headers],0)))</f>
        <v>0</v>
      </c>
      <c r="AU58" s="397">
        <f ca="1">IF(Tbl_ER_MeasureSummary[[#This Row],[Savings Stream]]="Retire",INDEX(Tbl_MeasureList[],MATCH(Tbl_ER_MeasureSummary[[#This Row],[Measure ID]:[Measure ID]],Tbl_MeasureList[[Measure ID]:[Measure ID]],0),MATCH(AU$61,Tbl_MeasureList[#Headers],0)),INDEX(Tbl_MeasureList[],MATCH(Tbl_ER_MeasureSummary[[#This Row],[Measure ID]:[Measure ID]],Tbl_MeasureList[[Measure ID]:[Measure ID]],0),MATCH(AU$60,Tbl_MeasureList[#Headers],0)))</f>
        <v>893.06897676610254</v>
      </c>
      <c r="AV58" s="550">
        <f ca="1">IF(Tbl_ER_MeasureSummary[[#This Row],[Savings Stream]]="Retire",INDEX(Tbl_MeasureList[],MATCH(Tbl_ER_MeasureSummary[[#This Row],[Measure ID]:[Measure ID]],Tbl_MeasureList[[Measure ID]:[Measure ID]],0),MATCH(AV$61,Tbl_MeasureList[#Headers],0)),INDEX(Tbl_MeasureList[],MATCH(Tbl_ER_MeasureSummary[[#This Row],[Measure ID]:[Measure ID]],Tbl_MeasureList[[Measure ID]:[Measure ID]],0),MATCH(AV$60,Tbl_MeasureList[#Headers],0)))</f>
        <v>-97.829608033689681</v>
      </c>
    </row>
    <row r="59" spans="2:49" x14ac:dyDescent="0.2">
      <c r="B59" s="16"/>
    </row>
    <row r="60" spans="2:49" x14ac:dyDescent="0.2">
      <c r="B60" s="16"/>
      <c r="C60" s="577" t="s">
        <v>1454</v>
      </c>
      <c r="D60" s="577"/>
      <c r="E60" s="577"/>
      <c r="F60" s="578"/>
      <c r="G60" s="578"/>
      <c r="H60" s="578"/>
      <c r="I60" s="578"/>
      <c r="J60" s="578" t="s">
        <v>1280</v>
      </c>
      <c r="K60" s="578"/>
      <c r="L60" s="600"/>
      <c r="M60" s="600"/>
      <c r="N60" s="578"/>
      <c r="O60" s="578"/>
      <c r="P60" s="600"/>
      <c r="Q60" s="578"/>
      <c r="R60" s="600"/>
      <c r="U60" s="434" t="s">
        <v>1257</v>
      </c>
      <c r="V60" s="434" t="s">
        <v>1565</v>
      </c>
      <c r="W60" s="434" t="s">
        <v>1258</v>
      </c>
      <c r="X60" s="434" t="s">
        <v>1259</v>
      </c>
      <c r="Y60" s="434" t="s">
        <v>1260</v>
      </c>
      <c r="Z60" s="434" t="s">
        <v>1261</v>
      </c>
      <c r="AA60" s="434" t="s">
        <v>1262</v>
      </c>
      <c r="AB60" s="434" t="s">
        <v>1263</v>
      </c>
      <c r="AC60" s="434" t="s">
        <v>1264</v>
      </c>
      <c r="AD60" s="434" t="s">
        <v>1265</v>
      </c>
      <c r="AE60" s="434" t="s">
        <v>1266</v>
      </c>
      <c r="AF60" s="434" t="s">
        <v>1267</v>
      </c>
      <c r="AG60" s="434" t="s">
        <v>1566</v>
      </c>
      <c r="AH60" s="434" t="s">
        <v>1268</v>
      </c>
      <c r="AI60" s="434" t="s">
        <v>1269</v>
      </c>
      <c r="AJ60" s="434" t="s">
        <v>1270</v>
      </c>
      <c r="AK60" s="434" t="s">
        <v>1271</v>
      </c>
      <c r="AL60" s="434" t="s">
        <v>1272</v>
      </c>
      <c r="AM60" s="434" t="s">
        <v>1273</v>
      </c>
      <c r="AN60" s="434" t="s">
        <v>1274</v>
      </c>
      <c r="AO60" s="434" t="s">
        <v>1275</v>
      </c>
      <c r="AP60" s="434" t="s">
        <v>1276</v>
      </c>
      <c r="AQ60" s="434" t="s">
        <v>1382</v>
      </c>
      <c r="AR60" s="434" t="s">
        <v>1386</v>
      </c>
      <c r="AS60" s="434" t="s">
        <v>1390</v>
      </c>
      <c r="AT60" s="434" t="s">
        <v>1392</v>
      </c>
      <c r="AU60" s="434" t="s">
        <v>1396</v>
      </c>
      <c r="AV60" s="434" t="s">
        <v>1400</v>
      </c>
    </row>
    <row r="61" spans="2:49" x14ac:dyDescent="0.2">
      <c r="B61" s="16"/>
      <c r="J61" s="434" t="s">
        <v>910</v>
      </c>
      <c r="U61" s="434" t="s">
        <v>1242</v>
      </c>
      <c r="V61" s="434" t="s">
        <v>1558</v>
      </c>
      <c r="W61" s="434" t="s">
        <v>1243</v>
      </c>
      <c r="X61" s="434" t="s">
        <v>1244</v>
      </c>
      <c r="Y61" s="434" t="s">
        <v>1245</v>
      </c>
      <c r="Z61" s="434" t="s">
        <v>1246</v>
      </c>
      <c r="AA61" s="434" t="s">
        <v>1247</v>
      </c>
      <c r="AB61" s="434" t="s">
        <v>1248</v>
      </c>
      <c r="AC61" s="434" t="s">
        <v>1249</v>
      </c>
      <c r="AD61" s="434" t="s">
        <v>1250</v>
      </c>
      <c r="AE61" s="434" t="s">
        <v>1251</v>
      </c>
      <c r="AF61" s="434" t="s">
        <v>1242</v>
      </c>
      <c r="AG61" s="434" t="s">
        <v>1558</v>
      </c>
      <c r="AH61" s="434" t="s">
        <v>1243</v>
      </c>
      <c r="AI61" s="434" t="s">
        <v>1244</v>
      </c>
      <c r="AJ61" s="434" t="s">
        <v>1245</v>
      </c>
      <c r="AK61" s="434" t="s">
        <v>1246</v>
      </c>
      <c r="AL61" s="434" t="s">
        <v>1247</v>
      </c>
      <c r="AM61" s="434" t="s">
        <v>1248</v>
      </c>
      <c r="AN61" s="434" t="s">
        <v>1249</v>
      </c>
      <c r="AO61" s="434" t="s">
        <v>1250</v>
      </c>
      <c r="AP61" s="434" t="s">
        <v>1251</v>
      </c>
      <c r="AQ61" s="512" t="s">
        <v>1372</v>
      </c>
      <c r="AR61" s="512" t="s">
        <v>1376</v>
      </c>
      <c r="AS61" s="512" t="s">
        <v>1380</v>
      </c>
      <c r="AT61" s="512" t="s">
        <v>1372</v>
      </c>
      <c r="AU61" s="512" t="s">
        <v>1376</v>
      </c>
      <c r="AV61" s="512" t="s">
        <v>1380</v>
      </c>
      <c r="AW61" s="137"/>
    </row>
  </sheetData>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CR116"/>
  <sheetViews>
    <sheetView topLeftCell="C76" workbookViewId="0">
      <pane xSplit="13245" ySplit="4575" topLeftCell="S88" activePane="bottomRight"/>
      <selection activeCell="D76" sqref="D76"/>
      <selection pane="topRight" activeCell="I76" sqref="I76"/>
      <selection pane="bottomLeft" activeCell="C89" sqref="C89"/>
      <selection pane="bottomRight" activeCell="X89" sqref="X89"/>
    </sheetView>
  </sheetViews>
  <sheetFormatPr defaultRowHeight="11.25" x14ac:dyDescent="0.2"/>
  <cols>
    <col min="1" max="1" width="3.33203125" customWidth="1"/>
    <col min="2" max="2" width="2.33203125" style="6" customWidth="1"/>
    <col min="3" max="3" width="14" customWidth="1"/>
    <col min="4" max="4" width="11.1640625" customWidth="1"/>
    <col min="5" max="5" width="14.33203125" customWidth="1"/>
    <col min="6" max="6" width="40.6640625" customWidth="1"/>
    <col min="7" max="7" width="24.6640625" bestFit="1" customWidth="1"/>
    <col min="8" max="8" width="63.1640625" style="6" customWidth="1"/>
    <col min="9" max="11" width="14.33203125" bestFit="1" customWidth="1"/>
    <col min="12" max="12" width="17.5" customWidth="1"/>
    <col min="13" max="13" width="15.5" customWidth="1"/>
    <col min="14" max="14" width="16.6640625" customWidth="1"/>
    <col min="15" max="15" width="38" bestFit="1" customWidth="1"/>
    <col min="16" max="16" width="37.33203125" customWidth="1"/>
    <col min="17" max="18" width="38" bestFit="1" customWidth="1"/>
    <col min="19" max="89" width="17.6640625" customWidth="1"/>
  </cols>
  <sheetData>
    <row r="1" spans="1:89" s="6" customFormat="1" ht="17.25" thickBot="1" x14ac:dyDescent="0.3">
      <c r="A1" s="4"/>
      <c r="B1" s="4" t="s">
        <v>1330</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row>
    <row r="2" spans="1:89" s="6" customFormat="1" ht="12" thickTop="1" x14ac:dyDescent="0.2"/>
    <row r="3" spans="1:89" s="6" customFormat="1" x14ac:dyDescent="0.2">
      <c r="B3" s="8" t="s">
        <v>1331</v>
      </c>
    </row>
    <row r="4" spans="1:89" s="6" customFormat="1" x14ac:dyDescent="0.2">
      <c r="B4" s="8" t="s">
        <v>1085</v>
      </c>
    </row>
    <row r="5" spans="1:89" s="6" customFormat="1" x14ac:dyDescent="0.2">
      <c r="B5" s="8" t="s">
        <v>1086</v>
      </c>
    </row>
    <row r="6" spans="1:89" s="6" customFormat="1" x14ac:dyDescent="0.2">
      <c r="B6" s="8" t="s">
        <v>1087</v>
      </c>
    </row>
    <row r="7" spans="1:89" s="6" customFormat="1" x14ac:dyDescent="0.2">
      <c r="B7" s="8" t="s">
        <v>1088</v>
      </c>
    </row>
    <row r="8" spans="1:89" s="6" customFormat="1" x14ac:dyDescent="0.2">
      <c r="B8" s="513" t="s">
        <v>1616</v>
      </c>
      <c r="C8" s="137"/>
      <c r="D8" s="137"/>
      <c r="E8" s="137"/>
      <c r="F8" s="137"/>
      <c r="G8" s="137"/>
    </row>
    <row r="9" spans="1:89" s="6" customFormat="1" x14ac:dyDescent="0.2">
      <c r="B9" s="513" t="s">
        <v>1411</v>
      </c>
      <c r="C9" s="137"/>
      <c r="D9" s="137"/>
      <c r="E9" s="137"/>
      <c r="F9" s="137"/>
      <c r="G9" s="137"/>
    </row>
    <row r="10" spans="1:89" s="6" customFormat="1" x14ac:dyDescent="0.2">
      <c r="B10" s="513" t="s">
        <v>1412</v>
      </c>
      <c r="C10" s="137"/>
      <c r="D10" s="137"/>
      <c r="E10" s="137"/>
      <c r="F10" s="137"/>
      <c r="G10" s="137"/>
    </row>
    <row r="11" spans="1:89" s="6" customFormat="1" x14ac:dyDescent="0.2">
      <c r="B11" s="513" t="s">
        <v>1413</v>
      </c>
      <c r="C11" s="137"/>
      <c r="D11" s="137"/>
      <c r="E11" s="137"/>
      <c r="F11" s="137"/>
      <c r="G11" s="137"/>
    </row>
    <row r="12" spans="1:89" s="6" customFormat="1" x14ac:dyDescent="0.2"/>
    <row r="13" spans="1:89" s="6" customFormat="1" x14ac:dyDescent="0.2">
      <c r="B13" s="8"/>
    </row>
    <row r="14" spans="1:89" s="6" customFormat="1" ht="13.5" thickBot="1" x14ac:dyDescent="0.25">
      <c r="B14" s="9" t="s">
        <v>1077</v>
      </c>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row>
    <row r="15" spans="1:89" s="6" customFormat="1" x14ac:dyDescent="0.2">
      <c r="B15" s="15"/>
    </row>
    <row r="16" spans="1:89" s="6" customFormat="1" x14ac:dyDescent="0.2">
      <c r="B16" s="16"/>
      <c r="C16" s="8" t="s">
        <v>1079</v>
      </c>
    </row>
    <row r="17" spans="2:3" s="6" customFormat="1" x14ac:dyDescent="0.2">
      <c r="B17" s="16"/>
      <c r="C17" s="389" t="s">
        <v>1081</v>
      </c>
    </row>
    <row r="18" spans="2:3" s="6" customFormat="1" x14ac:dyDescent="0.2">
      <c r="B18" s="16"/>
      <c r="C18" s="389" t="s">
        <v>1082</v>
      </c>
    </row>
    <row r="19" spans="2:3" s="6" customFormat="1" x14ac:dyDescent="0.2">
      <c r="B19" s="16"/>
      <c r="C19" s="389" t="s">
        <v>1080</v>
      </c>
    </row>
    <row r="20" spans="2:3" s="6" customFormat="1" x14ac:dyDescent="0.2">
      <c r="B20" s="16"/>
      <c r="C20" s="389" t="s">
        <v>1083</v>
      </c>
    </row>
    <row r="21" spans="2:3" s="6" customFormat="1" x14ac:dyDescent="0.2">
      <c r="B21" s="16"/>
      <c r="C21" s="8" t="s">
        <v>1084</v>
      </c>
    </row>
    <row r="22" spans="2:3" s="6" customFormat="1" x14ac:dyDescent="0.2">
      <c r="B22" s="16"/>
      <c r="C22" s="8"/>
    </row>
    <row r="23" spans="2:3" s="6" customFormat="1" x14ac:dyDescent="0.2">
      <c r="B23" s="16"/>
    </row>
    <row r="24" spans="2:3" s="6" customFormat="1" x14ac:dyDescent="0.2">
      <c r="B24" s="16"/>
    </row>
    <row r="25" spans="2:3" s="6" customFormat="1" x14ac:dyDescent="0.2">
      <c r="B25" s="16"/>
    </row>
    <row r="26" spans="2:3" s="6" customFormat="1" x14ac:dyDescent="0.2">
      <c r="B26" s="16"/>
    </row>
    <row r="27" spans="2:3" s="6" customFormat="1" x14ac:dyDescent="0.2">
      <c r="B27" s="16"/>
    </row>
    <row r="28" spans="2:3" s="6" customFormat="1" x14ac:dyDescent="0.2">
      <c r="B28" s="16"/>
    </row>
    <row r="29" spans="2:3" s="6" customFormat="1" x14ac:dyDescent="0.2">
      <c r="B29" s="16"/>
    </row>
    <row r="30" spans="2:3" s="6" customFormat="1" x14ac:dyDescent="0.2">
      <c r="B30" s="16"/>
    </row>
    <row r="31" spans="2:3" s="6" customFormat="1" x14ac:dyDescent="0.2">
      <c r="B31" s="16"/>
    </row>
    <row r="32" spans="2:3" s="6" customFormat="1" x14ac:dyDescent="0.2">
      <c r="B32" s="16"/>
    </row>
    <row r="33" spans="2:89" s="6" customFormat="1" x14ac:dyDescent="0.2">
      <c r="B33" s="16"/>
    </row>
    <row r="34" spans="2:89" s="6" customFormat="1" x14ac:dyDescent="0.2"/>
    <row r="35" spans="2:89" s="6" customFormat="1" ht="13.5" thickBot="1" x14ac:dyDescent="0.25">
      <c r="B35" s="9" t="s">
        <v>1078</v>
      </c>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row>
    <row r="36" spans="2:89" s="6" customFormat="1" x14ac:dyDescent="0.2">
      <c r="B36" s="15"/>
    </row>
    <row r="37" spans="2:89" s="6" customFormat="1" x14ac:dyDescent="0.2">
      <c r="B37" s="16"/>
    </row>
    <row r="38" spans="2:89" s="6" customFormat="1" x14ac:dyDescent="0.2">
      <c r="B38" s="16"/>
    </row>
    <row r="39" spans="2:89" s="6" customFormat="1" x14ac:dyDescent="0.2">
      <c r="B39" s="16"/>
    </row>
    <row r="40" spans="2:89" s="6" customFormat="1" x14ac:dyDescent="0.2">
      <c r="B40" s="16"/>
    </row>
    <row r="41" spans="2:89" s="6" customFormat="1" x14ac:dyDescent="0.2">
      <c r="B41" s="16"/>
    </row>
    <row r="42" spans="2:89" s="6" customFormat="1" x14ac:dyDescent="0.2">
      <c r="B42" s="16"/>
    </row>
    <row r="43" spans="2:89" s="6" customFormat="1" x14ac:dyDescent="0.2">
      <c r="B43" s="16"/>
    </row>
    <row r="44" spans="2:89" s="6" customFormat="1" x14ac:dyDescent="0.2">
      <c r="B44" s="16"/>
    </row>
    <row r="45" spans="2:89" s="6" customFormat="1" x14ac:dyDescent="0.2">
      <c r="B45" s="16"/>
    </row>
    <row r="46" spans="2:89" s="6" customFormat="1" x14ac:dyDescent="0.2">
      <c r="B46" s="16"/>
    </row>
    <row r="47" spans="2:89" s="6" customFormat="1" x14ac:dyDescent="0.2">
      <c r="B47" s="16"/>
    </row>
    <row r="48" spans="2:89" s="6" customFormat="1" x14ac:dyDescent="0.2">
      <c r="B48" s="16"/>
    </row>
    <row r="49" spans="2:2" s="6" customFormat="1" x14ac:dyDescent="0.2">
      <c r="B49" s="16"/>
    </row>
    <row r="50" spans="2:2" s="6" customFormat="1" x14ac:dyDescent="0.2">
      <c r="B50" s="16"/>
    </row>
    <row r="51" spans="2:2" s="6" customFormat="1" x14ac:dyDescent="0.2">
      <c r="B51" s="16"/>
    </row>
    <row r="52" spans="2:2" s="6" customFormat="1" x14ac:dyDescent="0.2">
      <c r="B52" s="16"/>
    </row>
    <row r="53" spans="2:2" s="6" customFormat="1" x14ac:dyDescent="0.2">
      <c r="B53" s="16"/>
    </row>
    <row r="54" spans="2:2" s="6" customFormat="1" x14ac:dyDescent="0.2">
      <c r="B54" s="16"/>
    </row>
    <row r="55" spans="2:2" s="6" customFormat="1" x14ac:dyDescent="0.2">
      <c r="B55" s="16"/>
    </row>
    <row r="56" spans="2:2" s="6" customFormat="1" x14ac:dyDescent="0.2">
      <c r="B56" s="16"/>
    </row>
    <row r="57" spans="2:2" s="6" customFormat="1" x14ac:dyDescent="0.2">
      <c r="B57" s="16"/>
    </row>
    <row r="58" spans="2:2" s="6" customFormat="1" x14ac:dyDescent="0.2">
      <c r="B58" s="16"/>
    </row>
    <row r="59" spans="2:2" s="6" customFormat="1" x14ac:dyDescent="0.2">
      <c r="B59" s="16"/>
    </row>
    <row r="60" spans="2:2" s="6" customFormat="1" x14ac:dyDescent="0.2">
      <c r="B60" s="16"/>
    </row>
    <row r="61" spans="2:2" s="6" customFormat="1" x14ac:dyDescent="0.2">
      <c r="B61" s="16"/>
    </row>
    <row r="62" spans="2:2" s="6" customFormat="1" x14ac:dyDescent="0.2">
      <c r="B62" s="16"/>
    </row>
    <row r="63" spans="2:2" s="6" customFormat="1" x14ac:dyDescent="0.2">
      <c r="B63" s="16"/>
    </row>
    <row r="64" spans="2:2" s="6" customFormat="1" x14ac:dyDescent="0.2">
      <c r="B64" s="16"/>
    </row>
    <row r="65" spans="2:2" s="6" customFormat="1" x14ac:dyDescent="0.2">
      <c r="B65" s="16"/>
    </row>
    <row r="66" spans="2:2" s="6" customFormat="1" x14ac:dyDescent="0.2">
      <c r="B66" s="16"/>
    </row>
    <row r="67" spans="2:2" s="6" customFormat="1" x14ac:dyDescent="0.2">
      <c r="B67" s="16"/>
    </row>
    <row r="68" spans="2:2" s="6" customFormat="1" x14ac:dyDescent="0.2">
      <c r="B68" s="16"/>
    </row>
    <row r="69" spans="2:2" s="6" customFormat="1" x14ac:dyDescent="0.2">
      <c r="B69" s="16"/>
    </row>
    <row r="70" spans="2:2" s="6" customFormat="1" x14ac:dyDescent="0.2">
      <c r="B70" s="16"/>
    </row>
    <row r="71" spans="2:2" s="6" customFormat="1" x14ac:dyDescent="0.2">
      <c r="B71" s="16"/>
    </row>
    <row r="72" spans="2:2" s="6" customFormat="1" x14ac:dyDescent="0.2">
      <c r="B72" s="16"/>
    </row>
    <row r="73" spans="2:2" s="6" customFormat="1" x14ac:dyDescent="0.2">
      <c r="B73" s="16"/>
    </row>
    <row r="74" spans="2:2" s="6" customFormat="1" x14ac:dyDescent="0.2">
      <c r="B74" s="16"/>
    </row>
    <row r="75" spans="2:2" s="6" customFormat="1" x14ac:dyDescent="0.2">
      <c r="B75" s="16"/>
    </row>
    <row r="76" spans="2:2" s="6" customFormat="1" x14ac:dyDescent="0.2">
      <c r="B76" s="16"/>
    </row>
    <row r="77" spans="2:2" s="6" customFormat="1" x14ac:dyDescent="0.2">
      <c r="B77" s="16"/>
    </row>
    <row r="78" spans="2:2" s="6" customFormat="1" x14ac:dyDescent="0.2">
      <c r="B78" s="16"/>
    </row>
    <row r="79" spans="2:2" s="6" customFormat="1" x14ac:dyDescent="0.2">
      <c r="B79" s="16"/>
    </row>
    <row r="80" spans="2:2" s="6" customFormat="1" x14ac:dyDescent="0.2">
      <c r="B80" s="16"/>
    </row>
    <row r="81" spans="2:96" s="6" customFormat="1" x14ac:dyDescent="0.2">
      <c r="B81" s="16"/>
    </row>
    <row r="82" spans="2:96" s="6" customFormat="1" x14ac:dyDescent="0.2"/>
    <row r="83" spans="2:96" s="6" customFormat="1" ht="13.5" thickBot="1" x14ac:dyDescent="0.25">
      <c r="B83" s="9" t="s">
        <v>1089</v>
      </c>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row>
    <row r="84" spans="2:96" s="6" customFormat="1" x14ac:dyDescent="0.2">
      <c r="B84" s="15"/>
      <c r="AO84" s="415"/>
      <c r="AP84" s="415"/>
      <c r="AQ84" s="415"/>
      <c r="AR84" s="415"/>
      <c r="AS84" s="415"/>
      <c r="AT84" s="415"/>
      <c r="AU84" s="415"/>
      <c r="AV84" s="415"/>
      <c r="AW84" s="415"/>
      <c r="AX84" s="415"/>
      <c r="AY84" s="415"/>
      <c r="AZ84" s="415"/>
      <c r="BA84" s="415"/>
      <c r="BB84" s="415"/>
      <c r="BC84" s="415"/>
      <c r="BD84" s="415"/>
      <c r="BY84" s="415"/>
      <c r="BZ84" s="415"/>
      <c r="CA84" s="415"/>
      <c r="CB84" s="415"/>
      <c r="CC84" s="415"/>
      <c r="CD84" s="415"/>
      <c r="CE84" s="415"/>
      <c r="CF84" s="415"/>
      <c r="CG84" s="415"/>
      <c r="CH84" s="415"/>
      <c r="CI84" s="415"/>
      <c r="CJ84" s="415"/>
      <c r="CK84" s="415"/>
      <c r="CL84" s="415"/>
      <c r="CM84" s="415"/>
      <c r="CN84" s="415"/>
      <c r="CO84" s="415"/>
      <c r="CP84" s="415"/>
      <c r="CQ84" s="415"/>
      <c r="CR84" s="415"/>
    </row>
    <row r="85" spans="2:96" ht="13.5" thickBot="1" x14ac:dyDescent="0.25">
      <c r="B85" s="16"/>
      <c r="I85" s="6"/>
      <c r="S85" s="21" t="s">
        <v>1401</v>
      </c>
      <c r="T85" s="21"/>
      <c r="U85" s="21"/>
      <c r="V85" s="21"/>
      <c r="W85" s="21"/>
      <c r="X85" s="21"/>
      <c r="Y85" s="21"/>
      <c r="Z85" s="21"/>
      <c r="AA85" s="21"/>
      <c r="AB85" s="21"/>
      <c r="AC85" s="21"/>
      <c r="AD85" s="21"/>
      <c r="AE85" s="21"/>
      <c r="AF85" s="21"/>
      <c r="AG85" s="21"/>
      <c r="AH85" s="21"/>
      <c r="AI85" s="21"/>
      <c r="AJ85" s="21"/>
      <c r="AK85" s="21"/>
      <c r="AL85" s="21"/>
      <c r="AM85" s="21"/>
      <c r="AN85" s="23"/>
      <c r="AO85" s="309" t="s">
        <v>1403</v>
      </c>
      <c r="AP85" s="309"/>
      <c r="AQ85" s="309"/>
      <c r="AR85" s="309"/>
      <c r="AS85" s="309"/>
      <c r="AT85" s="309"/>
      <c r="AU85" s="6"/>
      <c r="AV85" s="6"/>
      <c r="AW85" s="6"/>
      <c r="AX85" s="6"/>
      <c r="AY85" s="6"/>
      <c r="AZ85" s="6"/>
      <c r="BA85" s="6"/>
      <c r="BB85" s="6"/>
      <c r="BC85" s="6"/>
      <c r="BD85" s="6"/>
      <c r="BE85" s="6"/>
      <c r="BF85" s="6"/>
      <c r="BG85" s="6"/>
      <c r="BH85" s="6"/>
      <c r="BI85" s="6"/>
      <c r="BJ85" s="6"/>
      <c r="BK85" s="6"/>
      <c r="BL85" s="6"/>
      <c r="BM85" s="6"/>
      <c r="BN85" s="6"/>
      <c r="BO85" s="6"/>
      <c r="BP85" s="6"/>
    </row>
    <row r="86" spans="2:96" s="6" customFormat="1" ht="13.5" thickBot="1" x14ac:dyDescent="0.25">
      <c r="B86" s="16"/>
      <c r="S86" s="21" t="s">
        <v>851</v>
      </c>
      <c r="T86" s="101"/>
      <c r="U86" s="101"/>
      <c r="V86" s="101"/>
      <c r="W86" s="101"/>
      <c r="X86" s="101"/>
      <c r="Y86" s="101"/>
      <c r="Z86" s="101"/>
      <c r="AA86" s="101"/>
      <c r="AB86" s="101"/>
      <c r="AC86" s="101"/>
      <c r="AD86" s="21" t="s">
        <v>852</v>
      </c>
      <c r="AE86" s="101"/>
      <c r="AF86" s="101"/>
      <c r="AG86" s="101"/>
      <c r="AH86" s="101"/>
      <c r="AI86" s="101"/>
      <c r="AJ86" s="101"/>
      <c r="AK86" s="101"/>
      <c r="AL86" s="101"/>
      <c r="AM86" s="101"/>
      <c r="AN86" s="101"/>
      <c r="AO86" s="310" t="s">
        <v>851</v>
      </c>
      <c r="AP86" s="312"/>
      <c r="AQ86" s="311"/>
      <c r="AR86" s="312" t="s">
        <v>852</v>
      </c>
      <c r="AS86" s="312"/>
      <c r="AT86" s="312"/>
    </row>
    <row r="87" spans="2:96" s="6" customFormat="1" ht="13.5" thickBot="1" x14ac:dyDescent="0.25">
      <c r="B87" s="16"/>
      <c r="S87" s="310" t="s">
        <v>120</v>
      </c>
      <c r="T87" s="312"/>
      <c r="U87" s="310" t="s">
        <v>25</v>
      </c>
      <c r="V87" s="311"/>
      <c r="W87" s="312"/>
      <c r="X87" s="386" t="s">
        <v>55</v>
      </c>
      <c r="Y87" s="386" t="s">
        <v>28</v>
      </c>
      <c r="Z87" s="386" t="s">
        <v>27</v>
      </c>
      <c r="AA87" s="386" t="s">
        <v>481</v>
      </c>
      <c r="AB87" s="386" t="s">
        <v>704</v>
      </c>
      <c r="AC87" s="386"/>
      <c r="AD87" s="101" t="s">
        <v>120</v>
      </c>
      <c r="AE87" s="101"/>
      <c r="AF87" s="21" t="s">
        <v>25</v>
      </c>
      <c r="AG87" s="22"/>
      <c r="AH87" s="101"/>
      <c r="AI87" s="386" t="s">
        <v>55</v>
      </c>
      <c r="AJ87" s="386" t="s">
        <v>28</v>
      </c>
      <c r="AK87" s="386" t="s">
        <v>27</v>
      </c>
      <c r="AL87" s="386" t="s">
        <v>481</v>
      </c>
      <c r="AM87" s="23" t="s">
        <v>704</v>
      </c>
      <c r="AN87" s="21"/>
      <c r="AO87" s="310" t="s">
        <v>794</v>
      </c>
      <c r="AP87" s="310" t="s">
        <v>27</v>
      </c>
      <c r="AQ87" s="386" t="s">
        <v>795</v>
      </c>
      <c r="AR87" s="312" t="s">
        <v>794</v>
      </c>
      <c r="AS87" s="310" t="s">
        <v>27</v>
      </c>
      <c r="AT87" s="310" t="s">
        <v>795</v>
      </c>
    </row>
    <row r="88" spans="2:96" ht="81.599999999999994" customHeight="1" x14ac:dyDescent="0.2">
      <c r="B88" s="16"/>
      <c r="C88" s="393" t="s">
        <v>76</v>
      </c>
      <c r="D88" s="393" t="s">
        <v>287</v>
      </c>
      <c r="E88" s="393" t="s">
        <v>80</v>
      </c>
      <c r="F88" s="393" t="s">
        <v>79</v>
      </c>
      <c r="G88" s="393" t="s">
        <v>81</v>
      </c>
      <c r="H88" s="393" t="s">
        <v>1076</v>
      </c>
      <c r="I88" s="393" t="s">
        <v>1280</v>
      </c>
      <c r="J88" s="393" t="s">
        <v>112</v>
      </c>
      <c r="K88" s="393" t="s">
        <v>113</v>
      </c>
      <c r="L88" s="393" t="s">
        <v>751</v>
      </c>
      <c r="M88" s="393" t="s">
        <v>1070</v>
      </c>
      <c r="N88" s="393" t="s">
        <v>1071</v>
      </c>
      <c r="O88" s="393" t="s">
        <v>1072</v>
      </c>
      <c r="P88" s="393" t="s">
        <v>1073</v>
      </c>
      <c r="Q88" s="393" t="s">
        <v>1074</v>
      </c>
      <c r="R88" s="393" t="s">
        <v>1075</v>
      </c>
      <c r="S88" s="518" t="s">
        <v>1536</v>
      </c>
      <c r="T88" s="552" t="s">
        <v>1567</v>
      </c>
      <c r="U88" s="552" t="s">
        <v>1537</v>
      </c>
      <c r="V88" s="552" t="s">
        <v>1538</v>
      </c>
      <c r="W88" s="552" t="s">
        <v>1539</v>
      </c>
      <c r="X88" s="552" t="s">
        <v>1628</v>
      </c>
      <c r="Y88" s="552" t="s">
        <v>1629</v>
      </c>
      <c r="Z88" s="552" t="s">
        <v>1630</v>
      </c>
      <c r="AA88" s="552" t="s">
        <v>1540</v>
      </c>
      <c r="AB88" s="552" t="s">
        <v>1541</v>
      </c>
      <c r="AC88" s="523" t="s">
        <v>1542</v>
      </c>
      <c r="AD88" s="393" t="s">
        <v>1543</v>
      </c>
      <c r="AE88" s="393" t="s">
        <v>1559</v>
      </c>
      <c r="AF88" s="393" t="s">
        <v>1544</v>
      </c>
      <c r="AG88" s="393" t="s">
        <v>1545</v>
      </c>
      <c r="AH88" s="393" t="s">
        <v>1546</v>
      </c>
      <c r="AI88" s="393" t="s">
        <v>1631</v>
      </c>
      <c r="AJ88" s="393" t="s">
        <v>1632</v>
      </c>
      <c r="AK88" s="393" t="s">
        <v>1633</v>
      </c>
      <c r="AL88" s="393" t="s">
        <v>1547</v>
      </c>
      <c r="AM88" s="393" t="s">
        <v>1548</v>
      </c>
      <c r="AN88" s="393" t="s">
        <v>1549</v>
      </c>
      <c r="AO88" s="518" t="s">
        <v>1550</v>
      </c>
      <c r="AP88" s="552" t="s">
        <v>1551</v>
      </c>
      <c r="AQ88" s="523" t="s">
        <v>1552</v>
      </c>
      <c r="AR88" s="393" t="s">
        <v>1553</v>
      </c>
      <c r="AS88" s="393" t="s">
        <v>1554</v>
      </c>
      <c r="AT88" s="393" t="s">
        <v>1555</v>
      </c>
    </row>
    <row r="89" spans="2:96" s="581" customFormat="1" ht="33.75" x14ac:dyDescent="0.2">
      <c r="B89" s="582"/>
      <c r="C89" s="622" t="s">
        <v>82</v>
      </c>
      <c r="D89" s="83" t="str">
        <f>INDEX(Tbl_MeasureList[],MATCH(Tbl_PD_MeasureSummary[[#This Row],[Measure ID]:[Measure ID]],Tbl_MeasureList[[Measure ID]:[Measure ID]],0),MATCH(Tbl_PD_MeasureSummary[[#Headers],[Baseline Equipment ID]],Tbl_MeasureList[#Headers],0))</f>
        <v>EQUI001</v>
      </c>
      <c r="E89" s="623" t="str">
        <f>INDEX(Tbl_MeasureList[],MATCH(Tbl_PD_MeasureSummary[[#This Row],[Measure ID]:[Measure ID]],Tbl_MeasureList[[Measure ID]:[Measure ID]],0),MATCH(Tbl_PD_MeasureSummary[[#Headers],[Replacement ID]],Tbl_MeasureList[#Headers],0))</f>
        <v>EQUI005</v>
      </c>
      <c r="F89" s="83" t="str">
        <f>INDEX(Tbl_MeasureList[],MATCH(Tbl_PD_MeasureSummary[[#This Row],[Measure ID]:[Measure ID]],Tbl_MeasureList[[Measure ID]:[Measure ID]],0),MATCH(Tbl_PD_MeasureSummary[[#Headers],[Baseline Name]],Tbl_MeasureList[#Headers],0))</f>
        <v>Baseline A/C Blend+Oil Furnace</v>
      </c>
      <c r="G89" s="623" t="str">
        <f>INDEX(Tbl_MeasureList[],MATCH(Tbl_PD_MeasureSummary[[#This Row],[Measure ID]:[Measure ID]],Tbl_MeasureList[[Measure ID]:[Measure ID]],0),MATCH(Tbl_PD_MeasureSummary[[#Headers],[Replacement Name]],Tbl_MeasureList[#Headers],0))</f>
        <v>Central HP+Oil Furnace</v>
      </c>
      <c r="H89" s="83" t="str">
        <f>INDEX(Tbl_MeasureList[],MATCH(Tbl_PD_MeasureSummary[[#This Row],[Measure ID]:[Measure ID]],Tbl_MeasureList[[Measure ID]:[Measure ID]],0),MATCH(Tbl_PD_MeasureSummary[[#Headers],[Baseline Name]],Tbl_MeasureList[#Headers],0))&amp;" to "&amp;INDEX(Tbl_MeasureList[],MATCH(Tbl_PD_MeasureSummary[[#This Row],[Measure ID]:[Measure ID]],Tbl_MeasureList[[Measure ID]:[Measure ID]],0),MATCH(Tbl_PD_MeasureSummary[[#Headers],[Replacement Name]],Tbl_MeasureList[#Headers],0))</f>
        <v>Baseline A/C Blend+Oil Furnace to Central HP+Oil Furnace</v>
      </c>
      <c r="I89" s="623">
        <f>INDEX(Tbl_MeasureList[],MATCH(Tbl_PD_MeasureSummary[[#This Row],[Measure ID]:[Measure ID]],Tbl_MeasureList[[Measure ID]:[Measure ID]],0),MATCH(Tbl_PD_MeasureSummary[[#Headers],[New Unit Equipment Life (years)]],Tbl_MeasureList[#Headers],0))</f>
        <v>17</v>
      </c>
      <c r="J89" s="83" t="str">
        <f>INDEX(Tbl_MeasureList[],MATCH(Tbl_PD_MeasureSummary[[#This Row],[Measure ID]:[Measure ID]],Tbl_MeasureList[[Measure ID]:[Measure ID]],0),MATCH(Tbl_PD_MeasureSummary[[#Headers],[Baseline Function]],Tbl_MeasureList[#Headers],0))</f>
        <v>Cool+Heat</v>
      </c>
      <c r="K89" s="623" t="str">
        <f>INDEX(Tbl_MeasureList[],MATCH(Tbl_PD_MeasureSummary[[#This Row],[Measure ID]:[Measure ID]],Tbl_MeasureList[[Measure ID]:[Measure ID]],0),MATCH(Tbl_PD_MeasureSummary[[#Headers],[Replacement Function]],Tbl_MeasureList[#Headers],0))</f>
        <v>Cool+Heat</v>
      </c>
      <c r="L89" s="83" t="str">
        <f>INDEX(Tbl_MeasureList[],MATCH(Tbl_PD_MeasureSummary[[#This Row],[Measure ID]:[Measure ID]],Tbl_MeasureList[[Measure ID]:[Measure ID]],0),MATCH(Tbl_PD_MeasureSummary[[#Headers],[Keep Existing Heating Equipment?]],Tbl_MeasureList[#Headers],0))</f>
        <v>Yes</v>
      </c>
      <c r="M89" s="624" t="str">
        <f>INDEX(Tbl_MeasureList[Baseline Fuel 1],MATCH(Tbl_PD_MeasureSummary[[#This Row],[Measure ID]],Tbl_MeasureList[Measure ID],0))&amp;
  IF(INDEX(Tbl_MeasureList[Baseline Fuel 2],MATCH(Tbl_PD_MeasureSummary[[#This Row],[Measure ID]],Tbl_MeasureList[Measure ID],0))&lt;&gt;"-",
       "+"&amp;INDEX(Tbl_MeasureList[Baseline Fuel 2],MATCH(Tbl_PD_MeasureSummary[[#This Row],[Measure ID]],Tbl_MeasureList[Measure ID],0)),"")</f>
        <v>Electric+Oil</v>
      </c>
      <c r="N89" s="625" t="str">
        <f>INDEX(Tbl_MeasureList[Replacement Fuel 1],MATCH(Tbl_PD_MeasureSummary[[#This Row],[Measure ID]],Tbl_MeasureList[Measure ID],0))&amp;
  IF(INDEX(Tbl_MeasureList[Replacement Fuel 2],MATCH(Tbl_PD_MeasureSummary[[#This Row],[Measure ID]],Tbl_MeasureList[Measure ID],0))&lt;&gt;"-",
       "+"&amp;INDEX(Tbl_MeasureList[Replacement Fuel 2],MATCH(Tbl_PD_MeasureSummary[[#This Row],[Measure ID]],Tbl_MeasureList[Measure ID],0)),"")</f>
        <v>Electric+Oil</v>
      </c>
      <c r="O89" s="626" t="str">
        <f>IF(Tbl_PD_MeasureSummary[[#This Row],[Baseline Fuel]]="Oil",INDEX(Tbl_EquipmentDefinitions[Oil Baseline Efficiency],MATCH(Tbl_PD_MeasureSummary[[#This Row],[Baseline Equipment ID]:[Baseline Equipment ID]],Tbl_EquipmentDefinitions[Equipment ID],0)),
  IF(Tbl_PD_MeasureSummary[[#This Row],[Baseline Fuel]]="Propane",INDEX(Tbl_EquipmentDefinitions[Propane Baseline Efficiency],MATCH(Tbl_PD_MeasureSummary[[#This Row],[Baseline Equipment ID]:[Baseline Equipment ID]],Tbl_EquipmentDefinitions[Equipment ID],0)),
  IF(Tbl_PD_MeasureSummary[[#This Row],[Baseline Fuel]]="Electric+Oil",
        INDEX(Tbl_EquipmentDefinitions[Electricity Baseline Efficiency],MATCH(Tbl_PD_MeasureSummary[[#This Row],[Baseline Equipment ID]:[Baseline Equipment ID]],Tbl_EquipmentDefinitions[Equipment ID],0))&amp;CHAR(10)&amp;
        INDEX(Tbl_EquipmentDefinitions[Oil Baseline Efficiency],MATCH(Tbl_PD_MeasureSummary[[#This Row],[Baseline Equipment ID]:[Baseline Equipment ID]],Tbl_EquipmentDefinitions[Equipment ID],0)),
  IF(Tbl_PD_MeasureSummary[[#This Row],[Baseline Fuel]]="Electric+Propane",
        INDEX(Tbl_EquipmentDefinitions[Electricity Baseline Efficiency],MATCH(Tbl_PD_MeasureSummary[[#This Row],[Baseline Equipment ID]:[Baseline Equipment ID]],Tbl_EquipmentDefinitions[Equipment ID],0))&amp;CHAR(10)&amp;
        INDEX(Tbl_EquipmentDefinitions[Propane Baseline Efficiency],MATCH(Tbl_PD_MeasureSummary[[#This Row],[Baseline Equipment ID]:[Baseline Equipment ID]],Tbl_EquipmentDefinitions[Equipment ID],0)),
  IF(Tbl_PD_MeasureSummary[[#This Row],[Baseline Fuel]]="Electric+Electric",INDEX(Tbl_EquipmentDefinitions[Electricity Baseline Efficiency],MATCH(Tbl_PD_MeasureSummary[[#This Row],[Baseline Equipment ID]:[Baseline Equipment ID]],Tbl_EquipmentDefinitions[Equipment ID],0)),
)))))</f>
        <v>CAC: 10 SEER/8.5 EER. 
Room A/C: 8 EER 
78% AFUE (78.9%)</v>
      </c>
      <c r="P89" s="627" t="str">
        <f>IF(Tbl_PD_MeasureSummary[[#This Row],[Baseline Fuel]]="Oil",INDEX(Tbl_EquipmentDefinitions[Oil Code Efficiency],MATCH(Tbl_PD_MeasureSummary[[#This Row],[Baseline Equipment ID]:[Baseline Equipment ID]],Tbl_EquipmentDefinitions[Equipment ID],0)),
  IF(Tbl_PD_MeasureSummary[[#This Row],[Baseline Fuel]]="Propane",INDEX(Tbl_EquipmentDefinitions[Propane Code Efficiency],MATCH(Tbl_PD_MeasureSummary[[#This Row],[Baseline Equipment ID]:[Baseline Equipment ID]],Tbl_EquipmentDefinitions[Equipment ID],0)),
  IF(Tbl_PD_MeasureSummary[[#This Row],[Baseline Fuel]]="Electric+Oil",
        INDEX(Tbl_EquipmentDefinitions[Electricity Code Efficiency],MATCH(Tbl_PD_MeasureSummary[[#This Row],[Baseline Equipment ID]:[Baseline Equipment ID]],Tbl_EquipmentDefinitions[Equipment ID],0))&amp;CHAR(10)&amp;
        INDEX(Tbl_EquipmentDefinitions[Oil Code Efficiency],MATCH(Tbl_PD_MeasureSummary[[#This Row],[Baseline Equipment ID]:[Baseline Equipment ID]],Tbl_EquipmentDefinitions[Equipment ID],0)),
  IF(Tbl_PD_MeasureSummary[[#This Row],[Baseline Fuel]]="Electric+Propane",
        INDEX(Tbl_EquipmentDefinitions[Electricity Code Efficiency],MATCH(Tbl_PD_MeasureSummary[[#This Row],[Baseline Equipment ID]:[Baseline Equipment ID]],Tbl_EquipmentDefinitions[Equipment ID],0))&amp;CHAR(10)&amp;
        INDEX(Tbl_EquipmentDefinitions[Propane Code Efficiency],MATCH(Tbl_PD_MeasureSummary[[#This Row],[Baseline Equipment ID]:[Baseline Equipment ID]],Tbl_EquipmentDefinitions[Equipment ID],0)),
  IF(Tbl_PD_MeasureSummary[[#This Row],[Baseline Fuel]]="Electric+Electric",INDEX(Tbl_EquipmentDefinitions[Electricity Code Efficiency],MATCH(Tbl_PD_MeasureSummary[[#This Row],[Baseline Equipment ID]:[Baseline Equipment ID]],Tbl_EquipmentDefinitions[Equipment ID],0)),
)))))</f>
        <v>CAC: 13 SEER/11 EER; 
Room A/C: 10 EER
83% AFUE</v>
      </c>
      <c r="Q89" s="626" t="str">
        <f>IF(Tbl_PD_MeasureSummary[[#This Row],[Replacement Fuel]]="Natural Gas",INDEX(Tbl_EquipmentDefinitions[Natural Gas Low Measure Efficiency],MATCH(Tbl_PD_MeasureSummary[[#This Row],[Replacement ID]:[Replacement ID]],Tbl_EquipmentDefinitions[Equipment ID],0)),
  IF(Tbl_PD_MeasureSummary[[#This Row],[Replacement Fuel]]="Electric",INDEX(Tbl_EquipmentDefinitions[Electricity Low Measure Efficiency],MATCH(Tbl_PD_MeasureSummary[[#This Row],[Replacement ID]:[Replacement ID]],Tbl_EquipmentDefinitions[Equipment ID],0)),
  IF(Tbl_PD_MeasureSummary[[#This Row],[Replacement Fuel]]="Electric+Oil",
        INDEX(Tbl_EquipmentDefinitions[Electricity Low Measure Efficiency],MATCH(Tbl_PD_MeasureSummary[[#This Row],[Replacement ID]:[Replacement ID]],Tbl_EquipmentDefinitions[Equipment ID],0))&amp;CHAR(10)&amp;
        INDEX(Tbl_EquipmentDefinitions[Oil Baseline Efficiency],MATCH(Tbl_PD_MeasureSummary[[#This Row],[Replacement ID]:[Replacement ID]],Tbl_EquipmentDefinitions[Equipment ID],0)),
  IF(Tbl_PD_MeasureSummary[[#This Row],[Replacement Fuel]]="Electric+Propane",
        INDEX(Tbl_EquipmentDefinitions[Electricity Low Measure Efficiency],MATCH(Tbl_PD_MeasureSummary[[#This Row],[Replacement ID]:[Replacement ID]],Tbl_EquipmentDefinitions[Equipment ID],0))&amp;CHAR(10)&amp;
        INDEX(Tbl_EquipmentDefinitions[Propane Baseline Efficiency],MATCH(Tbl_PD_MeasureSummary[[#This Row],[Replacement ID]:[Replacement ID]],Tbl_EquipmentDefinitions[Equipment ID],0)),
  IF(Tbl_PD_MeasureSummary[[#This Row],[Replacement Fuel]]="Electric+Electric",INDEX(Tbl_EquipmentDefinitions[Electricity Low Measure Efficiency],MATCH(Tbl_PD_MeasureSummary[[#This Row],[Replacement ID]:[Replacement ID]],Tbl_EquipmentDefinitions[Equipment ID],0)),
)))))</f>
        <v>16 SEER/8.5 HSPF
78% AFUE (78.9%)</v>
      </c>
      <c r="R89" s="628" t="str">
        <f>IF(Tbl_PD_MeasureSummary[[#This Row],[Replacement Fuel]]="Natural Gas",INDEX(Tbl_EquipmentDefinitions[Natural Gas High Measure Efficiency],MATCH(Tbl_PD_MeasureSummary[[#This Row],[Replacement ID]:[Replacement ID]],Tbl_EquipmentDefinitions[Equipment ID],0)),
  IF(Tbl_PD_MeasureSummary[[#This Row],[Replacement Fuel]]="Electric",INDEX(Tbl_EquipmentDefinitions[Electricity High Measure Efficiency],MATCH(Tbl_PD_MeasureSummary[[#This Row],[Replacement ID]:[Replacement ID]],Tbl_EquipmentDefinitions[Equipment ID],0)),
  IF(Tbl_PD_MeasureSummary[[#This Row],[Replacement Fuel]]="Electric+Oil",
        INDEX(Tbl_EquipmentDefinitions[Electricity High Measure Efficiency],MATCH(Tbl_PD_MeasureSummary[[#This Row],[Replacement ID]:[Replacement ID]],Tbl_EquipmentDefinitions[Equipment ID],0))&amp;CHAR(10)&amp;
        INDEX(Tbl_EquipmentDefinitions[Oil Baseline Efficiency],MATCH(Tbl_PD_MeasureSummary[[#This Row],[Replacement ID]:[Replacement ID]],Tbl_EquipmentDefinitions[Equipment ID],0)),
  IF(Tbl_PD_MeasureSummary[[#This Row],[Replacement Fuel]]="Electric+Propane",
        INDEX(Tbl_EquipmentDefinitions[Electricity High Measure Efficiency],MATCH(Tbl_PD_MeasureSummary[[#This Row],[Replacement ID]:[Replacement ID]],Tbl_EquipmentDefinitions[Equipment ID],0))&amp;CHAR(10)&amp;
        INDEX(Tbl_EquipmentDefinitions[Propane Baseline Efficiency],MATCH(Tbl_PD_MeasureSummary[[#This Row],[Replacement ID]:[Replacement ID]],Tbl_EquipmentDefinitions[Equipment ID],0)),
  IF(Tbl_PD_MeasureSummary[[#This Row],[Replacement Fuel]]="Electric+Electric",INDEX(Tbl_EquipmentDefinitions[Electricity High Measure Efficiency],MATCH(Tbl_PD_MeasureSummary[[#This Row],[Replacement ID]:[Replacement ID]],Tbl_EquipmentDefinitions[Equipment ID],0)),
)))))</f>
        <v>18 SEER/9.6 HSPF
78% AFUE (78.9%)</v>
      </c>
      <c r="S89" s="530">
        <f ca="1">INDEX(Tbl_MeasureList[],MATCH(Tbl_PD_MeasureSummary[[#This Row],[Measure ID]:[Measure ID]],Tbl_MeasureList[[Measure ID]:[Measure ID]],0),MATCH(S$97,Tbl_MeasureList[#Headers],0))</f>
        <v>325.84558727644117</v>
      </c>
      <c r="T89" s="438">
        <f ca="1">INDEX(Tbl_MeasureList[],MATCH(Tbl_PD_MeasureSummary[[#This Row],[Measure ID]:[Measure ID]],Tbl_MeasureList[[Measure ID]:[Measure ID]],0),MATCH(T$97,Tbl_MeasureList[#Headers],0))</f>
        <v>9375.8139248306015</v>
      </c>
      <c r="U89" s="554">
        <f ca="1">INDEX(Tbl_MeasureList[],MATCH(Tbl_PD_MeasureSummary[[#This Row],[Measure ID]:[Measure ID]],Tbl_MeasureList[[Measure ID]:[Measure ID]],0),MATCH(U$97,Tbl_MeasureList[#Headers],0))</f>
        <v>-3918.4707363090429</v>
      </c>
      <c r="V89" s="439">
        <f ca="1">INDEX(Tbl_MeasureList[],MATCH(Tbl_PD_MeasureSummary[[#This Row],[Measure ID]:[Measure ID]],Tbl_MeasureList[[Measure ID]:[Measure ID]],0),MATCH(V$97,Tbl_MeasureList[#Headers],0))</f>
        <v>-1.0366603124471265</v>
      </c>
      <c r="W89" s="555">
        <f ca="1">INDEX(Tbl_MeasureList[],MATCH(Tbl_PD_MeasureSummary[[#This Row],[Measure ID]:[Measure ID]],Tbl_MeasureList[[Measure ID]:[Measure ID]],0),MATCH(W$97,Tbl_MeasureList[#Headers],0))</f>
        <v>0.60974165912518852</v>
      </c>
      <c r="X89" s="660">
        <f ca="1">INDEX(Tbl_MeasureList[],MATCH(Tbl_PD_MeasureSummary[[#This Row],[Measure ID]:[Measure ID]],Tbl_MeasureList[[Measure ID]:[Measure ID]],0),MATCH(X$97,Tbl_MeasureList[#Headers],0))</f>
        <v>0</v>
      </c>
      <c r="Y89" s="556">
        <f ca="1">INDEX(Tbl_MeasureList[],MATCH(Tbl_PD_MeasureSummary[[#This Row],[Measure ID]:[Measure ID]],Tbl_MeasureList[[Measure ID]:[Measure ID]],0),MATCH(Y$97,Tbl_MeasureList[#Headers],0))</f>
        <v>0</v>
      </c>
      <c r="Z89" s="660">
        <f ca="1">INDEX(Tbl_MeasureList[],MATCH(Tbl_PD_MeasureSummary[[#This Row],[Measure ID]:[Measure ID]],Tbl_MeasureList[[Measure ID]:[Measure ID]],0),MATCH(Z$97,Tbl_MeasureList[#Headers],0))</f>
        <v>49.016523219579042</v>
      </c>
      <c r="AA89" s="556">
        <f ca="1">INDEX(Tbl_MeasureList[],MATCH(Tbl_PD_MeasureSummary[[#This Row],[Measure ID]:[Measure ID]],Tbl_MeasureList[[Measure ID]:[Measure ID]],0),MATCH(AA$97,Tbl_MeasureList[#Headers],0))</f>
        <v>35.646701067292589</v>
      </c>
      <c r="AB89" s="660">
        <f ca="1">INDEX(Tbl_MeasureList[],MATCH(Tbl_PD_MeasureSummary[[#This Row],[Measure ID]:[Measure ID]],Tbl_MeasureList[[Measure ID]:[Measure ID]],0),MATCH(AB$97,Tbl_MeasureList[#Headers],0))</f>
        <v>3.9531825976590502</v>
      </c>
      <c r="AC89" s="540">
        <f ca="1">INDEX(Tbl_MeasureList[],MATCH(Tbl_PD_MeasureSummary[[#This Row],[Measure ID]:[Measure ID]],Tbl_MeasureList[[Measure ID]:[Measure ID]],0),MATCH(AC$97,Tbl_MeasureList[#Headers],0))</f>
        <v>2.5693354724241493</v>
      </c>
      <c r="AD89" s="553">
        <f ca="1">INDEX(Tbl_MeasureList[],MATCH(Tbl_PD_MeasureSummary[[#This Row],[Measure ID]:[Measure ID]],Tbl_MeasureList[[Measure ID]:[Measure ID]],0),MATCH(AD$97,Tbl_MeasureList[#Headers],0))</f>
        <v>451.12060608284651</v>
      </c>
      <c r="AE89" s="394">
        <f ca="1">INDEX(Tbl_MeasureList[],MATCH(Tbl_PD_MeasureSummary[[#This Row],[Measure ID]:[Measure ID]],Tbl_MeasureList[[Measure ID]:[Measure ID]],0),MATCH(AE$97,Tbl_MeasureList[#Headers],0))</f>
        <v>10245.813924830602</v>
      </c>
      <c r="AF89" s="532">
        <f ca="1">INDEX(Tbl_MeasureList[],MATCH(Tbl_PD_MeasureSummary[[#This Row],[Measure ID]:[Measure ID]],Tbl_MeasureList[[Measure ID]:[Measure ID]],0),MATCH(AF$97,Tbl_MeasureList[#Headers],0))</f>
        <v>-3285.1288818782778</v>
      </c>
      <c r="AG89" s="396">
        <f ca="1">INDEX(Tbl_MeasureList[],MATCH(Tbl_PD_MeasureSummary[[#This Row],[Measure ID]:[Measure ID]],Tbl_MeasureList[[Measure ID]:[Measure ID]],0),MATCH(AG$97,Tbl_MeasureList[#Headers],0))</f>
        <v>-1.6300426653883033</v>
      </c>
      <c r="AH89" s="534">
        <f ca="1">INDEX(Tbl_MeasureList[],MATCH(Tbl_PD_MeasureSummary[[#This Row],[Measure ID]:[Measure ID]],Tbl_MeasureList[[Measure ID]:[Measure ID]],0),MATCH(AH$97,Tbl_MeasureList[#Headers],0))</f>
        <v>0.60974165912518852</v>
      </c>
      <c r="AI89" s="656">
        <f ca="1">INDEX(Tbl_MeasureList[],MATCH(Tbl_PD_MeasureSummary[[#This Row],[Measure ID]:[Measure ID]],Tbl_MeasureList[[Measure ID]:[Measure ID]],0),MATCH(AI$97,Tbl_MeasureList[#Headers],0))</f>
        <v>0</v>
      </c>
      <c r="AJ89" s="536">
        <f ca="1">INDEX(Tbl_MeasureList[],MATCH(Tbl_PD_MeasureSummary[[#This Row],[Measure ID]:[Measure ID]],Tbl_MeasureList[[Measure ID]:[Measure ID]],0),MATCH(AJ$97,Tbl_MeasureList[#Headers],0))</f>
        <v>0</v>
      </c>
      <c r="AK89" s="656">
        <f ca="1">INDEX(Tbl_MeasureList[],MATCH(Tbl_PD_MeasureSummary[[#This Row],[Measure ID]:[Measure ID]],Tbl_MeasureList[[Measure ID]:[Measure ID]],0),MATCH(AK$97,Tbl_MeasureList[#Headers],0))</f>
        <v>49.016523219579042</v>
      </c>
      <c r="AL89" s="661">
        <f ca="1">INDEX(Tbl_MeasureList[],MATCH(Tbl_PD_MeasureSummary[[#This Row],[Measure ID]:[Measure ID]],Tbl_MeasureList[[Measure ID]:[Measure ID]],0),MATCH(AL$97,Tbl_MeasureList[#Headers],0))</f>
        <v>37.807663474610358</v>
      </c>
      <c r="AM89" s="656">
        <f ca="1">INDEX(Tbl_MeasureList[],MATCH(Tbl_PD_MeasureSummary[[#This Row],[Measure ID]:[Measure ID]],Tbl_MeasureList[[Measure ID]:[Measure ID]],0),MATCH(AM$97,Tbl_MeasureList[#Headers],0))</f>
        <v>3.9531825976590502</v>
      </c>
      <c r="AN89" s="662">
        <f ca="1">INDEX(Tbl_MeasureList[],MATCH(Tbl_PD_MeasureSummary[[#This Row],[Measure ID]:[Measure ID]],Tbl_MeasureList[[Measure ID]:[Measure ID]],0),MATCH(AN$97,Tbl_MeasureList[#Headers],0))</f>
        <v>2.7930064817349178</v>
      </c>
      <c r="AO89" s="538">
        <f ca="1">INDEX(Tbl_MeasureList[],MATCH(Tbl_PD_MeasureSummary[[#This Row],[Measure ID]:[Measure ID]],Tbl_MeasureList[[Measure ID]:[Measure ID]],0),MATCH(AO$97,Tbl_MeasureList[#Headers],0))</f>
        <v>-37.8348471635613</v>
      </c>
      <c r="AP89" s="440">
        <f ca="1">INDEX(Tbl_MeasureList[],MATCH(Tbl_PD_MeasureSummary[[#This Row],[Measure ID]:[Measure ID]],Tbl_MeasureList[[Measure ID]:[Measure ID]],0),MATCH(AP$97,Tbl_MeasureList[#Headers],0))</f>
        <v>351.734337772179</v>
      </c>
      <c r="AQ89" s="541">
        <f ca="1">INDEX(Tbl_MeasureList[],MATCH(Tbl_PD_MeasureSummary[[#This Row],[Measure ID]:[Measure ID]],Tbl_MeasureList[[Measure ID]:[Measure ID]],0),MATCH(AQ$97,Tbl_MeasureList[#Headers],0))</f>
        <v>-15.582988388893966</v>
      </c>
      <c r="AR89" s="551">
        <f ca="1">INDEX(Tbl_MeasureList[],MATCH(Tbl_PD_MeasureSummary[[#This Row],[Measure ID]:[Measure ID]],Tbl_MeasureList[[Measure ID]:[Measure ID]],0),MATCH(AR$97,Tbl_MeasureList[#Headers],0))</f>
        <v>-31.719606326712388</v>
      </c>
      <c r="AS89" s="536">
        <f ca="1">INDEX(Tbl_MeasureList[],MATCH(Tbl_PD_MeasureSummary[[#This Row],[Measure ID]:[Measure ID]],Tbl_MeasureList[[Measure ID]:[Measure ID]],0),MATCH(AS$97,Tbl_MeasureList[#Headers],0))</f>
        <v>352.31612088047893</v>
      </c>
      <c r="AT89" s="398">
        <f ca="1">INDEX(Tbl_MeasureList[],MATCH(Tbl_PD_MeasureSummary[[#This Row],[Measure ID]:[Measure ID]],Tbl_MeasureList[[Measure ID]:[Measure ID]],0),MATCH(AT$97,Tbl_MeasureList[#Headers],0))</f>
        <v>-13.064312245074779</v>
      </c>
    </row>
    <row r="90" spans="2:96" s="581" customFormat="1" ht="33.75" x14ac:dyDescent="0.2">
      <c r="B90" s="582"/>
      <c r="C90" s="622" t="s">
        <v>83</v>
      </c>
      <c r="D90" s="83" t="str">
        <f>INDEX(Tbl_MeasureList[],MATCH(Tbl_PD_MeasureSummary[[#This Row],[Measure ID]:[Measure ID]],Tbl_MeasureList[[Measure ID]:[Measure ID]],0),MATCH(Tbl_PD_MeasureSummary[[#Headers],[Baseline Equipment ID]],Tbl_MeasureList[#Headers],0))</f>
        <v>EQUI002</v>
      </c>
      <c r="E90" s="623" t="str">
        <f>INDEX(Tbl_MeasureList[],MATCH(Tbl_PD_MeasureSummary[[#This Row],[Measure ID]:[Measure ID]],Tbl_MeasureList[[Measure ID]:[Measure ID]],0),MATCH(Tbl_PD_MeasureSummary[[#Headers],[Replacement ID]],Tbl_MeasureList[#Headers],0))</f>
        <v>EQUI006</v>
      </c>
      <c r="F90" s="83" t="str">
        <f>INDEX(Tbl_MeasureList[],MATCH(Tbl_PD_MeasureSummary[[#This Row],[Measure ID]:[Measure ID]],Tbl_MeasureList[[Measure ID]:[Measure ID]],0),MATCH(Tbl_PD_MeasureSummary[[#Headers],[Baseline Name]],Tbl_MeasureList[#Headers],0))</f>
        <v>Baseline A/C Blend+Propane Furnace</v>
      </c>
      <c r="G90" s="623" t="str">
        <f>INDEX(Tbl_MeasureList[],MATCH(Tbl_PD_MeasureSummary[[#This Row],[Measure ID]:[Measure ID]],Tbl_MeasureList[[Measure ID]:[Measure ID]],0),MATCH(Tbl_PD_MeasureSummary[[#Headers],[Replacement Name]],Tbl_MeasureList[#Headers],0))</f>
        <v>Central HP+Propane Furnace</v>
      </c>
      <c r="H90" s="83" t="str">
        <f>INDEX(Tbl_MeasureList[],MATCH(Tbl_PD_MeasureSummary[[#This Row],[Measure ID]:[Measure ID]],Tbl_MeasureList[[Measure ID]:[Measure ID]],0),MATCH(Tbl_PD_MeasureSummary[[#Headers],[Baseline Name]],Tbl_MeasureList[#Headers],0))&amp;" to "&amp;INDEX(Tbl_MeasureList[],MATCH(Tbl_PD_MeasureSummary[[#This Row],[Measure ID]:[Measure ID]],Tbl_MeasureList[[Measure ID]:[Measure ID]],0),MATCH(Tbl_PD_MeasureSummary[[#Headers],[Replacement Name]],Tbl_MeasureList[#Headers],0))</f>
        <v>Baseline A/C Blend+Propane Furnace to Central HP+Propane Furnace</v>
      </c>
      <c r="I90" s="623">
        <f>INDEX(Tbl_MeasureList[],MATCH(Tbl_PD_MeasureSummary[[#This Row],[Measure ID]:[Measure ID]],Tbl_MeasureList[[Measure ID]:[Measure ID]],0),MATCH(Tbl_PD_MeasureSummary[[#Headers],[New Unit Equipment Life (years)]],Tbl_MeasureList[#Headers],0))</f>
        <v>17</v>
      </c>
      <c r="J90" s="83" t="str">
        <f>INDEX(Tbl_MeasureList[],MATCH(Tbl_PD_MeasureSummary[[#This Row],[Measure ID]:[Measure ID]],Tbl_MeasureList[[Measure ID]:[Measure ID]],0),MATCH(Tbl_PD_MeasureSummary[[#Headers],[Baseline Function]],Tbl_MeasureList[#Headers],0))</f>
        <v>Cool+Heat</v>
      </c>
      <c r="K90" s="623" t="str">
        <f>INDEX(Tbl_MeasureList[],MATCH(Tbl_PD_MeasureSummary[[#This Row],[Measure ID]:[Measure ID]],Tbl_MeasureList[[Measure ID]:[Measure ID]],0),MATCH(Tbl_PD_MeasureSummary[[#Headers],[Replacement Function]],Tbl_MeasureList[#Headers],0))</f>
        <v>Cool+Heat</v>
      </c>
      <c r="L90" s="83" t="str">
        <f>INDEX(Tbl_MeasureList[],MATCH(Tbl_PD_MeasureSummary[[#This Row],[Measure ID]:[Measure ID]],Tbl_MeasureList[[Measure ID]:[Measure ID]],0),MATCH(Tbl_PD_MeasureSummary[[#Headers],[Keep Existing Heating Equipment?]],Tbl_MeasureList[#Headers],0))</f>
        <v>Yes</v>
      </c>
      <c r="M90" s="624" t="str">
        <f>INDEX(Tbl_MeasureList[Baseline Fuel 1],MATCH(Tbl_PD_MeasureSummary[[#This Row],[Measure ID]],Tbl_MeasureList[Measure ID],0))&amp;
  IF(INDEX(Tbl_MeasureList[Baseline Fuel 2],MATCH(Tbl_PD_MeasureSummary[[#This Row],[Measure ID]],Tbl_MeasureList[Measure ID],0))&lt;&gt;"-",
       "+"&amp;INDEX(Tbl_MeasureList[Baseline Fuel 2],MATCH(Tbl_PD_MeasureSummary[[#This Row],[Measure ID]],Tbl_MeasureList[Measure ID],0)),"")</f>
        <v>Electric+Propane</v>
      </c>
      <c r="N90" s="625" t="str">
        <f>INDEX(Tbl_MeasureList[Replacement Fuel 1],MATCH(Tbl_PD_MeasureSummary[[#This Row],[Measure ID]],Tbl_MeasureList[Measure ID],0))&amp;
  IF(INDEX(Tbl_MeasureList[Replacement Fuel 2],MATCH(Tbl_PD_MeasureSummary[[#This Row],[Measure ID]],Tbl_MeasureList[Measure ID],0))&lt;&gt;"-",
       "+"&amp;INDEX(Tbl_MeasureList[Replacement Fuel 2],MATCH(Tbl_PD_MeasureSummary[[#This Row],[Measure ID]],Tbl_MeasureList[Measure ID],0)),"")</f>
        <v>Electric+Propane</v>
      </c>
      <c r="O90" s="626" t="str">
        <f>IF(Tbl_PD_MeasureSummary[[#This Row],[Baseline Fuel]]="Oil",INDEX(Tbl_EquipmentDefinitions[Oil Baseline Efficiency],MATCH(Tbl_PD_MeasureSummary[[#This Row],[Baseline Equipment ID]:[Baseline Equipment ID]],Tbl_EquipmentDefinitions[Equipment ID],0)),
  IF(Tbl_PD_MeasureSummary[[#This Row],[Baseline Fuel]]="Propane",INDEX(Tbl_EquipmentDefinitions[Propane Baseline Efficiency],MATCH(Tbl_PD_MeasureSummary[[#This Row],[Baseline Equipment ID]:[Baseline Equipment ID]],Tbl_EquipmentDefinitions[Equipment ID],0)),
  IF(Tbl_PD_MeasureSummary[[#This Row],[Baseline Fuel]]="Electric+Oil",
        INDEX(Tbl_EquipmentDefinitions[Electricity Baseline Efficiency],MATCH(Tbl_PD_MeasureSummary[[#This Row],[Baseline Equipment ID]:[Baseline Equipment ID]],Tbl_EquipmentDefinitions[Equipment ID],0))&amp;CHAR(10)&amp;
        INDEX(Tbl_EquipmentDefinitions[Oil Baseline Efficiency],MATCH(Tbl_PD_MeasureSummary[[#This Row],[Baseline Equipment ID]:[Baseline Equipment ID]],Tbl_EquipmentDefinitions[Equipment ID],0)),
  IF(Tbl_PD_MeasureSummary[[#This Row],[Baseline Fuel]]="Electric+Propane",
        INDEX(Tbl_EquipmentDefinitions[Electricity Baseline Efficiency],MATCH(Tbl_PD_MeasureSummary[[#This Row],[Baseline Equipment ID]:[Baseline Equipment ID]],Tbl_EquipmentDefinitions[Equipment ID],0))&amp;CHAR(10)&amp;
        INDEX(Tbl_EquipmentDefinitions[Propane Baseline Efficiency],MATCH(Tbl_PD_MeasureSummary[[#This Row],[Baseline Equipment ID]:[Baseline Equipment ID]],Tbl_EquipmentDefinitions[Equipment ID],0)),
  IF(Tbl_PD_MeasureSummary[[#This Row],[Baseline Fuel]]="Electric+Electric",INDEX(Tbl_EquipmentDefinitions[Electricity Baseline Efficiency],MATCH(Tbl_PD_MeasureSummary[[#This Row],[Baseline Equipment ID]:[Baseline Equipment ID]],Tbl_EquipmentDefinitions[Equipment ID],0)),
)))))</f>
        <v>CAC: 10 SEER/8.5 EER; 
Room A/C: 8 EER 
78% AFUE (78.9%)</v>
      </c>
      <c r="P90" s="627" t="str">
        <f>IF(Tbl_PD_MeasureSummary[[#This Row],[Baseline Fuel]]="Oil",INDEX(Tbl_EquipmentDefinitions[Oil Code Efficiency],MATCH(Tbl_PD_MeasureSummary[[#This Row],[Baseline Equipment ID]:[Baseline Equipment ID]],Tbl_EquipmentDefinitions[Equipment ID],0)),
  IF(Tbl_PD_MeasureSummary[[#This Row],[Baseline Fuel]]="Propane",INDEX(Tbl_EquipmentDefinitions[Propane Code Efficiency],MATCH(Tbl_PD_MeasureSummary[[#This Row],[Baseline Equipment ID]:[Baseline Equipment ID]],Tbl_EquipmentDefinitions[Equipment ID],0)),
  IF(Tbl_PD_MeasureSummary[[#This Row],[Baseline Fuel]]="Electric+Oil",
        INDEX(Tbl_EquipmentDefinitions[Electricity Code Efficiency],MATCH(Tbl_PD_MeasureSummary[[#This Row],[Baseline Equipment ID]:[Baseline Equipment ID]],Tbl_EquipmentDefinitions[Equipment ID],0))&amp;CHAR(10)&amp;
        INDEX(Tbl_EquipmentDefinitions[Oil Code Efficiency],MATCH(Tbl_PD_MeasureSummary[[#This Row],[Baseline Equipment ID]:[Baseline Equipment ID]],Tbl_EquipmentDefinitions[Equipment ID],0)),
  IF(Tbl_PD_MeasureSummary[[#This Row],[Baseline Fuel]]="Electric+Propane",
        INDEX(Tbl_EquipmentDefinitions[Electricity Code Efficiency],MATCH(Tbl_PD_MeasureSummary[[#This Row],[Baseline Equipment ID]:[Baseline Equipment ID]],Tbl_EquipmentDefinitions[Equipment ID],0))&amp;CHAR(10)&amp;
        INDEX(Tbl_EquipmentDefinitions[Propane Code Efficiency],MATCH(Tbl_PD_MeasureSummary[[#This Row],[Baseline Equipment ID]:[Baseline Equipment ID]],Tbl_EquipmentDefinitions[Equipment ID],0)),
  IF(Tbl_PD_MeasureSummary[[#This Row],[Baseline Fuel]]="Electric+Electric",INDEX(Tbl_EquipmentDefinitions[Electricity Code Efficiency],MATCH(Tbl_PD_MeasureSummary[[#This Row],[Baseline Equipment ID]:[Baseline Equipment ID]],Tbl_EquipmentDefinitions[Equipment ID],0)),
)))))</f>
        <v>CAC: 13 SEER/11 EER; 
Room A/C: 10 EER
85% AFUE</v>
      </c>
      <c r="Q90" s="626" t="str">
        <f>IF(Tbl_PD_MeasureSummary[[#This Row],[Replacement Fuel]]="Natural Gas",INDEX(Tbl_EquipmentDefinitions[Natural Gas Low Measure Efficiency],MATCH(Tbl_PD_MeasureSummary[[#This Row],[Replacement ID]:[Replacement ID]],Tbl_EquipmentDefinitions[Equipment ID],0)),
  IF(Tbl_PD_MeasureSummary[[#This Row],[Replacement Fuel]]="Electric",INDEX(Tbl_EquipmentDefinitions[Electricity Low Measure Efficiency],MATCH(Tbl_PD_MeasureSummary[[#This Row],[Replacement ID]:[Replacement ID]],Tbl_EquipmentDefinitions[Equipment ID],0)),
  IF(Tbl_PD_MeasureSummary[[#This Row],[Replacement Fuel]]="Electric+Oil",
        INDEX(Tbl_EquipmentDefinitions[Electricity Low Measure Efficiency],MATCH(Tbl_PD_MeasureSummary[[#This Row],[Replacement ID]:[Replacement ID]],Tbl_EquipmentDefinitions[Equipment ID],0))&amp;CHAR(10)&amp;
        INDEX(Tbl_EquipmentDefinitions[Oil Baseline Efficiency],MATCH(Tbl_PD_MeasureSummary[[#This Row],[Replacement ID]:[Replacement ID]],Tbl_EquipmentDefinitions[Equipment ID],0)),
  IF(Tbl_PD_MeasureSummary[[#This Row],[Replacement Fuel]]="Electric+Propane",
        INDEX(Tbl_EquipmentDefinitions[Electricity Low Measure Efficiency],MATCH(Tbl_PD_MeasureSummary[[#This Row],[Replacement ID]:[Replacement ID]],Tbl_EquipmentDefinitions[Equipment ID],0))&amp;CHAR(10)&amp;
        INDEX(Tbl_EquipmentDefinitions[Propane Baseline Efficiency],MATCH(Tbl_PD_MeasureSummary[[#This Row],[Replacement ID]:[Replacement ID]],Tbl_EquipmentDefinitions[Equipment ID],0)),
  IF(Tbl_PD_MeasureSummary[[#This Row],[Replacement Fuel]]="Electric+Electric",INDEX(Tbl_EquipmentDefinitions[Electricity Low Measure Efficiency],MATCH(Tbl_PD_MeasureSummary[[#This Row],[Replacement ID]:[Replacement ID]],Tbl_EquipmentDefinitions[Equipment ID],0)),
)))))</f>
        <v>16 SEER/8.5 HSPF
78% AFUE (78.9%)</v>
      </c>
      <c r="R90" s="628" t="str">
        <f>IF(Tbl_PD_MeasureSummary[[#This Row],[Replacement Fuel]]="Natural Gas",INDEX(Tbl_EquipmentDefinitions[Natural Gas High Measure Efficiency],MATCH(Tbl_PD_MeasureSummary[[#This Row],[Replacement ID]:[Replacement ID]],Tbl_EquipmentDefinitions[Equipment ID],0)),
  IF(Tbl_PD_MeasureSummary[[#This Row],[Replacement Fuel]]="Electric",INDEX(Tbl_EquipmentDefinitions[Electricity High Measure Efficiency],MATCH(Tbl_PD_MeasureSummary[[#This Row],[Replacement ID]:[Replacement ID]],Tbl_EquipmentDefinitions[Equipment ID],0)),
  IF(Tbl_PD_MeasureSummary[[#This Row],[Replacement Fuel]]="Electric+Oil",
        INDEX(Tbl_EquipmentDefinitions[Electricity High Measure Efficiency],MATCH(Tbl_PD_MeasureSummary[[#This Row],[Replacement ID]:[Replacement ID]],Tbl_EquipmentDefinitions[Equipment ID],0))&amp;CHAR(10)&amp;
        INDEX(Tbl_EquipmentDefinitions[Oil Baseline Efficiency],MATCH(Tbl_PD_MeasureSummary[[#This Row],[Replacement ID]:[Replacement ID]],Tbl_EquipmentDefinitions[Equipment ID],0)),
  IF(Tbl_PD_MeasureSummary[[#This Row],[Replacement Fuel]]="Electric+Propane",
        INDEX(Tbl_EquipmentDefinitions[Electricity High Measure Efficiency],MATCH(Tbl_PD_MeasureSummary[[#This Row],[Replacement ID]:[Replacement ID]],Tbl_EquipmentDefinitions[Equipment ID],0))&amp;CHAR(10)&amp;
        INDEX(Tbl_EquipmentDefinitions[Propane Baseline Efficiency],MATCH(Tbl_PD_MeasureSummary[[#This Row],[Replacement ID]:[Replacement ID]],Tbl_EquipmentDefinitions[Equipment ID],0)),
  IF(Tbl_PD_MeasureSummary[[#This Row],[Replacement Fuel]]="Electric+Electric",INDEX(Tbl_EquipmentDefinitions[Electricity High Measure Efficiency],MATCH(Tbl_PD_MeasureSummary[[#This Row],[Replacement ID]:[Replacement ID]],Tbl_EquipmentDefinitions[Equipment ID],0)),
)))))</f>
        <v>18 SEER/9.6 HSPF
78% AFUE (78.9%)</v>
      </c>
      <c r="S90" s="530">
        <f ca="1">INDEX(Tbl_MeasureList[],MATCH(Tbl_PD_MeasureSummary[[#This Row],[Measure ID]:[Measure ID]],Tbl_MeasureList[[Measure ID]:[Measure ID]],0),MATCH(S$97,Tbl_MeasureList[#Headers],0))</f>
        <v>1307.586799119762</v>
      </c>
      <c r="T90" s="438">
        <f ca="1">INDEX(Tbl_MeasureList[],MATCH(Tbl_PD_MeasureSummary[[#This Row],[Measure ID]:[Measure ID]],Tbl_MeasureList[[Measure ID]:[Measure ID]],0),MATCH(T$97,Tbl_MeasureList[#Headers],0))</f>
        <v>9375.8139248306015</v>
      </c>
      <c r="U90" s="554">
        <f ca="1">INDEX(Tbl_MeasureList[],MATCH(Tbl_PD_MeasureSummary[[#This Row],[Measure ID]:[Measure ID]],Tbl_MeasureList[[Measure ID]:[Measure ID]],0),MATCH(U$97,Tbl_MeasureList[#Headers],0))</f>
        <v>-5896.6542357205735</v>
      </c>
      <c r="V90" s="439">
        <f ca="1">INDEX(Tbl_MeasureList[],MATCH(Tbl_PD_MeasureSummary[[#This Row],[Measure ID]:[Measure ID]],Tbl_MeasureList[[Measure ID]:[Measure ID]],0),MATCH(V$97,Tbl_MeasureList[#Headers],0))</f>
        <v>-1.0366603124471265</v>
      </c>
      <c r="W90" s="555">
        <f ca="1">INDEX(Tbl_MeasureList[],MATCH(Tbl_PD_MeasureSummary[[#This Row],[Measure ID]:[Measure ID]],Tbl_MeasureList[[Measure ID]:[Measure ID]],0),MATCH(W$97,Tbl_MeasureList[#Headers],0))</f>
        <v>0.60974165912518852</v>
      </c>
      <c r="X90" s="660">
        <f ca="1">INDEX(Tbl_MeasureList[],MATCH(Tbl_PD_MeasureSummary[[#This Row],[Measure ID]:[Measure ID]],Tbl_MeasureList[[Measure ID]:[Measure ID]],0),MATCH(X$97,Tbl_MeasureList[#Headers],0))</f>
        <v>0</v>
      </c>
      <c r="Y90" s="556">
        <f ca="1">INDEX(Tbl_MeasureList[],MATCH(Tbl_PD_MeasureSummary[[#This Row],[Measure ID]:[Measure ID]],Tbl_MeasureList[[Measure ID]:[Measure ID]],0),MATCH(Y$97,Tbl_MeasureList[#Headers],0))</f>
        <v>68.825104879480449</v>
      </c>
      <c r="Z90" s="660">
        <f ca="1">INDEX(Tbl_MeasureList[],MATCH(Tbl_PD_MeasureSummary[[#This Row],[Measure ID]:[Measure ID]],Tbl_MeasureList[[Measure ID]:[Measure ID]],0),MATCH(Z$97,Tbl_MeasureList[#Headers],0))</f>
        <v>0</v>
      </c>
      <c r="AA90" s="556">
        <f ca="1">INDEX(Tbl_MeasureList[],MATCH(Tbl_PD_MeasureSummary[[#This Row],[Measure ID]:[Measure ID]],Tbl_MeasureList[[Measure ID]:[Measure ID]],0),MATCH(AA$97,Tbl_MeasureList[#Headers],0))</f>
        <v>48.705720627201856</v>
      </c>
      <c r="AB90" s="660">
        <f ca="1">INDEX(Tbl_MeasureList[],MATCH(Tbl_PD_MeasureSummary[[#This Row],[Measure ID]:[Measure ID]],Tbl_MeasureList[[Measure ID]:[Measure ID]],0),MATCH(AB$97,Tbl_MeasureList[#Headers],0))</f>
        <v>4.7833447891238912</v>
      </c>
      <c r="AC90" s="540">
        <f ca="1">INDEX(Tbl_MeasureList[],MATCH(Tbl_PD_MeasureSummary[[#This Row],[Measure ID]:[Measure ID]],Tbl_MeasureList[[Measure ID]:[Measure ID]],0),MATCH(AC$97,Tbl_MeasureList[#Headers],0))</f>
        <v>2.7008823792368131</v>
      </c>
      <c r="AD90" s="553">
        <f ca="1">INDEX(Tbl_MeasureList[],MATCH(Tbl_PD_MeasureSummary[[#This Row],[Measure ID]:[Measure ID]],Tbl_MeasureList[[Measure ID]:[Measure ID]],0),MATCH(AD$97,Tbl_MeasureList[#Headers],0))</f>
        <v>1479.6393117666262</v>
      </c>
      <c r="AE90" s="394">
        <f ca="1">INDEX(Tbl_MeasureList[],MATCH(Tbl_PD_MeasureSummary[[#This Row],[Measure ID]:[Measure ID]],Tbl_MeasureList[[Measure ID]:[Measure ID]],0),MATCH(AE$97,Tbl_MeasureList[#Headers],0))</f>
        <v>10245.813924830602</v>
      </c>
      <c r="AF90" s="532">
        <f ca="1">INDEX(Tbl_MeasureList[],MATCH(Tbl_PD_MeasureSummary[[#This Row],[Measure ID]:[Measure ID]],Tbl_MeasureList[[Measure ID]:[Measure ID]],0),MATCH(AF$97,Tbl_MeasureList[#Headers],0))</f>
        <v>-5026.8235347758609</v>
      </c>
      <c r="AG90" s="396">
        <f ca="1">INDEX(Tbl_MeasureList[],MATCH(Tbl_PD_MeasureSummary[[#This Row],[Measure ID]:[Measure ID]],Tbl_MeasureList[[Measure ID]:[Measure ID]],0),MATCH(AG$97,Tbl_MeasureList[#Headers],0))</f>
        <v>-1.6300426653883033</v>
      </c>
      <c r="AH90" s="534">
        <f ca="1">INDEX(Tbl_MeasureList[],MATCH(Tbl_PD_MeasureSummary[[#This Row],[Measure ID]:[Measure ID]],Tbl_MeasureList[[Measure ID]:[Measure ID]],0),MATCH(AH$97,Tbl_MeasureList[#Headers],0))</f>
        <v>0.60974165912518852</v>
      </c>
      <c r="AI90" s="656">
        <f ca="1">INDEX(Tbl_MeasureList[],MATCH(Tbl_PD_MeasureSummary[[#This Row],[Measure ID]:[Measure ID]],Tbl_MeasureList[[Measure ID]:[Measure ID]],0),MATCH(AI$97,Tbl_MeasureList[#Headers],0))</f>
        <v>0</v>
      </c>
      <c r="AJ90" s="536">
        <f ca="1">INDEX(Tbl_MeasureList[],MATCH(Tbl_PD_MeasureSummary[[#This Row],[Measure ID]:[Measure ID]],Tbl_MeasureList[[Measure ID]:[Measure ID]],0),MATCH(AJ$97,Tbl_MeasureList[#Headers],0))</f>
        <v>68.825104879480449</v>
      </c>
      <c r="AK90" s="656">
        <f ca="1">INDEX(Tbl_MeasureList[],MATCH(Tbl_PD_MeasureSummary[[#This Row],[Measure ID]:[Measure ID]],Tbl_MeasureList[[Measure ID]:[Measure ID]],0),MATCH(AK$97,Tbl_MeasureList[#Headers],0))</f>
        <v>0</v>
      </c>
      <c r="AL90" s="661">
        <f ca="1">INDEX(Tbl_MeasureList[],MATCH(Tbl_PD_MeasureSummary[[#This Row],[Measure ID]:[Measure ID]],Tbl_MeasureList[[Measure ID]:[Measure ID]],0),MATCH(AL$97,Tbl_MeasureList[#Headers],0))</f>
        <v>51.673582978825209</v>
      </c>
      <c r="AM90" s="656">
        <f ca="1">INDEX(Tbl_MeasureList[],MATCH(Tbl_PD_MeasureSummary[[#This Row],[Measure ID]:[Measure ID]],Tbl_MeasureList[[Measure ID]:[Measure ID]],0),MATCH(AM$97,Tbl_MeasureList[#Headers],0))</f>
        <v>4.7833447891238912</v>
      </c>
      <c r="AN90" s="662">
        <f ca="1">INDEX(Tbl_MeasureList[],MATCH(Tbl_PD_MeasureSummary[[#This Row],[Measure ID]:[Measure ID]],Tbl_MeasureList[[Measure ID]:[Measure ID]],0),MATCH(AN$97,Tbl_MeasureList[#Headers],0))</f>
        <v>3.008071789582448</v>
      </c>
      <c r="AO90" s="538">
        <f ca="1">INDEX(Tbl_MeasureList[],MATCH(Tbl_PD_MeasureSummary[[#This Row],[Measure ID]:[Measure ID]],Tbl_MeasureList[[Measure ID]:[Measure ID]],0),MATCH(AO$97,Tbl_MeasureList[#Headers],0))</f>
        <v>-56.935224682831176</v>
      </c>
      <c r="AP90" s="440">
        <f ca="1">INDEX(Tbl_MeasureList[],MATCH(Tbl_PD_MeasureSummary[[#This Row],[Measure ID]:[Measure ID]],Tbl_MeasureList[[Measure ID]:[Measure ID]],0),MATCH(AP$97,Tbl_MeasureList[#Headers],0))</f>
        <v>-5.4166226435656606</v>
      </c>
      <c r="AQ90" s="541">
        <f ca="1">INDEX(Tbl_MeasureList[],MATCH(Tbl_PD_MeasureSummary[[#This Row],[Measure ID]:[Measure ID]],Tbl_MeasureList[[Measure ID]:[Measure ID]],0),MATCH(AQ$97,Tbl_MeasureList[#Headers],0))</f>
        <v>-23.449835579251626</v>
      </c>
      <c r="AR90" s="551">
        <f ca="1">INDEX(Tbl_MeasureList[],MATCH(Tbl_PD_MeasureSummary[[#This Row],[Measure ID]:[Measure ID]],Tbl_MeasureList[[Measure ID]:[Measure ID]],0),MATCH(AR$97,Tbl_MeasureList[#Headers],0))</f>
        <v>-48.53656259165637</v>
      </c>
      <c r="AS90" s="536">
        <f ca="1">INDEX(Tbl_MeasureList[],MATCH(Tbl_PD_MeasureSummary[[#This Row],[Measure ID]:[Measure ID]],Tbl_MeasureList[[Measure ID]:[Measure ID]],0),MATCH(AS$97,Tbl_MeasureList[#Headers],0))</f>
        <v>-4.6176026429924084</v>
      </c>
      <c r="AT90" s="398">
        <f ca="1">INDEX(Tbl_MeasureList[],MATCH(Tbl_PD_MeasureSummary[[#This Row],[Measure ID]:[Measure ID]],Tbl_MeasureList[[Measure ID]:[Measure ID]],0),MATCH(AT$97,Tbl_MeasureList[#Headers],0))</f>
        <v>-19.990689747811142</v>
      </c>
    </row>
    <row r="91" spans="2:96" s="581" customFormat="1" ht="22.5" x14ac:dyDescent="0.2">
      <c r="B91" s="582"/>
      <c r="C91" s="622" t="s">
        <v>90</v>
      </c>
      <c r="D91" s="83" t="str">
        <f>INDEX(Tbl_MeasureList[],MATCH(Tbl_PD_MeasureSummary[[#This Row],[Measure ID]:[Measure ID]],Tbl_MeasureList[[Measure ID]:[Measure ID]],0),MATCH(Tbl_PD_MeasureSummary[[#Headers],[Baseline Equipment ID]],Tbl_MeasureList[#Headers],0))</f>
        <v>EQUI036</v>
      </c>
      <c r="E91" s="623" t="str">
        <f>INDEX(Tbl_MeasureList[],MATCH(Tbl_PD_MeasureSummary[[#This Row],[Measure ID]:[Measure ID]],Tbl_MeasureList[[Measure ID]:[Measure ID]],0),MATCH(Tbl_PD_MeasureSummary[[#Headers],[Replacement ID]],Tbl_MeasureList[#Headers],0))</f>
        <v>EQUI010</v>
      </c>
      <c r="F91" s="83" t="str">
        <f>INDEX(Tbl_MeasureList[],MATCH(Tbl_PD_MeasureSummary[[#This Row],[Measure ID]:[Measure ID]],Tbl_MeasureList[[Measure ID]:[Measure ID]],0),MATCH(Tbl_PD_MeasureSummary[[#Headers],[Baseline Name]],Tbl_MeasureList[#Headers],0))</f>
        <v>Room AC/No AC Blend+Oil Boiler</v>
      </c>
      <c r="G91" s="623" t="str">
        <f>INDEX(Tbl_MeasureList[],MATCH(Tbl_PD_MeasureSummary[[#This Row],[Measure ID]:[Measure ID]],Tbl_MeasureList[[Measure ID]:[Measure ID]],0),MATCH(Tbl_PD_MeasureSummary[[#Headers],[Replacement Name]],Tbl_MeasureList[#Headers],0))</f>
        <v>DMSHP+Oil Boiler</v>
      </c>
      <c r="H91" s="83" t="str">
        <f>INDEX(Tbl_MeasureList[],MATCH(Tbl_PD_MeasureSummary[[#This Row],[Measure ID]:[Measure ID]],Tbl_MeasureList[[Measure ID]:[Measure ID]],0),MATCH(Tbl_PD_MeasureSummary[[#Headers],[Baseline Name]],Tbl_MeasureList[#Headers],0))&amp;" to "&amp;INDEX(Tbl_MeasureList[],MATCH(Tbl_PD_MeasureSummary[[#This Row],[Measure ID]:[Measure ID]],Tbl_MeasureList[[Measure ID]:[Measure ID]],0),MATCH(Tbl_PD_MeasureSummary[[#Headers],[Replacement Name]],Tbl_MeasureList[#Headers],0))</f>
        <v>Room AC/No AC Blend+Oil Boiler to DMSHP+Oil Boiler</v>
      </c>
      <c r="I91" s="623">
        <f>INDEX(Tbl_MeasureList[],MATCH(Tbl_PD_MeasureSummary[[#This Row],[Measure ID]:[Measure ID]],Tbl_MeasureList[[Measure ID]:[Measure ID]],0),MATCH(Tbl_PD_MeasureSummary[[#Headers],[New Unit Equipment Life (years)]],Tbl_MeasureList[#Headers],0))</f>
        <v>18</v>
      </c>
      <c r="J91" s="83" t="str">
        <f>INDEX(Tbl_MeasureList[],MATCH(Tbl_PD_MeasureSummary[[#This Row],[Measure ID]:[Measure ID]],Tbl_MeasureList[[Measure ID]:[Measure ID]],0),MATCH(Tbl_PD_MeasureSummary[[#Headers],[Baseline Function]],Tbl_MeasureList[#Headers],0))</f>
        <v>Cool+Heat</v>
      </c>
      <c r="K91" s="623" t="str">
        <f>INDEX(Tbl_MeasureList[],MATCH(Tbl_PD_MeasureSummary[[#This Row],[Measure ID]:[Measure ID]],Tbl_MeasureList[[Measure ID]:[Measure ID]],0),MATCH(Tbl_PD_MeasureSummary[[#Headers],[Replacement Function]],Tbl_MeasureList[#Headers],0))</f>
        <v>Cool+Heat</v>
      </c>
      <c r="L91" s="83" t="str">
        <f>INDEX(Tbl_MeasureList[],MATCH(Tbl_PD_MeasureSummary[[#This Row],[Measure ID]:[Measure ID]],Tbl_MeasureList[[Measure ID]:[Measure ID]],0),MATCH(Tbl_PD_MeasureSummary[[#Headers],[Keep Existing Heating Equipment?]],Tbl_MeasureList[#Headers],0))</f>
        <v>Yes</v>
      </c>
      <c r="M91" s="624" t="str">
        <f>INDEX(Tbl_MeasureList[Baseline Fuel 1],MATCH(Tbl_PD_MeasureSummary[[#This Row],[Measure ID]],Tbl_MeasureList[Measure ID],0))&amp;
  IF(INDEX(Tbl_MeasureList[Baseline Fuel 2],MATCH(Tbl_PD_MeasureSummary[[#This Row],[Measure ID]],Tbl_MeasureList[Measure ID],0))&lt;&gt;"-",
       "+"&amp;INDEX(Tbl_MeasureList[Baseline Fuel 2],MATCH(Tbl_PD_MeasureSummary[[#This Row],[Measure ID]],Tbl_MeasureList[Measure ID],0)),"")</f>
        <v>Electric+Oil</v>
      </c>
      <c r="N91" s="625" t="str">
        <f>INDEX(Tbl_MeasureList[Replacement Fuel 1],MATCH(Tbl_PD_MeasureSummary[[#This Row],[Measure ID]],Tbl_MeasureList[Measure ID],0))&amp;
  IF(INDEX(Tbl_MeasureList[Replacement Fuel 2],MATCH(Tbl_PD_MeasureSummary[[#This Row],[Measure ID]],Tbl_MeasureList[Measure ID],0))&lt;&gt;"-",
       "+"&amp;INDEX(Tbl_MeasureList[Replacement Fuel 2],MATCH(Tbl_PD_MeasureSummary[[#This Row],[Measure ID]],Tbl_MeasureList[Measure ID],0)),"")</f>
        <v>Electric+Oil</v>
      </c>
      <c r="O91" s="626" t="str">
        <f>IF(Tbl_PD_MeasureSummary[[#This Row],[Baseline Fuel]]="Oil",INDEX(Tbl_EquipmentDefinitions[Oil Baseline Efficiency],MATCH(Tbl_PD_MeasureSummary[[#This Row],[Baseline Equipment ID]:[Baseline Equipment ID]],Tbl_EquipmentDefinitions[Equipment ID],0)),
  IF(Tbl_PD_MeasureSummary[[#This Row],[Baseline Fuel]]="Propane",INDEX(Tbl_EquipmentDefinitions[Propane Baseline Efficiency],MATCH(Tbl_PD_MeasureSummary[[#This Row],[Baseline Equipment ID]:[Baseline Equipment ID]],Tbl_EquipmentDefinitions[Equipment ID],0)),
  IF(Tbl_PD_MeasureSummary[[#This Row],[Baseline Fuel]]="Electric+Oil",
        INDEX(Tbl_EquipmentDefinitions[Electricity Baseline Efficiency],MATCH(Tbl_PD_MeasureSummary[[#This Row],[Baseline Equipment ID]:[Baseline Equipment ID]],Tbl_EquipmentDefinitions[Equipment ID],0))&amp;CHAR(10)&amp;
        INDEX(Tbl_EquipmentDefinitions[Oil Baseline Efficiency],MATCH(Tbl_PD_MeasureSummary[[#This Row],[Baseline Equipment ID]:[Baseline Equipment ID]],Tbl_EquipmentDefinitions[Equipment ID],0)),
  IF(Tbl_PD_MeasureSummary[[#This Row],[Baseline Fuel]]="Electric+Propane",
        INDEX(Tbl_EquipmentDefinitions[Electricity Baseline Efficiency],MATCH(Tbl_PD_MeasureSummary[[#This Row],[Baseline Equipment ID]:[Baseline Equipment ID]],Tbl_EquipmentDefinitions[Equipment ID],0))&amp;CHAR(10)&amp;
        INDEX(Tbl_EquipmentDefinitions[Propane Baseline Efficiency],MATCH(Tbl_PD_MeasureSummary[[#This Row],[Baseline Equipment ID]:[Baseline Equipment ID]],Tbl_EquipmentDefinitions[Equipment ID],0)),
  IF(Tbl_PD_MeasureSummary[[#This Row],[Baseline Fuel]]="Electric+Electric",INDEX(Tbl_EquipmentDefinitions[Electricity Baseline Efficiency],MATCH(Tbl_PD_MeasureSummary[[#This Row],[Baseline Equipment ID]:[Baseline Equipment ID]],Tbl_EquipmentDefinitions[Equipment ID],0)),
)))))</f>
        <v>8 EER
75% AFUE</v>
      </c>
      <c r="P91" s="627" t="str">
        <f>IF(Tbl_PD_MeasureSummary[[#This Row],[Baseline Fuel]]="Oil",INDEX(Tbl_EquipmentDefinitions[Oil Code Efficiency],MATCH(Tbl_PD_MeasureSummary[[#This Row],[Baseline Equipment ID]:[Baseline Equipment ID]],Tbl_EquipmentDefinitions[Equipment ID],0)),
  IF(Tbl_PD_MeasureSummary[[#This Row],[Baseline Fuel]]="Propane",INDEX(Tbl_EquipmentDefinitions[Propane Code Efficiency],MATCH(Tbl_PD_MeasureSummary[[#This Row],[Baseline Equipment ID]:[Baseline Equipment ID]],Tbl_EquipmentDefinitions[Equipment ID],0)),
  IF(Tbl_PD_MeasureSummary[[#This Row],[Baseline Fuel]]="Electric+Oil",
        INDEX(Tbl_EquipmentDefinitions[Electricity Code Efficiency],MATCH(Tbl_PD_MeasureSummary[[#This Row],[Baseline Equipment ID]:[Baseline Equipment ID]],Tbl_EquipmentDefinitions[Equipment ID],0))&amp;CHAR(10)&amp;
        INDEX(Tbl_EquipmentDefinitions[Oil Code Efficiency],MATCH(Tbl_PD_MeasureSummary[[#This Row],[Baseline Equipment ID]:[Baseline Equipment ID]],Tbl_EquipmentDefinitions[Equipment ID],0)),
  IF(Tbl_PD_MeasureSummary[[#This Row],[Baseline Fuel]]="Electric+Propane",
        INDEX(Tbl_EquipmentDefinitions[Electricity Code Efficiency],MATCH(Tbl_PD_MeasureSummary[[#This Row],[Baseline Equipment ID]:[Baseline Equipment ID]],Tbl_EquipmentDefinitions[Equipment ID],0))&amp;CHAR(10)&amp;
        INDEX(Tbl_EquipmentDefinitions[Propane Code Efficiency],MATCH(Tbl_PD_MeasureSummary[[#This Row],[Baseline Equipment ID]:[Baseline Equipment ID]],Tbl_EquipmentDefinitions[Equipment ID],0)),
  IF(Tbl_PD_MeasureSummary[[#This Row],[Baseline Fuel]]="Electric+Electric",INDEX(Tbl_EquipmentDefinitions[Electricity Code Efficiency],MATCH(Tbl_PD_MeasureSummary[[#This Row],[Baseline Equipment ID]:[Baseline Equipment ID]],Tbl_EquipmentDefinitions[Equipment ID],0)),
)))))</f>
        <v>10 EER
84% AFUE</v>
      </c>
      <c r="Q91" s="626" t="str">
        <f>IF(Tbl_PD_MeasureSummary[[#This Row],[Replacement Fuel]]="Natural Gas",INDEX(Tbl_EquipmentDefinitions[Natural Gas Low Measure Efficiency],MATCH(Tbl_PD_MeasureSummary[[#This Row],[Replacement ID]:[Replacement ID]],Tbl_EquipmentDefinitions[Equipment ID],0)),
  IF(Tbl_PD_MeasureSummary[[#This Row],[Replacement Fuel]]="Electric",INDEX(Tbl_EquipmentDefinitions[Electricity Low Measure Efficiency],MATCH(Tbl_PD_MeasureSummary[[#This Row],[Replacement ID]:[Replacement ID]],Tbl_EquipmentDefinitions[Equipment ID],0)),
  IF(Tbl_PD_MeasureSummary[[#This Row],[Replacement Fuel]]="Electric+Oil",
        INDEX(Tbl_EquipmentDefinitions[Electricity Low Measure Efficiency],MATCH(Tbl_PD_MeasureSummary[[#This Row],[Replacement ID]:[Replacement ID]],Tbl_EquipmentDefinitions[Equipment ID],0))&amp;CHAR(10)&amp;
        INDEX(Tbl_EquipmentDefinitions[Oil Baseline Efficiency],MATCH(Tbl_PD_MeasureSummary[[#This Row],[Replacement ID]:[Replacement ID]],Tbl_EquipmentDefinitions[Equipment ID],0)),
  IF(Tbl_PD_MeasureSummary[[#This Row],[Replacement Fuel]]="Electric+Propane",
        INDEX(Tbl_EquipmentDefinitions[Electricity Low Measure Efficiency],MATCH(Tbl_PD_MeasureSummary[[#This Row],[Replacement ID]:[Replacement ID]],Tbl_EquipmentDefinitions[Equipment ID],0))&amp;CHAR(10)&amp;
        INDEX(Tbl_EquipmentDefinitions[Propane Baseline Efficiency],MATCH(Tbl_PD_MeasureSummary[[#This Row],[Replacement ID]:[Replacement ID]],Tbl_EquipmentDefinitions[Equipment ID],0)),
  IF(Tbl_PD_MeasureSummary[[#This Row],[Replacement Fuel]]="Electric+Electric",INDEX(Tbl_EquipmentDefinitions[Electricity Low Measure Efficiency],MATCH(Tbl_PD_MeasureSummary[[#This Row],[Replacement ID]:[Replacement ID]],Tbl_EquipmentDefinitions[Equipment ID],0)),
)))))</f>
        <v>18 SEER/10.0 HSPF
75% AFUE</v>
      </c>
      <c r="R91" s="628" t="str">
        <f>IF(Tbl_PD_MeasureSummary[[#This Row],[Replacement Fuel]]="Natural Gas",INDEX(Tbl_EquipmentDefinitions[Natural Gas High Measure Efficiency],MATCH(Tbl_PD_MeasureSummary[[#This Row],[Replacement ID]:[Replacement ID]],Tbl_EquipmentDefinitions[Equipment ID],0)),
  IF(Tbl_PD_MeasureSummary[[#This Row],[Replacement Fuel]]="Electric",INDEX(Tbl_EquipmentDefinitions[Electricity High Measure Efficiency],MATCH(Tbl_PD_MeasureSummary[[#This Row],[Replacement ID]:[Replacement ID]],Tbl_EquipmentDefinitions[Equipment ID],0)),
  IF(Tbl_PD_MeasureSummary[[#This Row],[Replacement Fuel]]="Electric+Oil",
        INDEX(Tbl_EquipmentDefinitions[Electricity High Measure Efficiency],MATCH(Tbl_PD_MeasureSummary[[#This Row],[Replacement ID]:[Replacement ID]],Tbl_EquipmentDefinitions[Equipment ID],0))&amp;CHAR(10)&amp;
        INDEX(Tbl_EquipmentDefinitions[Oil Baseline Efficiency],MATCH(Tbl_PD_MeasureSummary[[#This Row],[Replacement ID]:[Replacement ID]],Tbl_EquipmentDefinitions[Equipment ID],0)),
  IF(Tbl_PD_MeasureSummary[[#This Row],[Replacement Fuel]]="Electric+Propane",
        INDEX(Tbl_EquipmentDefinitions[Electricity High Measure Efficiency],MATCH(Tbl_PD_MeasureSummary[[#This Row],[Replacement ID]:[Replacement ID]],Tbl_EquipmentDefinitions[Equipment ID],0))&amp;CHAR(10)&amp;
        INDEX(Tbl_EquipmentDefinitions[Propane Baseline Efficiency],MATCH(Tbl_PD_MeasureSummary[[#This Row],[Replacement ID]:[Replacement ID]],Tbl_EquipmentDefinitions[Equipment ID],0)),
  IF(Tbl_PD_MeasureSummary[[#This Row],[Replacement Fuel]]="Electric+Electric",INDEX(Tbl_EquipmentDefinitions[Electricity High Measure Efficiency],MATCH(Tbl_PD_MeasureSummary[[#This Row],[Replacement ID]:[Replacement ID]],Tbl_EquipmentDefinitions[Equipment ID],0)),
)))))</f>
        <v>20 SEER/12.0 HSPF
75% AFUE</v>
      </c>
      <c r="S91" s="530">
        <f ca="1">INDEX(Tbl_MeasureList[],MATCH(Tbl_PD_MeasureSummary[[#This Row],[Measure ID]:[Measure ID]],Tbl_MeasureList[[Measure ID]:[Measure ID]],0),MATCH(S$97,Tbl_MeasureList[#Headers],0))</f>
        <v>432.41246883180429</v>
      </c>
      <c r="T91" s="438">
        <f ca="1">INDEX(Tbl_MeasureList[],MATCH(Tbl_PD_MeasureSummary[[#This Row],[Measure ID]:[Measure ID]],Tbl_MeasureList[[Measure ID]:[Measure ID]],0),MATCH(T$97,Tbl_MeasureList[#Headers],0))</f>
        <v>11205.300429590323</v>
      </c>
      <c r="U91" s="554">
        <f ca="1">INDEX(Tbl_MeasureList[],MATCH(Tbl_PD_MeasureSummary[[#This Row],[Measure ID]:[Measure ID]],Tbl_MeasureList[[Measure ID]:[Measure ID]],0),MATCH(U$97,Tbl_MeasureList[#Headers],0))</f>
        <v>-4379.6371011735555</v>
      </c>
      <c r="V91" s="439">
        <f ca="1">INDEX(Tbl_MeasureList[],MATCH(Tbl_PD_MeasureSummary[[#This Row],[Measure ID]:[Measure ID]],Tbl_MeasureList[[Measure ID]:[Measure ID]],0),MATCH(V$97,Tbl_MeasureList[#Headers],0))</f>
        <v>-0.98471716203259829</v>
      </c>
      <c r="W91" s="555">
        <f ca="1">INDEX(Tbl_MeasureList[],MATCH(Tbl_PD_MeasureSummary[[#This Row],[Measure ID]:[Measure ID]],Tbl_MeasureList[[Measure ID]:[Measure ID]],0),MATCH(W$97,Tbl_MeasureList[#Headers],0))</f>
        <v>0.97000000000000031</v>
      </c>
      <c r="X91" s="660">
        <f ca="1">INDEX(Tbl_MeasureList[],MATCH(Tbl_PD_MeasureSummary[[#This Row],[Measure ID]:[Measure ID]],Tbl_MeasureList[[Measure ID]:[Measure ID]],0),MATCH(X$97,Tbl_MeasureList[#Headers],0))</f>
        <v>0</v>
      </c>
      <c r="Y91" s="556">
        <f ca="1">INDEX(Tbl_MeasureList[],MATCH(Tbl_PD_MeasureSummary[[#This Row],[Measure ID]:[Measure ID]],Tbl_MeasureList[[Measure ID]:[Measure ID]],0),MATCH(Y$97,Tbl_MeasureList[#Headers],0))</f>
        <v>0</v>
      </c>
      <c r="Z91" s="660">
        <f ca="1">INDEX(Tbl_MeasureList[],MATCH(Tbl_PD_MeasureSummary[[#This Row],[Measure ID]:[Measure ID]],Tbl_MeasureList[[Measure ID]:[Measure ID]],0),MATCH(Z$97,Tbl_MeasureList[#Headers],0))</f>
        <v>57.82258526536085</v>
      </c>
      <c r="AA91" s="556">
        <f ca="1">INDEX(Tbl_MeasureList[],MATCH(Tbl_PD_MeasureSummary[[#This Row],[Measure ID]:[Measure ID]],Tbl_MeasureList[[Measure ID]:[Measure ID]],0),MATCH(AA$97,Tbl_MeasureList[#Headers],0))</f>
        <v>42.87926347615668</v>
      </c>
      <c r="AB91" s="660">
        <f ca="1">INDEX(Tbl_MeasureList[],MATCH(Tbl_PD_MeasureSummary[[#This Row],[Measure ID]:[Measure ID]],Tbl_MeasureList[[Measure ID]:[Measure ID]],0),MATCH(AB$97,Tbl_MeasureList[#Headers],0))</f>
        <v>4.6633915016513523</v>
      </c>
      <c r="AC91" s="540">
        <f ca="1">INDEX(Tbl_MeasureList[],MATCH(Tbl_PD_MeasureSummary[[#This Row],[Measure ID]:[Measure ID]],Tbl_MeasureList[[Measure ID]:[Measure ID]],0),MATCH(AC$97,Tbl_MeasureList[#Headers],0))</f>
        <v>3.1166788630008995</v>
      </c>
      <c r="AD91" s="553">
        <f ca="1">INDEX(Tbl_MeasureList[],MATCH(Tbl_PD_MeasureSummary[[#This Row],[Measure ID]:[Measure ID]],Tbl_MeasureList[[Measure ID]:[Measure ID]],0),MATCH(AD$97,Tbl_MeasureList[#Headers],0))</f>
        <v>619.74781106464479</v>
      </c>
      <c r="AE91" s="394">
        <f ca="1">INDEX(Tbl_MeasureList[],MATCH(Tbl_PD_MeasureSummary[[#This Row],[Measure ID]:[Measure ID]],Tbl_MeasureList[[Measure ID]:[Measure ID]],0),MATCH(AE$97,Tbl_MeasureList[#Headers],0))</f>
        <v>11417.700429590324</v>
      </c>
      <c r="AF91" s="532">
        <f ca="1">INDEX(Tbl_MeasureList[],MATCH(Tbl_PD_MeasureSummary[[#This Row],[Measure ID]:[Measure ID]],Tbl_MeasureList[[Measure ID]:[Measure ID]],0),MATCH(AF$97,Tbl_MeasureList[#Headers],0))</f>
        <v>-3432.542347721379</v>
      </c>
      <c r="AG91" s="396">
        <f ca="1">INDEX(Tbl_MeasureList[],MATCH(Tbl_PD_MeasureSummary[[#This Row],[Measure ID]:[Measure ID]],Tbl_MeasureList[[Measure ID]:[Measure ID]],0),MATCH(AG$97,Tbl_MeasureList[#Headers],0))</f>
        <v>-1.0897171620325983</v>
      </c>
      <c r="AH91" s="534">
        <f ca="1">INDEX(Tbl_MeasureList[],MATCH(Tbl_PD_MeasureSummary[[#This Row],[Measure ID]:[Measure ID]],Tbl_MeasureList[[Measure ID]:[Measure ID]],0),MATCH(AH$97,Tbl_MeasureList[#Headers],0))</f>
        <v>0.97000000000000031</v>
      </c>
      <c r="AI91" s="656">
        <f ca="1">INDEX(Tbl_MeasureList[],MATCH(Tbl_PD_MeasureSummary[[#This Row],[Measure ID]:[Measure ID]],Tbl_MeasureList[[Measure ID]:[Measure ID]],0),MATCH(AI$97,Tbl_MeasureList[#Headers],0))</f>
        <v>0</v>
      </c>
      <c r="AJ91" s="536">
        <f ca="1">INDEX(Tbl_MeasureList[],MATCH(Tbl_PD_MeasureSummary[[#This Row],[Measure ID]:[Measure ID]],Tbl_MeasureList[[Measure ID]:[Measure ID]],0),MATCH(AJ$97,Tbl_MeasureList[#Headers],0))</f>
        <v>0</v>
      </c>
      <c r="AK91" s="656">
        <f ca="1">INDEX(Tbl_MeasureList[],MATCH(Tbl_PD_MeasureSummary[[#This Row],[Measure ID]:[Measure ID]],Tbl_MeasureList[[Measure ID]:[Measure ID]],0),MATCH(AK$97,Tbl_MeasureList[#Headers],0))</f>
        <v>57.82258526536085</v>
      </c>
      <c r="AL91" s="661">
        <f ca="1">INDEX(Tbl_MeasureList[],MATCH(Tbl_PD_MeasureSummary[[#This Row],[Measure ID]:[Measure ID]],Tbl_MeasureList[[Measure ID]:[Measure ID]],0),MATCH(AL$97,Tbl_MeasureList[#Headers],0))</f>
        <v>46.110750774935504</v>
      </c>
      <c r="AM91" s="656">
        <f ca="1">INDEX(Tbl_MeasureList[],MATCH(Tbl_PD_MeasureSummary[[#This Row],[Measure ID]:[Measure ID]],Tbl_MeasureList[[Measure ID]:[Measure ID]],0),MATCH(AM$97,Tbl_MeasureList[#Headers],0))</f>
        <v>4.6633915016513523</v>
      </c>
      <c r="AN91" s="662">
        <f ca="1">INDEX(Tbl_MeasureList[],MATCH(Tbl_PD_MeasureSummary[[#This Row],[Measure ID]:[Measure ID]],Tbl_MeasureList[[Measure ID]:[Measure ID]],0),MATCH(AN$97,Tbl_MeasureList[#Headers],0))</f>
        <v>3.4511548461300698</v>
      </c>
      <c r="AO91" s="538">
        <f ca="1">INDEX(Tbl_MeasureList[],MATCH(Tbl_PD_MeasureSummary[[#This Row],[Measure ID]:[Measure ID]],Tbl_MeasureList[[Measure ID]:[Measure ID]],0),MATCH(AO$97,Tbl_MeasureList[#Headers],0))</f>
        <v>-42.287645233468304</v>
      </c>
      <c r="AP91" s="440">
        <f ca="1">INDEX(Tbl_MeasureList[],MATCH(Tbl_PD_MeasureSummary[[#This Row],[Measure ID]:[Measure ID]],Tbl_MeasureList[[Measure ID]:[Measure ID]],0),MATCH(AP$97,Tbl_MeasureList[#Headers],0))</f>
        <v>415.14820007210585</v>
      </c>
      <c r="AQ91" s="541">
        <f ca="1">INDEX(Tbl_MeasureList[],MATCH(Tbl_PD_MeasureSummary[[#This Row],[Measure ID]:[Measure ID]],Tbl_MeasureList[[Measure ID]:[Measure ID]],0),MATCH(AQ$97,Tbl_MeasureList[#Headers],0))</f>
        <v>-17.416956432202934</v>
      </c>
      <c r="AR91" s="551">
        <f ca="1">INDEX(Tbl_MeasureList[],MATCH(Tbl_PD_MeasureSummary[[#This Row],[Measure ID]:[Measure ID]],Tbl_MeasureList[[Measure ID]:[Measure ID]],0),MATCH(AR$97,Tbl_MeasureList[#Headers],0))</f>
        <v>-33.142959038867168</v>
      </c>
      <c r="AS91" s="536">
        <f ca="1">INDEX(Tbl_MeasureList[],MATCH(Tbl_PD_MeasureSummary[[#This Row],[Measure ID]:[Measure ID]],Tbl_MeasureList[[Measure ID]:[Measure ID]],0),MATCH(AS$97,Tbl_MeasureList[#Headers],0))</f>
        <v>416.01819425559967</v>
      </c>
      <c r="AT91" s="398">
        <f ca="1">INDEX(Tbl_MeasureList[],MATCH(Tbl_PD_MeasureSummary[[#This Row],[Measure ID]:[Measure ID]],Tbl_MeasureList[[Measure ID]:[Measure ID]],0),MATCH(AT$97,Tbl_MeasureList[#Headers],0))</f>
        <v>-13.650546641395277</v>
      </c>
    </row>
    <row r="92" spans="2:96" s="581" customFormat="1" ht="22.5" x14ac:dyDescent="0.2">
      <c r="B92" s="582"/>
      <c r="C92" s="622" t="s">
        <v>91</v>
      </c>
      <c r="D92" s="83" t="str">
        <f>INDEX(Tbl_MeasureList[],MATCH(Tbl_PD_MeasureSummary[[#This Row],[Measure ID]:[Measure ID]],Tbl_MeasureList[[Measure ID]:[Measure ID]],0),MATCH(Tbl_PD_MeasureSummary[[#Headers],[Baseline Equipment ID]],Tbl_MeasureList[#Headers],0))</f>
        <v>EQUI037</v>
      </c>
      <c r="E92" s="623" t="str">
        <f>INDEX(Tbl_MeasureList[],MATCH(Tbl_PD_MeasureSummary[[#This Row],[Measure ID]:[Measure ID]],Tbl_MeasureList[[Measure ID]:[Measure ID]],0),MATCH(Tbl_PD_MeasureSummary[[#Headers],[Replacement ID]],Tbl_MeasureList[#Headers],0))</f>
        <v>EQUI011</v>
      </c>
      <c r="F92" s="83" t="str">
        <f>INDEX(Tbl_MeasureList[],MATCH(Tbl_PD_MeasureSummary[[#This Row],[Measure ID]:[Measure ID]],Tbl_MeasureList[[Measure ID]:[Measure ID]],0),MATCH(Tbl_PD_MeasureSummary[[#Headers],[Baseline Name]],Tbl_MeasureList[#Headers],0))</f>
        <v>Room AC/No AC Blend+Propane Boiler</v>
      </c>
      <c r="G92" s="623" t="str">
        <f>INDEX(Tbl_MeasureList[],MATCH(Tbl_PD_MeasureSummary[[#This Row],[Measure ID]:[Measure ID]],Tbl_MeasureList[[Measure ID]:[Measure ID]],0),MATCH(Tbl_PD_MeasureSummary[[#Headers],[Replacement Name]],Tbl_MeasureList[#Headers],0))</f>
        <v>DMSHP+Propane Boiler</v>
      </c>
      <c r="H92" s="83" t="str">
        <f>INDEX(Tbl_MeasureList[],MATCH(Tbl_PD_MeasureSummary[[#This Row],[Measure ID]:[Measure ID]],Tbl_MeasureList[[Measure ID]:[Measure ID]],0),MATCH(Tbl_PD_MeasureSummary[[#Headers],[Baseline Name]],Tbl_MeasureList[#Headers],0))&amp;" to "&amp;INDEX(Tbl_MeasureList[],MATCH(Tbl_PD_MeasureSummary[[#This Row],[Measure ID]:[Measure ID]],Tbl_MeasureList[[Measure ID]:[Measure ID]],0),MATCH(Tbl_PD_MeasureSummary[[#Headers],[Replacement Name]],Tbl_MeasureList[#Headers],0))</f>
        <v>Room AC/No AC Blend+Propane Boiler to DMSHP+Propane Boiler</v>
      </c>
      <c r="I92" s="623">
        <f>INDEX(Tbl_MeasureList[],MATCH(Tbl_PD_MeasureSummary[[#This Row],[Measure ID]:[Measure ID]],Tbl_MeasureList[[Measure ID]:[Measure ID]],0),MATCH(Tbl_PD_MeasureSummary[[#Headers],[New Unit Equipment Life (years)]],Tbl_MeasureList[#Headers],0))</f>
        <v>18</v>
      </c>
      <c r="J92" s="83" t="str">
        <f>INDEX(Tbl_MeasureList[],MATCH(Tbl_PD_MeasureSummary[[#This Row],[Measure ID]:[Measure ID]],Tbl_MeasureList[[Measure ID]:[Measure ID]],0),MATCH(Tbl_PD_MeasureSummary[[#Headers],[Baseline Function]],Tbl_MeasureList[#Headers],0))</f>
        <v>Cool+Heat</v>
      </c>
      <c r="K92" s="623" t="str">
        <f>INDEX(Tbl_MeasureList[],MATCH(Tbl_PD_MeasureSummary[[#This Row],[Measure ID]:[Measure ID]],Tbl_MeasureList[[Measure ID]:[Measure ID]],0),MATCH(Tbl_PD_MeasureSummary[[#Headers],[Replacement Function]],Tbl_MeasureList[#Headers],0))</f>
        <v>Cool+Heat</v>
      </c>
      <c r="L92" s="83" t="str">
        <f>INDEX(Tbl_MeasureList[],MATCH(Tbl_PD_MeasureSummary[[#This Row],[Measure ID]:[Measure ID]],Tbl_MeasureList[[Measure ID]:[Measure ID]],0),MATCH(Tbl_PD_MeasureSummary[[#Headers],[Keep Existing Heating Equipment?]],Tbl_MeasureList[#Headers],0))</f>
        <v>Yes</v>
      </c>
      <c r="M92" s="624" t="str">
        <f>INDEX(Tbl_MeasureList[Baseline Fuel 1],MATCH(Tbl_PD_MeasureSummary[[#This Row],[Measure ID]],Tbl_MeasureList[Measure ID],0))&amp;
  IF(INDEX(Tbl_MeasureList[Baseline Fuel 2],MATCH(Tbl_PD_MeasureSummary[[#This Row],[Measure ID]],Tbl_MeasureList[Measure ID],0))&lt;&gt;"-",
       "+"&amp;INDEX(Tbl_MeasureList[Baseline Fuel 2],MATCH(Tbl_PD_MeasureSummary[[#This Row],[Measure ID]],Tbl_MeasureList[Measure ID],0)),"")</f>
        <v>Electric+Propane</v>
      </c>
      <c r="N92" s="625" t="str">
        <f>INDEX(Tbl_MeasureList[Replacement Fuel 1],MATCH(Tbl_PD_MeasureSummary[[#This Row],[Measure ID]],Tbl_MeasureList[Measure ID],0))&amp;
  IF(INDEX(Tbl_MeasureList[Replacement Fuel 2],MATCH(Tbl_PD_MeasureSummary[[#This Row],[Measure ID]],Tbl_MeasureList[Measure ID],0))&lt;&gt;"-",
       "+"&amp;INDEX(Tbl_MeasureList[Replacement Fuel 2],MATCH(Tbl_PD_MeasureSummary[[#This Row],[Measure ID]],Tbl_MeasureList[Measure ID],0)),"")</f>
        <v>Electric+Propane</v>
      </c>
      <c r="O92" s="626" t="str">
        <f>IF(Tbl_PD_MeasureSummary[[#This Row],[Baseline Fuel]]="Oil",INDEX(Tbl_EquipmentDefinitions[Oil Baseline Efficiency],MATCH(Tbl_PD_MeasureSummary[[#This Row],[Baseline Equipment ID]:[Baseline Equipment ID]],Tbl_EquipmentDefinitions[Equipment ID],0)),
  IF(Tbl_PD_MeasureSummary[[#This Row],[Baseline Fuel]]="Propane",INDEX(Tbl_EquipmentDefinitions[Propane Baseline Efficiency],MATCH(Tbl_PD_MeasureSummary[[#This Row],[Baseline Equipment ID]:[Baseline Equipment ID]],Tbl_EquipmentDefinitions[Equipment ID],0)),
  IF(Tbl_PD_MeasureSummary[[#This Row],[Baseline Fuel]]="Electric+Oil",
        INDEX(Tbl_EquipmentDefinitions[Electricity Baseline Efficiency],MATCH(Tbl_PD_MeasureSummary[[#This Row],[Baseline Equipment ID]:[Baseline Equipment ID]],Tbl_EquipmentDefinitions[Equipment ID],0))&amp;CHAR(10)&amp;
        INDEX(Tbl_EquipmentDefinitions[Oil Baseline Efficiency],MATCH(Tbl_PD_MeasureSummary[[#This Row],[Baseline Equipment ID]:[Baseline Equipment ID]],Tbl_EquipmentDefinitions[Equipment ID],0)),
  IF(Tbl_PD_MeasureSummary[[#This Row],[Baseline Fuel]]="Electric+Propane",
        INDEX(Tbl_EquipmentDefinitions[Electricity Baseline Efficiency],MATCH(Tbl_PD_MeasureSummary[[#This Row],[Baseline Equipment ID]:[Baseline Equipment ID]],Tbl_EquipmentDefinitions[Equipment ID],0))&amp;CHAR(10)&amp;
        INDEX(Tbl_EquipmentDefinitions[Propane Baseline Efficiency],MATCH(Tbl_PD_MeasureSummary[[#This Row],[Baseline Equipment ID]:[Baseline Equipment ID]],Tbl_EquipmentDefinitions[Equipment ID],0)),
  IF(Tbl_PD_MeasureSummary[[#This Row],[Baseline Fuel]]="Electric+Electric",INDEX(Tbl_EquipmentDefinitions[Electricity Baseline Efficiency],MATCH(Tbl_PD_MeasureSummary[[#This Row],[Baseline Equipment ID]:[Baseline Equipment ID]],Tbl_EquipmentDefinitions[Equipment ID],0)),
)))))</f>
        <v>8 EER
75% AFUE</v>
      </c>
      <c r="P92" s="627" t="str">
        <f>IF(Tbl_PD_MeasureSummary[[#This Row],[Baseline Fuel]]="Oil",INDEX(Tbl_EquipmentDefinitions[Oil Code Efficiency],MATCH(Tbl_PD_MeasureSummary[[#This Row],[Baseline Equipment ID]:[Baseline Equipment ID]],Tbl_EquipmentDefinitions[Equipment ID],0)),
  IF(Tbl_PD_MeasureSummary[[#This Row],[Baseline Fuel]]="Propane",INDEX(Tbl_EquipmentDefinitions[Propane Code Efficiency],MATCH(Tbl_PD_MeasureSummary[[#This Row],[Baseline Equipment ID]:[Baseline Equipment ID]],Tbl_EquipmentDefinitions[Equipment ID],0)),
  IF(Tbl_PD_MeasureSummary[[#This Row],[Baseline Fuel]]="Electric+Oil",
        INDEX(Tbl_EquipmentDefinitions[Electricity Code Efficiency],MATCH(Tbl_PD_MeasureSummary[[#This Row],[Baseline Equipment ID]:[Baseline Equipment ID]],Tbl_EquipmentDefinitions[Equipment ID],0))&amp;CHAR(10)&amp;
        INDEX(Tbl_EquipmentDefinitions[Oil Code Efficiency],MATCH(Tbl_PD_MeasureSummary[[#This Row],[Baseline Equipment ID]:[Baseline Equipment ID]],Tbl_EquipmentDefinitions[Equipment ID],0)),
  IF(Tbl_PD_MeasureSummary[[#This Row],[Baseline Fuel]]="Electric+Propane",
        INDEX(Tbl_EquipmentDefinitions[Electricity Code Efficiency],MATCH(Tbl_PD_MeasureSummary[[#This Row],[Baseline Equipment ID]:[Baseline Equipment ID]],Tbl_EquipmentDefinitions[Equipment ID],0))&amp;CHAR(10)&amp;
        INDEX(Tbl_EquipmentDefinitions[Propane Code Efficiency],MATCH(Tbl_PD_MeasureSummary[[#This Row],[Baseline Equipment ID]:[Baseline Equipment ID]],Tbl_EquipmentDefinitions[Equipment ID],0)),
  IF(Tbl_PD_MeasureSummary[[#This Row],[Baseline Fuel]]="Electric+Electric",INDEX(Tbl_EquipmentDefinitions[Electricity Code Efficiency],MATCH(Tbl_PD_MeasureSummary[[#This Row],[Baseline Equipment ID]:[Baseline Equipment ID]],Tbl_EquipmentDefinitions[Equipment ID],0)),
)))))</f>
        <v>10 EER
82% AFUE (79.3% actual)</v>
      </c>
      <c r="Q92" s="626" t="str">
        <f>IF(Tbl_PD_MeasureSummary[[#This Row],[Replacement Fuel]]="Natural Gas",INDEX(Tbl_EquipmentDefinitions[Natural Gas Low Measure Efficiency],MATCH(Tbl_PD_MeasureSummary[[#This Row],[Replacement ID]:[Replacement ID]],Tbl_EquipmentDefinitions[Equipment ID],0)),
  IF(Tbl_PD_MeasureSummary[[#This Row],[Replacement Fuel]]="Electric",INDEX(Tbl_EquipmentDefinitions[Electricity Low Measure Efficiency],MATCH(Tbl_PD_MeasureSummary[[#This Row],[Replacement ID]:[Replacement ID]],Tbl_EquipmentDefinitions[Equipment ID],0)),
  IF(Tbl_PD_MeasureSummary[[#This Row],[Replacement Fuel]]="Electric+Oil",
        INDEX(Tbl_EquipmentDefinitions[Electricity Low Measure Efficiency],MATCH(Tbl_PD_MeasureSummary[[#This Row],[Replacement ID]:[Replacement ID]],Tbl_EquipmentDefinitions[Equipment ID],0))&amp;CHAR(10)&amp;
        INDEX(Tbl_EquipmentDefinitions[Oil Baseline Efficiency],MATCH(Tbl_PD_MeasureSummary[[#This Row],[Replacement ID]:[Replacement ID]],Tbl_EquipmentDefinitions[Equipment ID],0)),
  IF(Tbl_PD_MeasureSummary[[#This Row],[Replacement Fuel]]="Electric+Propane",
        INDEX(Tbl_EquipmentDefinitions[Electricity Low Measure Efficiency],MATCH(Tbl_PD_MeasureSummary[[#This Row],[Replacement ID]:[Replacement ID]],Tbl_EquipmentDefinitions[Equipment ID],0))&amp;CHAR(10)&amp;
        INDEX(Tbl_EquipmentDefinitions[Propane Baseline Efficiency],MATCH(Tbl_PD_MeasureSummary[[#This Row],[Replacement ID]:[Replacement ID]],Tbl_EquipmentDefinitions[Equipment ID],0)),
  IF(Tbl_PD_MeasureSummary[[#This Row],[Replacement Fuel]]="Electric+Electric",INDEX(Tbl_EquipmentDefinitions[Electricity Low Measure Efficiency],MATCH(Tbl_PD_MeasureSummary[[#This Row],[Replacement ID]:[Replacement ID]],Tbl_EquipmentDefinitions[Equipment ID],0)),
)))))</f>
        <v>18 SEER/10.0 HSPF
75% AFUE</v>
      </c>
      <c r="R92" s="628" t="str">
        <f>IF(Tbl_PD_MeasureSummary[[#This Row],[Replacement Fuel]]="Natural Gas",INDEX(Tbl_EquipmentDefinitions[Natural Gas High Measure Efficiency],MATCH(Tbl_PD_MeasureSummary[[#This Row],[Replacement ID]:[Replacement ID]],Tbl_EquipmentDefinitions[Equipment ID],0)),
  IF(Tbl_PD_MeasureSummary[[#This Row],[Replacement Fuel]]="Electric",INDEX(Tbl_EquipmentDefinitions[Electricity High Measure Efficiency],MATCH(Tbl_PD_MeasureSummary[[#This Row],[Replacement ID]:[Replacement ID]],Tbl_EquipmentDefinitions[Equipment ID],0)),
  IF(Tbl_PD_MeasureSummary[[#This Row],[Replacement Fuel]]="Electric+Oil",
        INDEX(Tbl_EquipmentDefinitions[Electricity High Measure Efficiency],MATCH(Tbl_PD_MeasureSummary[[#This Row],[Replacement ID]:[Replacement ID]],Tbl_EquipmentDefinitions[Equipment ID],0))&amp;CHAR(10)&amp;
        INDEX(Tbl_EquipmentDefinitions[Oil Baseline Efficiency],MATCH(Tbl_PD_MeasureSummary[[#This Row],[Replacement ID]:[Replacement ID]],Tbl_EquipmentDefinitions[Equipment ID],0)),
  IF(Tbl_PD_MeasureSummary[[#This Row],[Replacement Fuel]]="Electric+Propane",
        INDEX(Tbl_EquipmentDefinitions[Electricity High Measure Efficiency],MATCH(Tbl_PD_MeasureSummary[[#This Row],[Replacement ID]:[Replacement ID]],Tbl_EquipmentDefinitions[Equipment ID],0))&amp;CHAR(10)&amp;
        INDEX(Tbl_EquipmentDefinitions[Propane Baseline Efficiency],MATCH(Tbl_PD_MeasureSummary[[#This Row],[Replacement ID]:[Replacement ID]],Tbl_EquipmentDefinitions[Equipment ID],0)),
  IF(Tbl_PD_MeasureSummary[[#This Row],[Replacement Fuel]]="Electric+Electric",INDEX(Tbl_EquipmentDefinitions[Electricity High Measure Efficiency],MATCH(Tbl_PD_MeasureSummary[[#This Row],[Replacement ID]:[Replacement ID]],Tbl_EquipmentDefinitions[Equipment ID],0)),
)))))</f>
        <v>20 SEER/12.0 HSPF
75% AFUE</v>
      </c>
      <c r="S92" s="530">
        <f ca="1">INDEX(Tbl_MeasureList[],MATCH(Tbl_PD_MeasureSummary[[#This Row],[Measure ID]:[Measure ID]],Tbl_MeasureList[[Measure ID]:[Measure ID]],0),MATCH(S$97,Tbl_MeasureList[#Headers],0))</f>
        <v>1637.3624429672359</v>
      </c>
      <c r="T92" s="438">
        <f ca="1">INDEX(Tbl_MeasureList[],MATCH(Tbl_PD_MeasureSummary[[#This Row],[Measure ID]:[Measure ID]],Tbl_MeasureList[[Measure ID]:[Measure ID]],0),MATCH(T$97,Tbl_MeasureList[#Headers],0))</f>
        <v>11205.300429590323</v>
      </c>
      <c r="U92" s="554">
        <f ca="1">INDEX(Tbl_MeasureList[],MATCH(Tbl_PD_MeasureSummary[[#This Row],[Measure ID]:[Measure ID]],Tbl_MeasureList[[Measure ID]:[Measure ID]],0),MATCH(U$97,Tbl_MeasureList[#Headers],0))</f>
        <v>-6476.4362075997906</v>
      </c>
      <c r="V92" s="439">
        <f ca="1">INDEX(Tbl_MeasureList[],MATCH(Tbl_PD_MeasureSummary[[#This Row],[Measure ID]:[Measure ID]],Tbl_MeasureList[[Measure ID]:[Measure ID]],0),MATCH(V$97,Tbl_MeasureList[#Headers],0))</f>
        <v>-0.98977948226270374</v>
      </c>
      <c r="W92" s="555">
        <f ca="1">INDEX(Tbl_MeasureList[],MATCH(Tbl_PD_MeasureSummary[[#This Row],[Measure ID]:[Measure ID]],Tbl_MeasureList[[Measure ID]:[Measure ID]],0),MATCH(W$97,Tbl_MeasureList[#Headers],0))</f>
        <v>0.97000000000000031</v>
      </c>
      <c r="X92" s="660">
        <f ca="1">INDEX(Tbl_MeasureList[],MATCH(Tbl_PD_MeasureSummary[[#This Row],[Measure ID]:[Measure ID]],Tbl_MeasureList[[Measure ID]:[Measure ID]],0),MATCH(X$97,Tbl_MeasureList[#Headers],0))</f>
        <v>0</v>
      </c>
      <c r="Y92" s="556">
        <f ca="1">INDEX(Tbl_MeasureList[],MATCH(Tbl_PD_MeasureSummary[[#This Row],[Measure ID]:[Measure ID]],Tbl_MeasureList[[Measure ID]:[Measure ID]],0),MATCH(Y$97,Tbl_MeasureList[#Headers],0))</f>
        <v>81.189877084173546</v>
      </c>
      <c r="Z92" s="660">
        <f ca="1">INDEX(Tbl_MeasureList[],MATCH(Tbl_PD_MeasureSummary[[#This Row],[Measure ID]:[Measure ID]],Tbl_MeasureList[[Measure ID]:[Measure ID]],0),MATCH(Z$97,Tbl_MeasureList[#Headers],0))</f>
        <v>0</v>
      </c>
      <c r="AA92" s="556">
        <f ca="1">INDEX(Tbl_MeasureList[],MATCH(Tbl_PD_MeasureSummary[[#This Row],[Measure ID]:[Measure ID]],Tbl_MeasureList[[Measure ID]:[Measure ID]],0),MATCH(AA$97,Tbl_MeasureList[#Headers],0))</f>
        <v>59.092276743843058</v>
      </c>
      <c r="AB92" s="660">
        <f ca="1">INDEX(Tbl_MeasureList[],MATCH(Tbl_PD_MeasureSummary[[#This Row],[Measure ID]:[Measure ID]],Tbl_MeasureList[[Measure ID]:[Measure ID]],0),MATCH(AB$97,Tbl_MeasureList[#Headers],0))</f>
        <v>5.6426964573500609</v>
      </c>
      <c r="AC92" s="540">
        <f ca="1">INDEX(Tbl_MeasureList[],MATCH(Tbl_PD_MeasureSummary[[#This Row],[Measure ID]:[Measure ID]],Tbl_MeasureList[[Measure ID]:[Measure ID]],0),MATCH(AC$97,Tbl_MeasureList[#Headers],0))</f>
        <v>3.3554782462741191</v>
      </c>
      <c r="AD92" s="553">
        <f ca="1">INDEX(Tbl_MeasureList[],MATCH(Tbl_PD_MeasureSummary[[#This Row],[Measure ID]:[Measure ID]],Tbl_MeasureList[[Measure ID]:[Measure ID]],0),MATCH(AD$97,Tbl_MeasureList[#Headers],0))</f>
        <v>1894.6420379974406</v>
      </c>
      <c r="AE92" s="394">
        <f ca="1">INDEX(Tbl_MeasureList[],MATCH(Tbl_PD_MeasureSummary[[#This Row],[Measure ID]:[Measure ID]],Tbl_MeasureList[[Measure ID]:[Measure ID]],0),MATCH(AE$97,Tbl_MeasureList[#Headers],0))</f>
        <v>11417.700429590324</v>
      </c>
      <c r="AF92" s="532">
        <f ca="1">INDEX(Tbl_MeasureList[],MATCH(Tbl_PD_MeasureSummary[[#This Row],[Measure ID]:[Measure ID]],Tbl_MeasureList[[Measure ID]:[Measure ID]],0),MATCH(AF$97,Tbl_MeasureList[#Headers],0))</f>
        <v>-5175.7304693277729</v>
      </c>
      <c r="AG92" s="396">
        <f ca="1">INDEX(Tbl_MeasureList[],MATCH(Tbl_PD_MeasureSummary[[#This Row],[Measure ID]:[Measure ID]],Tbl_MeasureList[[Measure ID]:[Measure ID]],0),MATCH(AG$97,Tbl_MeasureList[#Headers],0))</f>
        <v>-1.0947794822627037</v>
      </c>
      <c r="AH92" s="534">
        <f ca="1">INDEX(Tbl_MeasureList[],MATCH(Tbl_PD_MeasureSummary[[#This Row],[Measure ID]:[Measure ID]],Tbl_MeasureList[[Measure ID]:[Measure ID]],0),MATCH(AH$97,Tbl_MeasureList[#Headers],0))</f>
        <v>0.97000000000000031</v>
      </c>
      <c r="AI92" s="656">
        <f ca="1">INDEX(Tbl_MeasureList[],MATCH(Tbl_PD_MeasureSummary[[#This Row],[Measure ID]:[Measure ID]],Tbl_MeasureList[[Measure ID]:[Measure ID]],0),MATCH(AI$97,Tbl_MeasureList[#Headers],0))</f>
        <v>0</v>
      </c>
      <c r="AJ92" s="536">
        <f ca="1">INDEX(Tbl_MeasureList[],MATCH(Tbl_PD_MeasureSummary[[#This Row],[Measure ID]:[Measure ID]],Tbl_MeasureList[[Measure ID]:[Measure ID]],0),MATCH(AJ$97,Tbl_MeasureList[#Headers],0))</f>
        <v>81.189877084173546</v>
      </c>
      <c r="AK92" s="656">
        <f ca="1">INDEX(Tbl_MeasureList[],MATCH(Tbl_PD_MeasureSummary[[#This Row],[Measure ID]:[Measure ID]],Tbl_MeasureList[[Measure ID]:[Measure ID]],0),MATCH(AK$97,Tbl_MeasureList[#Headers],0))</f>
        <v>0</v>
      </c>
      <c r="AL92" s="661">
        <f ca="1">INDEX(Tbl_MeasureList[],MATCH(Tbl_PD_MeasureSummary[[#This Row],[Measure ID]:[Measure ID]],Tbl_MeasureList[[Measure ID]:[Measure ID]],0),MATCH(AL$97,Tbl_MeasureList[#Headers],0))</f>
        <v>63.530284722827183</v>
      </c>
      <c r="AM92" s="656">
        <f ca="1">INDEX(Tbl_MeasureList[],MATCH(Tbl_PD_MeasureSummary[[#This Row],[Measure ID]:[Measure ID]],Tbl_MeasureList[[Measure ID]:[Measure ID]],0),MATCH(AM$97,Tbl_MeasureList[#Headers],0))</f>
        <v>5.6426964573500609</v>
      </c>
      <c r="AN92" s="662">
        <f ca="1">INDEX(Tbl_MeasureList[],MATCH(Tbl_PD_MeasureSummary[[#This Row],[Measure ID]:[Measure ID]],Tbl_MeasureList[[Measure ID]:[Measure ID]],0),MATCH(AN$97,Tbl_MeasureList[#Headers],0))</f>
        <v>3.8148354848022645</v>
      </c>
      <c r="AO92" s="538">
        <f ca="1">INDEX(Tbl_MeasureList[],MATCH(Tbl_PD_MeasureSummary[[#This Row],[Measure ID]:[Measure ID]],Tbl_MeasureList[[Measure ID]:[Measure ID]],0),MATCH(AO$97,Tbl_MeasureList[#Headers],0))</f>
        <v>-62.533317349691487</v>
      </c>
      <c r="AP92" s="440">
        <f ca="1">INDEX(Tbl_MeasureList[],MATCH(Tbl_PD_MeasureSummary[[#This Row],[Measure ID]:[Measure ID]],Tbl_MeasureList[[Measure ID]:[Measure ID]],0),MATCH(AP$97,Tbl_MeasureList[#Headers],0))</f>
        <v>-5.9492060428411229</v>
      </c>
      <c r="AQ92" s="541">
        <f ca="1">INDEX(Tbl_MeasureList[],MATCH(Tbl_PD_MeasureSummary[[#This Row],[Measure ID]:[Measure ID]],Tbl_MeasureList[[Measure ID]:[Measure ID]],0),MATCH(AQ$97,Tbl_MeasureList[#Headers],0))</f>
        <v>-25.755514591261822</v>
      </c>
      <c r="AR92" s="551">
        <f ca="1">INDEX(Tbl_MeasureList[],MATCH(Tbl_PD_MeasureSummary[[#This Row],[Measure ID]:[Measure ID]],Tbl_MeasureList[[Measure ID]:[Measure ID]],0),MATCH(AR$97,Tbl_MeasureList[#Headers],0))</f>
        <v>-49.974335511117488</v>
      </c>
      <c r="AS92" s="536">
        <f ca="1">INDEX(Tbl_MeasureList[],MATCH(Tbl_PD_MeasureSummary[[#This Row],[Measure ID]:[Measure ID]],Tbl_MeasureList[[Measure ID]:[Measure ID]],0),MATCH(AS$97,Tbl_MeasureList[#Headers],0))</f>
        <v>-4.754387443530959</v>
      </c>
      <c r="AT92" s="398">
        <f ca="1">INDEX(Tbl_MeasureList[],MATCH(Tbl_PD_MeasureSummary[[#This Row],[Measure ID]:[Measure ID]],Tbl_MeasureList[[Measure ID]:[Measure ID]],0),MATCH(AT$97,Tbl_MeasureList[#Headers],0))</f>
        <v>-20.582863375815297</v>
      </c>
    </row>
    <row r="93" spans="2:96" s="581" customFormat="1" x14ac:dyDescent="0.2">
      <c r="B93" s="582"/>
      <c r="C93" s="622" t="s">
        <v>92</v>
      </c>
      <c r="D93" s="83" t="str">
        <f>INDEX(Tbl_MeasureList[],MATCH(Tbl_PD_MeasureSummary[[#This Row],[Measure ID]:[Measure ID]],Tbl_MeasureList[[Measure ID]:[Measure ID]],0),MATCH(Tbl_PD_MeasureSummary[[#Headers],[Baseline Equipment ID]],Tbl_MeasureList[#Headers],0))</f>
        <v>EQUI038</v>
      </c>
      <c r="E93" s="623" t="str">
        <f>INDEX(Tbl_MeasureList[],MATCH(Tbl_PD_MeasureSummary[[#This Row],[Measure ID]:[Measure ID]],Tbl_MeasureList[[Measure ID]:[Measure ID]],0),MATCH(Tbl_PD_MeasureSummary[[#Headers],[Replacement ID]],Tbl_MeasureList[#Headers],0))</f>
        <v>EQUI013</v>
      </c>
      <c r="F93" s="83" t="str">
        <f>INDEX(Tbl_MeasureList[],MATCH(Tbl_PD_MeasureSummary[[#This Row],[Measure ID]:[Measure ID]],Tbl_MeasureList[[Measure ID]:[Measure ID]],0),MATCH(Tbl_PD_MeasureSummary[[#Headers],[Baseline Name]],Tbl_MeasureList[#Headers],0))</f>
        <v>Room AC/No AC Blend+Electric Baseboard</v>
      </c>
      <c r="G93" s="623" t="str">
        <f>INDEX(Tbl_MeasureList[],MATCH(Tbl_PD_MeasureSummary[[#This Row],[Measure ID]:[Measure ID]],Tbl_MeasureList[[Measure ID]:[Measure ID]],0),MATCH(Tbl_PD_MeasureSummary[[#Headers],[Replacement Name]],Tbl_MeasureList[#Headers],0))</f>
        <v>Electric Baseboard+DMSHP</v>
      </c>
      <c r="H93" s="83" t="str">
        <f>INDEX(Tbl_MeasureList[],MATCH(Tbl_PD_MeasureSummary[[#This Row],[Measure ID]:[Measure ID]],Tbl_MeasureList[[Measure ID]:[Measure ID]],0),MATCH(Tbl_PD_MeasureSummary[[#Headers],[Baseline Name]],Tbl_MeasureList[#Headers],0))&amp;" to "&amp;INDEX(Tbl_MeasureList[],MATCH(Tbl_PD_MeasureSummary[[#This Row],[Measure ID]:[Measure ID]],Tbl_MeasureList[[Measure ID]:[Measure ID]],0),MATCH(Tbl_PD_MeasureSummary[[#Headers],[Replacement Name]],Tbl_MeasureList[#Headers],0))</f>
        <v>Room AC/No AC Blend+Electric Baseboard to Electric Baseboard+DMSHP</v>
      </c>
      <c r="I93" s="623">
        <f>INDEX(Tbl_MeasureList[],MATCH(Tbl_PD_MeasureSummary[[#This Row],[Measure ID]:[Measure ID]],Tbl_MeasureList[[Measure ID]:[Measure ID]],0),MATCH(Tbl_PD_MeasureSummary[[#Headers],[New Unit Equipment Life (years)]],Tbl_MeasureList[#Headers],0))</f>
        <v>18</v>
      </c>
      <c r="J93" s="83" t="str">
        <f>INDEX(Tbl_MeasureList[],MATCH(Tbl_PD_MeasureSummary[[#This Row],[Measure ID]:[Measure ID]],Tbl_MeasureList[[Measure ID]:[Measure ID]],0),MATCH(Tbl_PD_MeasureSummary[[#Headers],[Baseline Function]],Tbl_MeasureList[#Headers],0))</f>
        <v>Cool+Heat</v>
      </c>
      <c r="K93" s="623" t="str">
        <f>INDEX(Tbl_MeasureList[],MATCH(Tbl_PD_MeasureSummary[[#This Row],[Measure ID]:[Measure ID]],Tbl_MeasureList[[Measure ID]:[Measure ID]],0),MATCH(Tbl_PD_MeasureSummary[[#Headers],[Replacement Function]],Tbl_MeasureList[#Headers],0))</f>
        <v>Cool+Heat</v>
      </c>
      <c r="L93" s="83" t="str">
        <f>INDEX(Tbl_MeasureList[],MATCH(Tbl_PD_MeasureSummary[[#This Row],[Measure ID]:[Measure ID]],Tbl_MeasureList[[Measure ID]:[Measure ID]],0),MATCH(Tbl_PD_MeasureSummary[[#Headers],[Keep Existing Heating Equipment?]],Tbl_MeasureList[#Headers],0))</f>
        <v>Yes</v>
      </c>
      <c r="M93" s="624" t="str">
        <f>INDEX(Tbl_MeasureList[Baseline Fuel 1],MATCH(Tbl_PD_MeasureSummary[[#This Row],[Measure ID]],Tbl_MeasureList[Measure ID],0))&amp;
  IF(INDEX(Tbl_MeasureList[Baseline Fuel 2],MATCH(Tbl_PD_MeasureSummary[[#This Row],[Measure ID]],Tbl_MeasureList[Measure ID],0))&lt;&gt;"-",
       "+"&amp;INDEX(Tbl_MeasureList[Baseline Fuel 2],MATCH(Tbl_PD_MeasureSummary[[#This Row],[Measure ID]],Tbl_MeasureList[Measure ID],0)),"")</f>
        <v>Electric+Electric</v>
      </c>
      <c r="N93" s="625" t="str">
        <f>INDEX(Tbl_MeasureList[Replacement Fuel 1],MATCH(Tbl_PD_MeasureSummary[[#This Row],[Measure ID]],Tbl_MeasureList[Measure ID],0))&amp;
  IF(INDEX(Tbl_MeasureList[Replacement Fuel 2],MATCH(Tbl_PD_MeasureSummary[[#This Row],[Measure ID]],Tbl_MeasureList[Measure ID],0))&lt;&gt;"-",
       "+"&amp;INDEX(Tbl_MeasureList[Replacement Fuel 2],MATCH(Tbl_PD_MeasureSummary[[#This Row],[Measure ID]],Tbl_MeasureList[Measure ID],0)),"")</f>
        <v>Electric+Electric</v>
      </c>
      <c r="O93" s="626" t="str">
        <f>IF(Tbl_PD_MeasureSummary[[#This Row],[Baseline Fuel]]="Oil",INDEX(Tbl_EquipmentDefinitions[Oil Baseline Efficiency],MATCH(Tbl_PD_MeasureSummary[[#This Row],[Baseline Equipment ID]:[Baseline Equipment ID]],Tbl_EquipmentDefinitions[Equipment ID],0)),
  IF(Tbl_PD_MeasureSummary[[#This Row],[Baseline Fuel]]="Propane",INDEX(Tbl_EquipmentDefinitions[Propane Baseline Efficiency],MATCH(Tbl_PD_MeasureSummary[[#This Row],[Baseline Equipment ID]:[Baseline Equipment ID]],Tbl_EquipmentDefinitions[Equipment ID],0)),
  IF(Tbl_PD_MeasureSummary[[#This Row],[Baseline Fuel]]="Electric+Oil",
        INDEX(Tbl_EquipmentDefinitions[Electricity Baseline Efficiency],MATCH(Tbl_PD_MeasureSummary[[#This Row],[Baseline Equipment ID]:[Baseline Equipment ID]],Tbl_EquipmentDefinitions[Equipment ID],0))&amp;CHAR(10)&amp;
        INDEX(Tbl_EquipmentDefinitions[Oil Baseline Efficiency],MATCH(Tbl_PD_MeasureSummary[[#This Row],[Baseline Equipment ID]:[Baseline Equipment ID]],Tbl_EquipmentDefinitions[Equipment ID],0)),
  IF(Tbl_PD_MeasureSummary[[#This Row],[Baseline Fuel]]="Electric+Propane",
        INDEX(Tbl_EquipmentDefinitions[Electricity Baseline Efficiency],MATCH(Tbl_PD_MeasureSummary[[#This Row],[Baseline Equipment ID]:[Baseline Equipment ID]],Tbl_EquipmentDefinitions[Equipment ID],0))&amp;CHAR(10)&amp;
        INDEX(Tbl_EquipmentDefinitions[Propane Baseline Efficiency],MATCH(Tbl_PD_MeasureSummary[[#This Row],[Baseline Equipment ID]:[Baseline Equipment ID]],Tbl_EquipmentDefinitions[Equipment ID],0)),
  IF(Tbl_PD_MeasureSummary[[#This Row],[Baseline Fuel]]="Electric+Electric",INDEX(Tbl_EquipmentDefinitions[Electricity Baseline Efficiency],MATCH(Tbl_PD_MeasureSummary[[#This Row],[Baseline Equipment ID]:[Baseline Equipment ID]],Tbl_EquipmentDefinitions[Equipment ID],0)),
)))))</f>
        <v>8 EER/1 COP</v>
      </c>
      <c r="P93" s="627" t="str">
        <f>IF(Tbl_PD_MeasureSummary[[#This Row],[Baseline Fuel]]="Oil",INDEX(Tbl_EquipmentDefinitions[Oil Code Efficiency],MATCH(Tbl_PD_MeasureSummary[[#This Row],[Baseline Equipment ID]:[Baseline Equipment ID]],Tbl_EquipmentDefinitions[Equipment ID],0)),
  IF(Tbl_PD_MeasureSummary[[#This Row],[Baseline Fuel]]="Propane",INDEX(Tbl_EquipmentDefinitions[Propane Code Efficiency],MATCH(Tbl_PD_MeasureSummary[[#This Row],[Baseline Equipment ID]:[Baseline Equipment ID]],Tbl_EquipmentDefinitions[Equipment ID],0)),
  IF(Tbl_PD_MeasureSummary[[#This Row],[Baseline Fuel]]="Electric+Oil",
        INDEX(Tbl_EquipmentDefinitions[Electricity Code Efficiency],MATCH(Tbl_PD_MeasureSummary[[#This Row],[Baseline Equipment ID]:[Baseline Equipment ID]],Tbl_EquipmentDefinitions[Equipment ID],0))&amp;CHAR(10)&amp;
        INDEX(Tbl_EquipmentDefinitions[Oil Code Efficiency],MATCH(Tbl_PD_MeasureSummary[[#This Row],[Baseline Equipment ID]:[Baseline Equipment ID]],Tbl_EquipmentDefinitions[Equipment ID],0)),
  IF(Tbl_PD_MeasureSummary[[#This Row],[Baseline Fuel]]="Electric+Propane",
        INDEX(Tbl_EquipmentDefinitions[Electricity Code Efficiency],MATCH(Tbl_PD_MeasureSummary[[#This Row],[Baseline Equipment ID]:[Baseline Equipment ID]],Tbl_EquipmentDefinitions[Equipment ID],0))&amp;CHAR(10)&amp;
        INDEX(Tbl_EquipmentDefinitions[Propane Code Efficiency],MATCH(Tbl_PD_MeasureSummary[[#This Row],[Baseline Equipment ID]:[Baseline Equipment ID]],Tbl_EquipmentDefinitions[Equipment ID],0)),
  IF(Tbl_PD_MeasureSummary[[#This Row],[Baseline Fuel]]="Electric+Electric",INDEX(Tbl_EquipmentDefinitions[Electricity Code Efficiency],MATCH(Tbl_PD_MeasureSummary[[#This Row],[Baseline Equipment ID]:[Baseline Equipment ID]],Tbl_EquipmentDefinitions[Equipment ID],0)),
)))))</f>
        <v>10 EER/1 COP</v>
      </c>
      <c r="Q93" s="626" t="str">
        <f>IF(Tbl_PD_MeasureSummary[[#This Row],[Replacement Fuel]]="Natural Gas",INDEX(Tbl_EquipmentDefinitions[Natural Gas Low Measure Efficiency],MATCH(Tbl_PD_MeasureSummary[[#This Row],[Replacement ID]:[Replacement ID]],Tbl_EquipmentDefinitions[Equipment ID],0)),
  IF(Tbl_PD_MeasureSummary[[#This Row],[Replacement Fuel]]="Electric",INDEX(Tbl_EquipmentDefinitions[Electricity Low Measure Efficiency],MATCH(Tbl_PD_MeasureSummary[[#This Row],[Replacement ID]:[Replacement ID]],Tbl_EquipmentDefinitions[Equipment ID],0)),
  IF(Tbl_PD_MeasureSummary[[#This Row],[Replacement Fuel]]="Electric+Oil",
        INDEX(Tbl_EquipmentDefinitions[Electricity Low Measure Efficiency],MATCH(Tbl_PD_MeasureSummary[[#This Row],[Replacement ID]:[Replacement ID]],Tbl_EquipmentDefinitions[Equipment ID],0))&amp;CHAR(10)&amp;
        INDEX(Tbl_EquipmentDefinitions[Oil Baseline Efficiency],MATCH(Tbl_PD_MeasureSummary[[#This Row],[Replacement ID]:[Replacement ID]],Tbl_EquipmentDefinitions[Equipment ID],0)),
  IF(Tbl_PD_MeasureSummary[[#This Row],[Replacement Fuel]]="Electric+Propane",
        INDEX(Tbl_EquipmentDefinitions[Electricity Low Measure Efficiency],MATCH(Tbl_PD_MeasureSummary[[#This Row],[Replacement ID]:[Replacement ID]],Tbl_EquipmentDefinitions[Equipment ID],0))&amp;CHAR(10)&amp;
        INDEX(Tbl_EquipmentDefinitions[Propane Baseline Efficiency],MATCH(Tbl_PD_MeasureSummary[[#This Row],[Replacement ID]:[Replacement ID]],Tbl_EquipmentDefinitions[Equipment ID],0)),
  IF(Tbl_PD_MeasureSummary[[#This Row],[Replacement Fuel]]="Electric+Electric",INDEX(Tbl_EquipmentDefinitions[Electricity Low Measure Efficiency],MATCH(Tbl_PD_MeasureSummary[[#This Row],[Replacement ID]:[Replacement ID]],Tbl_EquipmentDefinitions[Equipment ID],0)),
)))))</f>
        <v>1 COP, 18 SEER/10.0 HSPF</v>
      </c>
      <c r="R93" s="628" t="str">
        <f>IF(Tbl_PD_MeasureSummary[[#This Row],[Replacement Fuel]]="Natural Gas",INDEX(Tbl_EquipmentDefinitions[Natural Gas High Measure Efficiency],MATCH(Tbl_PD_MeasureSummary[[#This Row],[Replacement ID]:[Replacement ID]],Tbl_EquipmentDefinitions[Equipment ID],0)),
  IF(Tbl_PD_MeasureSummary[[#This Row],[Replacement Fuel]]="Electric",INDEX(Tbl_EquipmentDefinitions[Electricity High Measure Efficiency],MATCH(Tbl_PD_MeasureSummary[[#This Row],[Replacement ID]:[Replacement ID]],Tbl_EquipmentDefinitions[Equipment ID],0)),
  IF(Tbl_PD_MeasureSummary[[#This Row],[Replacement Fuel]]="Electric+Oil",
        INDEX(Tbl_EquipmentDefinitions[Electricity High Measure Efficiency],MATCH(Tbl_PD_MeasureSummary[[#This Row],[Replacement ID]:[Replacement ID]],Tbl_EquipmentDefinitions[Equipment ID],0))&amp;CHAR(10)&amp;
        INDEX(Tbl_EquipmentDefinitions[Oil Baseline Efficiency],MATCH(Tbl_PD_MeasureSummary[[#This Row],[Replacement ID]:[Replacement ID]],Tbl_EquipmentDefinitions[Equipment ID],0)),
  IF(Tbl_PD_MeasureSummary[[#This Row],[Replacement Fuel]]="Electric+Propane",
        INDEX(Tbl_EquipmentDefinitions[Electricity High Measure Efficiency],MATCH(Tbl_PD_MeasureSummary[[#This Row],[Replacement ID]:[Replacement ID]],Tbl_EquipmentDefinitions[Equipment ID],0))&amp;CHAR(10)&amp;
        INDEX(Tbl_EquipmentDefinitions[Propane Baseline Efficiency],MATCH(Tbl_PD_MeasureSummary[[#This Row],[Replacement ID]:[Replacement ID]],Tbl_EquipmentDefinitions[Equipment ID],0)),
  IF(Tbl_PD_MeasureSummary[[#This Row],[Replacement Fuel]]="Electric+Electric",INDEX(Tbl_EquipmentDefinitions[Electricity High Measure Efficiency],MATCH(Tbl_PD_MeasureSummary[[#This Row],[Replacement ID]:[Replacement ID]],Tbl_EquipmentDefinitions[Equipment ID],0)),
)))))</f>
        <v>1 COP, 20 SEER/12.0 HSPF</v>
      </c>
      <c r="S93" s="530">
        <f ca="1">INDEX(Tbl_MeasureList[],MATCH(Tbl_PD_MeasureSummary[[#This Row],[Measure ID]:[Measure ID]],Tbl_MeasureList[[Measure ID]:[Measure ID]],0),MATCH(S$97,Tbl_MeasureList[#Headers],0))</f>
        <v>2216.2153960985102</v>
      </c>
      <c r="T93" s="438">
        <f ca="1">INDEX(Tbl_MeasureList[],MATCH(Tbl_PD_MeasureSummary[[#This Row],[Measure ID]:[Measure ID]],Tbl_MeasureList[[Measure ID]:[Measure ID]],0),MATCH(T$97,Tbl_MeasureList[#Headers],0))</f>
        <v>12273.800429590323</v>
      </c>
      <c r="U93" s="554">
        <f ca="1">INDEX(Tbl_MeasureList[],MATCH(Tbl_PD_MeasureSummary[[#This Row],[Measure ID]:[Measure ID]],Tbl_MeasureList[[Measure ID]:[Measure ID]],0),MATCH(U$97,Tbl_MeasureList[#Headers],0))</f>
        <v>11204.324550548587</v>
      </c>
      <c r="V93" s="439">
        <f ca="1">INDEX(Tbl_MeasureList[],MATCH(Tbl_PD_MeasureSummary[[#This Row],[Measure ID]:[Measure ID]],Tbl_MeasureList[[Measure ID]:[Measure ID]],0),MATCH(V$97,Tbl_MeasureList[#Headers],0))</f>
        <v>0</v>
      </c>
      <c r="W93" s="555">
        <f ca="1">INDEX(Tbl_MeasureList[],MATCH(Tbl_PD_MeasureSummary[[#This Row],[Measure ID]:[Measure ID]],Tbl_MeasureList[[Measure ID]:[Measure ID]],0),MATCH(W$97,Tbl_MeasureList[#Headers],0))</f>
        <v>0.39999999999999991</v>
      </c>
      <c r="X93" s="660">
        <f ca="1">INDEX(Tbl_MeasureList[],MATCH(Tbl_PD_MeasureSummary[[#This Row],[Measure ID]:[Measure ID]],Tbl_MeasureList[[Measure ID]:[Measure ID]],0),MATCH(X$97,Tbl_MeasureList[#Headers],0))</f>
        <v>0</v>
      </c>
      <c r="Y93" s="556">
        <f ca="1">INDEX(Tbl_MeasureList[],MATCH(Tbl_PD_MeasureSummary[[#This Row],[Measure ID]:[Measure ID]],Tbl_MeasureList[[Measure ID]:[Measure ID]],0),MATCH(Y$97,Tbl_MeasureList[#Headers],0))</f>
        <v>0</v>
      </c>
      <c r="Z93" s="660">
        <f ca="1">INDEX(Tbl_MeasureList[],MATCH(Tbl_PD_MeasureSummary[[#This Row],[Measure ID]:[Measure ID]],Tbl_MeasureList[[Measure ID]:[Measure ID]],0),MATCH(Z$97,Tbl_MeasureList[#Headers],0))</f>
        <v>0</v>
      </c>
      <c r="AA93" s="556">
        <f ca="1">INDEX(Tbl_MeasureList[],MATCH(Tbl_PD_MeasureSummary[[#This Row],[Measure ID]:[Measure ID]],Tbl_MeasureList[[Measure ID]:[Measure ID]],0),MATCH(AA$97,Tbl_MeasureList[#Headers],0))</f>
        <v>38.22915536647178</v>
      </c>
      <c r="AB93" s="660">
        <f ca="1">INDEX(Tbl_MeasureList[],MATCH(Tbl_PD_MeasureSummary[[#This Row],[Measure ID]:[Measure ID]],Tbl_MeasureList[[Measure ID]:[Measure ID]],0),MATCH(AB$97,Tbl_MeasureList[#Headers],0))</f>
        <v>0</v>
      </c>
      <c r="AC93" s="540">
        <f ca="1">INDEX(Tbl_MeasureList[],MATCH(Tbl_PD_MeasureSummary[[#This Row],[Measure ID]:[Measure ID]],Tbl_MeasureList[[Measure ID]:[Measure ID]],0),MATCH(AC$97,Tbl_MeasureList[#Headers],0))</f>
        <v>3.9569192582717383</v>
      </c>
      <c r="AD93" s="553">
        <f ca="1">INDEX(Tbl_MeasureList[],MATCH(Tbl_PD_MeasureSummary[[#This Row],[Measure ID]:[Measure ID]],Tbl_MeasureList[[Measure ID]:[Measure ID]],0),MATCH(AD$97,Tbl_MeasureList[#Headers],0))</f>
        <v>2473.4949911287154</v>
      </c>
      <c r="AE93" s="394">
        <f ca="1">INDEX(Tbl_MeasureList[],MATCH(Tbl_PD_MeasureSummary[[#This Row],[Measure ID]:[Measure ID]],Tbl_MeasureList[[Measure ID]:[Measure ID]],0),MATCH(AE$97,Tbl_MeasureList[#Headers],0))</f>
        <v>12673.500429590324</v>
      </c>
      <c r="AF93" s="532">
        <f ca="1">INDEX(Tbl_MeasureList[],MATCH(Tbl_PD_MeasureSummary[[#This Row],[Measure ID]:[Measure ID]],Tbl_MeasureList[[Measure ID]:[Measure ID]],0),MATCH(AF$97,Tbl_MeasureList[#Headers],0))</f>
        <v>12505.030288820604</v>
      </c>
      <c r="AG93" s="396">
        <f ca="1">INDEX(Tbl_MeasureList[],MATCH(Tbl_PD_MeasureSummary[[#This Row],[Measure ID]:[Measure ID]],Tbl_MeasureList[[Measure ID]:[Measure ID]],0),MATCH(AG$97,Tbl_MeasureList[#Headers],0))</f>
        <v>0</v>
      </c>
      <c r="AH93" s="534">
        <f ca="1">INDEX(Tbl_MeasureList[],MATCH(Tbl_PD_MeasureSummary[[#This Row],[Measure ID]:[Measure ID]],Tbl_MeasureList[[Measure ID]:[Measure ID]],0),MATCH(AH$97,Tbl_MeasureList[#Headers],0))</f>
        <v>0.39999999999999991</v>
      </c>
      <c r="AI93" s="656">
        <f ca="1">INDEX(Tbl_MeasureList[],MATCH(Tbl_PD_MeasureSummary[[#This Row],[Measure ID]:[Measure ID]],Tbl_MeasureList[[Measure ID]:[Measure ID]],0),MATCH(AI$97,Tbl_MeasureList[#Headers],0))</f>
        <v>0</v>
      </c>
      <c r="AJ93" s="536">
        <f ca="1">INDEX(Tbl_MeasureList[],MATCH(Tbl_PD_MeasureSummary[[#This Row],[Measure ID]:[Measure ID]],Tbl_MeasureList[[Measure ID]:[Measure ID]],0),MATCH(AJ$97,Tbl_MeasureList[#Headers],0))</f>
        <v>0</v>
      </c>
      <c r="AK93" s="656">
        <f ca="1">INDEX(Tbl_MeasureList[],MATCH(Tbl_PD_MeasureSummary[[#This Row],[Measure ID]:[Measure ID]],Tbl_MeasureList[[Measure ID]:[Measure ID]],0),MATCH(AK$97,Tbl_MeasureList[#Headers],0))</f>
        <v>0</v>
      </c>
      <c r="AL93" s="661">
        <f ca="1">INDEX(Tbl_MeasureList[],MATCH(Tbl_PD_MeasureSummary[[#This Row],[Measure ID]:[Measure ID]],Tbl_MeasureList[[Measure ID]:[Measure ID]],0),MATCH(AL$97,Tbl_MeasureList[#Headers],0))</f>
        <v>42.667163345455904</v>
      </c>
      <c r="AM93" s="656">
        <f ca="1">INDEX(Tbl_MeasureList[],MATCH(Tbl_PD_MeasureSummary[[#This Row],[Measure ID]:[Measure ID]],Tbl_MeasureList[[Measure ID]:[Measure ID]],0),MATCH(AM$97,Tbl_MeasureList[#Headers],0))</f>
        <v>0</v>
      </c>
      <c r="AN93" s="662">
        <f ca="1">INDEX(Tbl_MeasureList[],MATCH(Tbl_PD_MeasureSummary[[#This Row],[Measure ID]:[Measure ID]],Tbl_MeasureList[[Measure ID]:[Measure ID]],0),MATCH(AN$97,Tbl_MeasureList[#Headers],0))</f>
        <v>4.4162764967998838</v>
      </c>
      <c r="AO93" s="538">
        <f ca="1">INDEX(Tbl_MeasureList[],MATCH(Tbl_PD_MeasureSummary[[#This Row],[Measure ID]:[Measure ID]],Tbl_MeasureList[[Measure ID]:[Measure ID]],0),MATCH(AO$97,Tbl_MeasureList[#Headers],0))</f>
        <v>108.18350715571354</v>
      </c>
      <c r="AP93" s="440">
        <f ca="1">INDEX(Tbl_MeasureList[],MATCH(Tbl_PD_MeasureSummary[[#This Row],[Measure ID]:[Measure ID]],Tbl_MeasureList[[Measure ID]:[Measure ID]],0),MATCH(AP$97,Tbl_MeasureList[#Headers],0))</f>
        <v>10.292209046058103</v>
      </c>
      <c r="AQ93" s="541">
        <f ca="1">INDEX(Tbl_MeasureList[],MATCH(Tbl_PD_MeasureSummary[[#This Row],[Measure ID]:[Measure ID]],Tbl_MeasureList[[Measure ID]:[Measure ID]],0),MATCH(AQ$97,Tbl_MeasureList[#Headers],0))</f>
        <v>44.557397802862674</v>
      </c>
      <c r="AR93" s="551">
        <f ca="1">INDEX(Tbl_MeasureList[],MATCH(Tbl_PD_MeasureSummary[[#This Row],[Measure ID]:[Measure ID]],Tbl_MeasureList[[Measure ID]:[Measure ID]],0),MATCH(AR$97,Tbl_MeasureList[#Headers],0))</f>
        <v>120.74248899428754</v>
      </c>
      <c r="AS93" s="536">
        <f ca="1">INDEX(Tbl_MeasureList[],MATCH(Tbl_PD_MeasureSummary[[#This Row],[Measure ID]:[Measure ID]],Tbl_MeasureList[[Measure ID]:[Measure ID]],0),MATCH(AS$97,Tbl_MeasureList[#Headers],0))</f>
        <v>11.487027645368267</v>
      </c>
      <c r="AT93" s="398">
        <f ca="1">INDEX(Tbl_MeasureList[],MATCH(Tbl_PD_MeasureSummary[[#This Row],[Measure ID]:[Measure ID]],Tbl_MeasureList[[Measure ID]:[Measure ID]],0),MATCH(AT$97,Tbl_MeasureList[#Headers],0))</f>
        <v>49.730049018309195</v>
      </c>
    </row>
    <row r="94" spans="2:96" s="581" customFormat="1" ht="22.5" x14ac:dyDescent="0.2">
      <c r="B94" s="582"/>
      <c r="C94" s="622" t="s">
        <v>841</v>
      </c>
      <c r="D94" s="83" t="str">
        <f>INDEX(Tbl_MeasureList[],MATCH(Tbl_PD_MeasureSummary[[#This Row],[Measure ID]:[Measure ID]],Tbl_MeasureList[[Measure ID]:[Measure ID]],0),MATCH(Tbl_PD_MeasureSummary[[#Headers],[Baseline Equipment ID]],Tbl_MeasureList[#Headers],0))</f>
        <v>EQUI032</v>
      </c>
      <c r="E94" s="623" t="str">
        <f>INDEX(Tbl_MeasureList[],MATCH(Tbl_PD_MeasureSummary[[#This Row],[Measure ID]:[Measure ID]],Tbl_MeasureList[[Measure ID]:[Measure ID]],0),MATCH(Tbl_PD_MeasureSummary[[#Headers],[Replacement ID]],Tbl_MeasureList[#Headers],0))</f>
        <v>EQUI033</v>
      </c>
      <c r="F94" s="83" t="str">
        <f>INDEX(Tbl_MeasureList[],MATCH(Tbl_PD_MeasureSummary[[#This Row],[Measure ID]:[Measure ID]],Tbl_MeasureList[[Measure ID]:[Measure ID]],0),MATCH(Tbl_PD_MeasureSummary[[#Headers],[Baseline Name]],Tbl_MeasureList[#Headers],0))</f>
        <v>Central A/C+Oil Boiler</v>
      </c>
      <c r="G94" s="623" t="str">
        <f>INDEX(Tbl_MeasureList[],MATCH(Tbl_PD_MeasureSummary[[#This Row],[Measure ID]:[Measure ID]],Tbl_MeasureList[[Measure ID]:[Measure ID]],0),MATCH(Tbl_PD_MeasureSummary[[#Headers],[Replacement Name]],Tbl_MeasureList[#Headers],0))</f>
        <v>Central HP+Oil Boiler</v>
      </c>
      <c r="H94" s="83" t="str">
        <f>INDEX(Tbl_MeasureList[],MATCH(Tbl_PD_MeasureSummary[[#This Row],[Measure ID]:[Measure ID]],Tbl_MeasureList[[Measure ID]:[Measure ID]],0),MATCH(Tbl_PD_MeasureSummary[[#Headers],[Baseline Name]],Tbl_MeasureList[#Headers],0))&amp;" to "&amp;INDEX(Tbl_MeasureList[],MATCH(Tbl_PD_MeasureSummary[[#This Row],[Measure ID]:[Measure ID]],Tbl_MeasureList[[Measure ID]:[Measure ID]],0),MATCH(Tbl_PD_MeasureSummary[[#Headers],[Replacement Name]],Tbl_MeasureList[#Headers],0))</f>
        <v>Central A/C+Oil Boiler to Central HP+Oil Boiler</v>
      </c>
      <c r="I94" s="623">
        <f>INDEX(Tbl_MeasureList[],MATCH(Tbl_PD_MeasureSummary[[#This Row],[Measure ID]:[Measure ID]],Tbl_MeasureList[[Measure ID]:[Measure ID]],0),MATCH(Tbl_PD_MeasureSummary[[#Headers],[New Unit Equipment Life (years)]],Tbl_MeasureList[#Headers],0))</f>
        <v>20</v>
      </c>
      <c r="J94" s="83" t="str">
        <f>INDEX(Tbl_MeasureList[],MATCH(Tbl_PD_MeasureSummary[[#This Row],[Measure ID]:[Measure ID]],Tbl_MeasureList[[Measure ID]:[Measure ID]],0),MATCH(Tbl_PD_MeasureSummary[[#Headers],[Baseline Function]],Tbl_MeasureList[#Headers],0))</f>
        <v>Cool+Heat</v>
      </c>
      <c r="K94" s="623" t="str">
        <f>INDEX(Tbl_MeasureList[],MATCH(Tbl_PD_MeasureSummary[[#This Row],[Measure ID]:[Measure ID]],Tbl_MeasureList[[Measure ID]:[Measure ID]],0),MATCH(Tbl_PD_MeasureSummary[[#Headers],[Replacement Function]],Tbl_MeasureList[#Headers],0))</f>
        <v>Cool+Heat</v>
      </c>
      <c r="L94" s="83" t="str">
        <f>INDEX(Tbl_MeasureList[],MATCH(Tbl_PD_MeasureSummary[[#This Row],[Measure ID]:[Measure ID]],Tbl_MeasureList[[Measure ID]:[Measure ID]],0),MATCH(Tbl_PD_MeasureSummary[[#Headers],[Keep Existing Heating Equipment?]],Tbl_MeasureList[#Headers],0))</f>
        <v>Yes</v>
      </c>
      <c r="M94" s="624" t="str">
        <f>INDEX(Tbl_MeasureList[Baseline Fuel 1],MATCH(Tbl_PD_MeasureSummary[[#This Row],[Measure ID]],Tbl_MeasureList[Measure ID],0))&amp;
  IF(INDEX(Tbl_MeasureList[Baseline Fuel 2],MATCH(Tbl_PD_MeasureSummary[[#This Row],[Measure ID]],Tbl_MeasureList[Measure ID],0))&lt;&gt;"-",
       "+"&amp;INDEX(Tbl_MeasureList[Baseline Fuel 2],MATCH(Tbl_PD_MeasureSummary[[#This Row],[Measure ID]],Tbl_MeasureList[Measure ID],0)),"")</f>
        <v>Electric+Oil</v>
      </c>
      <c r="N94" s="625" t="str">
        <f>INDEX(Tbl_MeasureList[Replacement Fuel 1],MATCH(Tbl_PD_MeasureSummary[[#This Row],[Measure ID]],Tbl_MeasureList[Measure ID],0))&amp;
  IF(INDEX(Tbl_MeasureList[Replacement Fuel 2],MATCH(Tbl_PD_MeasureSummary[[#This Row],[Measure ID]],Tbl_MeasureList[Measure ID],0))&lt;&gt;"-",
       "+"&amp;INDEX(Tbl_MeasureList[Replacement Fuel 2],MATCH(Tbl_PD_MeasureSummary[[#This Row],[Measure ID]],Tbl_MeasureList[Measure ID],0)),"")</f>
        <v>Electric+Oil</v>
      </c>
      <c r="O94" s="626" t="str">
        <f>IF(Tbl_PD_MeasureSummary[[#This Row],[Baseline Fuel]]="Oil",INDEX(Tbl_EquipmentDefinitions[Oil Baseline Efficiency],MATCH(Tbl_PD_MeasureSummary[[#This Row],[Baseline Equipment ID]:[Baseline Equipment ID]],Tbl_EquipmentDefinitions[Equipment ID],0)),
  IF(Tbl_PD_MeasureSummary[[#This Row],[Baseline Fuel]]="Propane",INDEX(Tbl_EquipmentDefinitions[Propane Baseline Efficiency],MATCH(Tbl_PD_MeasureSummary[[#This Row],[Baseline Equipment ID]:[Baseline Equipment ID]],Tbl_EquipmentDefinitions[Equipment ID],0)),
  IF(Tbl_PD_MeasureSummary[[#This Row],[Baseline Fuel]]="Electric+Oil",
        INDEX(Tbl_EquipmentDefinitions[Electricity Baseline Efficiency],MATCH(Tbl_PD_MeasureSummary[[#This Row],[Baseline Equipment ID]:[Baseline Equipment ID]],Tbl_EquipmentDefinitions[Equipment ID],0))&amp;CHAR(10)&amp;
        INDEX(Tbl_EquipmentDefinitions[Oil Baseline Efficiency],MATCH(Tbl_PD_MeasureSummary[[#This Row],[Baseline Equipment ID]:[Baseline Equipment ID]],Tbl_EquipmentDefinitions[Equipment ID],0)),
  IF(Tbl_PD_MeasureSummary[[#This Row],[Baseline Fuel]]="Electric+Propane",
        INDEX(Tbl_EquipmentDefinitions[Electricity Baseline Efficiency],MATCH(Tbl_PD_MeasureSummary[[#This Row],[Baseline Equipment ID]:[Baseline Equipment ID]],Tbl_EquipmentDefinitions[Equipment ID],0))&amp;CHAR(10)&amp;
        INDEX(Tbl_EquipmentDefinitions[Propane Baseline Efficiency],MATCH(Tbl_PD_MeasureSummary[[#This Row],[Baseline Equipment ID]:[Baseline Equipment ID]],Tbl_EquipmentDefinitions[Equipment ID],0)),
  IF(Tbl_PD_MeasureSummary[[#This Row],[Baseline Fuel]]="Electric+Electric",INDEX(Tbl_EquipmentDefinitions[Electricity Baseline Efficiency],MATCH(Tbl_PD_MeasureSummary[[#This Row],[Baseline Equipment ID]:[Baseline Equipment ID]],Tbl_EquipmentDefinitions[Equipment ID],0)),
)))))</f>
        <v>10 SEER/8.5 EER
75% AFUE</v>
      </c>
      <c r="P94" s="627" t="str">
        <f>IF(Tbl_PD_MeasureSummary[[#This Row],[Baseline Fuel]]="Oil",INDEX(Tbl_EquipmentDefinitions[Oil Code Efficiency],MATCH(Tbl_PD_MeasureSummary[[#This Row],[Baseline Equipment ID]:[Baseline Equipment ID]],Tbl_EquipmentDefinitions[Equipment ID],0)),
  IF(Tbl_PD_MeasureSummary[[#This Row],[Baseline Fuel]]="Propane",INDEX(Tbl_EquipmentDefinitions[Propane Code Efficiency],MATCH(Tbl_PD_MeasureSummary[[#This Row],[Baseline Equipment ID]:[Baseline Equipment ID]],Tbl_EquipmentDefinitions[Equipment ID],0)),
  IF(Tbl_PD_MeasureSummary[[#This Row],[Baseline Fuel]]="Electric+Oil",
        INDEX(Tbl_EquipmentDefinitions[Electricity Code Efficiency],MATCH(Tbl_PD_MeasureSummary[[#This Row],[Baseline Equipment ID]:[Baseline Equipment ID]],Tbl_EquipmentDefinitions[Equipment ID],0))&amp;CHAR(10)&amp;
        INDEX(Tbl_EquipmentDefinitions[Oil Code Efficiency],MATCH(Tbl_PD_MeasureSummary[[#This Row],[Baseline Equipment ID]:[Baseline Equipment ID]],Tbl_EquipmentDefinitions[Equipment ID],0)),
  IF(Tbl_PD_MeasureSummary[[#This Row],[Baseline Fuel]]="Electric+Propane",
        INDEX(Tbl_EquipmentDefinitions[Electricity Code Efficiency],MATCH(Tbl_PD_MeasureSummary[[#This Row],[Baseline Equipment ID]:[Baseline Equipment ID]],Tbl_EquipmentDefinitions[Equipment ID],0))&amp;CHAR(10)&amp;
        INDEX(Tbl_EquipmentDefinitions[Propane Code Efficiency],MATCH(Tbl_PD_MeasureSummary[[#This Row],[Baseline Equipment ID]:[Baseline Equipment ID]],Tbl_EquipmentDefinitions[Equipment ID],0)),
  IF(Tbl_PD_MeasureSummary[[#This Row],[Baseline Fuel]]="Electric+Electric",INDEX(Tbl_EquipmentDefinitions[Electricity Code Efficiency],MATCH(Tbl_PD_MeasureSummary[[#This Row],[Baseline Equipment ID]:[Baseline Equipment ID]],Tbl_EquipmentDefinitions[Equipment ID],0)),
)))))</f>
        <v>13 SEER/11 EER
84% AFUE</v>
      </c>
      <c r="Q94" s="626" t="str">
        <f>IF(Tbl_PD_MeasureSummary[[#This Row],[Replacement Fuel]]="Natural Gas",INDEX(Tbl_EquipmentDefinitions[Natural Gas Low Measure Efficiency],MATCH(Tbl_PD_MeasureSummary[[#This Row],[Replacement ID]:[Replacement ID]],Tbl_EquipmentDefinitions[Equipment ID],0)),
  IF(Tbl_PD_MeasureSummary[[#This Row],[Replacement Fuel]]="Electric",INDEX(Tbl_EquipmentDefinitions[Electricity Low Measure Efficiency],MATCH(Tbl_PD_MeasureSummary[[#This Row],[Replacement ID]:[Replacement ID]],Tbl_EquipmentDefinitions[Equipment ID],0)),
  IF(Tbl_PD_MeasureSummary[[#This Row],[Replacement Fuel]]="Electric+Oil",
        INDEX(Tbl_EquipmentDefinitions[Electricity Low Measure Efficiency],MATCH(Tbl_PD_MeasureSummary[[#This Row],[Replacement ID]:[Replacement ID]],Tbl_EquipmentDefinitions[Equipment ID],0))&amp;CHAR(10)&amp;
        INDEX(Tbl_EquipmentDefinitions[Oil Baseline Efficiency],MATCH(Tbl_PD_MeasureSummary[[#This Row],[Replacement ID]:[Replacement ID]],Tbl_EquipmentDefinitions[Equipment ID],0)),
  IF(Tbl_PD_MeasureSummary[[#This Row],[Replacement Fuel]]="Electric+Propane",
        INDEX(Tbl_EquipmentDefinitions[Electricity Low Measure Efficiency],MATCH(Tbl_PD_MeasureSummary[[#This Row],[Replacement ID]:[Replacement ID]],Tbl_EquipmentDefinitions[Equipment ID],0))&amp;CHAR(10)&amp;
        INDEX(Tbl_EquipmentDefinitions[Propane Baseline Efficiency],MATCH(Tbl_PD_MeasureSummary[[#This Row],[Replacement ID]:[Replacement ID]],Tbl_EquipmentDefinitions[Equipment ID],0)),
  IF(Tbl_PD_MeasureSummary[[#This Row],[Replacement Fuel]]="Electric+Electric",INDEX(Tbl_EquipmentDefinitions[Electricity Low Measure Efficiency],MATCH(Tbl_PD_MeasureSummary[[#This Row],[Replacement ID]:[Replacement ID]],Tbl_EquipmentDefinitions[Equipment ID],0)),
)))))</f>
        <v>16 SEER/8.5 HSPF
75% AFUE</v>
      </c>
      <c r="R94" s="628" t="str">
        <f>IF(Tbl_PD_MeasureSummary[[#This Row],[Replacement Fuel]]="Natural Gas",INDEX(Tbl_EquipmentDefinitions[Natural Gas High Measure Efficiency],MATCH(Tbl_PD_MeasureSummary[[#This Row],[Replacement ID]:[Replacement ID]],Tbl_EquipmentDefinitions[Equipment ID],0)),
  IF(Tbl_PD_MeasureSummary[[#This Row],[Replacement Fuel]]="Electric",INDEX(Tbl_EquipmentDefinitions[Electricity High Measure Efficiency],MATCH(Tbl_PD_MeasureSummary[[#This Row],[Replacement ID]:[Replacement ID]],Tbl_EquipmentDefinitions[Equipment ID],0)),
  IF(Tbl_PD_MeasureSummary[[#This Row],[Replacement Fuel]]="Electric+Oil",
        INDEX(Tbl_EquipmentDefinitions[Electricity High Measure Efficiency],MATCH(Tbl_PD_MeasureSummary[[#This Row],[Replacement ID]:[Replacement ID]],Tbl_EquipmentDefinitions[Equipment ID],0))&amp;CHAR(10)&amp;
        INDEX(Tbl_EquipmentDefinitions[Oil Baseline Efficiency],MATCH(Tbl_PD_MeasureSummary[[#This Row],[Replacement ID]:[Replacement ID]],Tbl_EquipmentDefinitions[Equipment ID],0)),
  IF(Tbl_PD_MeasureSummary[[#This Row],[Replacement Fuel]]="Electric+Propane",
        INDEX(Tbl_EquipmentDefinitions[Electricity High Measure Efficiency],MATCH(Tbl_PD_MeasureSummary[[#This Row],[Replacement ID]:[Replacement ID]],Tbl_EquipmentDefinitions[Equipment ID],0))&amp;CHAR(10)&amp;
        INDEX(Tbl_EquipmentDefinitions[Propane Baseline Efficiency],MATCH(Tbl_PD_MeasureSummary[[#This Row],[Replacement ID]:[Replacement ID]],Tbl_EquipmentDefinitions[Equipment ID],0)),
  IF(Tbl_PD_MeasureSummary[[#This Row],[Replacement Fuel]]="Electric+Electric",INDEX(Tbl_EquipmentDefinitions[Electricity High Measure Efficiency],MATCH(Tbl_PD_MeasureSummary[[#This Row],[Replacement ID]:[Replacement ID]],Tbl_EquipmentDefinitions[Equipment ID],0)),
)))))</f>
        <v>18 SEER/9.6 HSPF
75% AFUE</v>
      </c>
      <c r="S94" s="530">
        <f ca="1">INDEX(Tbl_MeasureList[],MATCH(Tbl_PD_MeasureSummary[[#This Row],[Measure ID]:[Measure ID]],Tbl_MeasureList[[Measure ID]:[Measure ID]],0),MATCH(S$97,Tbl_MeasureList[#Headers],0))</f>
        <v>373.30028162156032</v>
      </c>
      <c r="T94" s="438">
        <f ca="1">INDEX(Tbl_MeasureList[],MATCH(Tbl_PD_MeasureSummary[[#This Row],[Measure ID]:[Measure ID]],Tbl_MeasureList[[Measure ID]:[Measure ID]],0),MATCH(T$97,Tbl_MeasureList[#Headers],0))</f>
        <v>5352.4361903687059</v>
      </c>
      <c r="U94" s="554">
        <f ca="1">INDEX(Tbl_MeasureList[],MATCH(Tbl_PD_MeasureSummary[[#This Row],[Measure ID]:[Measure ID]],Tbl_MeasureList[[Measure ID]:[Measure ID]],0),MATCH(U$97,Tbl_MeasureList[#Headers],0))</f>
        <v>-4678.4853681616423</v>
      </c>
      <c r="V94" s="439">
        <f ca="1">INDEX(Tbl_MeasureList[],MATCH(Tbl_PD_MeasureSummary[[#This Row],[Measure ID]:[Measure ID]],Tbl_MeasureList[[Measure ID]:[Measure ID]],0),MATCH(V$97,Tbl_MeasureList[#Headers],0))</f>
        <v>-1.0588348090914219</v>
      </c>
      <c r="W94" s="555">
        <f ca="1">INDEX(Tbl_MeasureList[],MATCH(Tbl_PD_MeasureSummary[[#This Row],[Measure ID]:[Measure ID]],Tbl_MeasureList[[Measure ID]:[Measure ID]],0),MATCH(W$97,Tbl_MeasureList[#Headers],0))</f>
        <v>0.55324283559577681</v>
      </c>
      <c r="X94" s="660">
        <f ca="1">INDEX(Tbl_MeasureList[],MATCH(Tbl_PD_MeasureSummary[[#This Row],[Measure ID]:[Measure ID]],Tbl_MeasureList[[Measure ID]:[Measure ID]],0),MATCH(X$97,Tbl_MeasureList[#Headers],0))</f>
        <v>0</v>
      </c>
      <c r="Y94" s="556">
        <f ca="1">INDEX(Tbl_MeasureList[],MATCH(Tbl_PD_MeasureSummary[[#This Row],[Measure ID]:[Measure ID]],Tbl_MeasureList[[Measure ID]:[Measure ID]],0),MATCH(Y$97,Tbl_MeasureList[#Headers],0))</f>
        <v>0</v>
      </c>
      <c r="Z94" s="660">
        <f ca="1">INDEX(Tbl_MeasureList[],MATCH(Tbl_PD_MeasureSummary[[#This Row],[Measure ID]:[Measure ID]],Tbl_MeasureList[[Measure ID]:[Measure ID]],0),MATCH(Z$97,Tbl_MeasureList[#Headers],0))</f>
        <v>57.82258526536085</v>
      </c>
      <c r="AA94" s="556">
        <f ca="1">INDEX(Tbl_MeasureList[],MATCH(Tbl_PD_MeasureSummary[[#This Row],[Measure ID]:[Measure ID]],Tbl_MeasureList[[Measure ID]:[Measure ID]],0),MATCH(AA$97,Tbl_MeasureList[#Headers],0))</f>
        <v>41.859593189193326</v>
      </c>
      <c r="AB94" s="660">
        <f ca="1">INDEX(Tbl_MeasureList[],MATCH(Tbl_PD_MeasureSummary[[#This Row],[Measure ID]:[Measure ID]],Tbl_MeasureList[[Measure ID]:[Measure ID]],0),MATCH(AB$97,Tbl_MeasureList[#Headers],0))</f>
        <v>4.6633915016513523</v>
      </c>
      <c r="AC94" s="540">
        <f ca="1">INDEX(Tbl_MeasureList[],MATCH(Tbl_PD_MeasureSummary[[#This Row],[Measure ID]:[Measure ID]],Tbl_MeasureList[[Measure ID]:[Measure ID]],0),MATCH(AC$97,Tbl_MeasureList[#Headers],0))</f>
        <v>3.0111376090313877</v>
      </c>
      <c r="AD94" s="553">
        <f ca="1">INDEX(Tbl_MeasureList[],MATCH(Tbl_PD_MeasureSummary[[#This Row],[Measure ID]:[Measure ID]],Tbl_MeasureList[[Measure ID]:[Measure ID]],0),MATCH(AD$97,Tbl_MeasureList[#Headers],0))</f>
        <v>511.59781543420104</v>
      </c>
      <c r="AE94" s="394">
        <f ca="1">INDEX(Tbl_MeasureList[],MATCH(Tbl_PD_MeasureSummary[[#This Row],[Measure ID]:[Measure ID]],Tbl_MeasureList[[Measure ID]:[Measure ID]],0),MATCH(AE$97,Tbl_MeasureList[#Headers],0))</f>
        <v>6222.4361903687059</v>
      </c>
      <c r="AF94" s="532">
        <f ca="1">INDEX(Tbl_MeasureList[],MATCH(Tbl_PD_MeasureSummary[[#This Row],[Measure ID]:[Measure ID]],Tbl_MeasureList[[Measure ID]:[Measure ID]],0),MATCH(AF$97,Tbl_MeasureList[#Headers],0))</f>
        <v>-3979.3067341240253</v>
      </c>
      <c r="AG94" s="396">
        <f ca="1">INDEX(Tbl_MeasureList[],MATCH(Tbl_PD_MeasureSummary[[#This Row],[Measure ID]:[Measure ID]],Tbl_MeasureList[[Measure ID]:[Measure ID]],0),MATCH(AG$97,Tbl_MeasureList[#Headers],0))</f>
        <v>-1.6522171620325987</v>
      </c>
      <c r="AH94" s="534">
        <f ca="1">INDEX(Tbl_MeasureList[],MATCH(Tbl_PD_MeasureSummary[[#This Row],[Measure ID]:[Measure ID]],Tbl_MeasureList[[Measure ID]:[Measure ID]],0),MATCH(AH$97,Tbl_MeasureList[#Headers],0))</f>
        <v>0.55324283559577681</v>
      </c>
      <c r="AI94" s="656">
        <f ca="1">INDEX(Tbl_MeasureList[],MATCH(Tbl_PD_MeasureSummary[[#This Row],[Measure ID]:[Measure ID]],Tbl_MeasureList[[Measure ID]:[Measure ID]],0),MATCH(AI$97,Tbl_MeasureList[#Headers],0))</f>
        <v>0</v>
      </c>
      <c r="AJ94" s="536">
        <f ca="1">INDEX(Tbl_MeasureList[],MATCH(Tbl_PD_MeasureSummary[[#This Row],[Measure ID]:[Measure ID]],Tbl_MeasureList[[Measure ID]:[Measure ID]],0),MATCH(AJ$97,Tbl_MeasureList[#Headers],0))</f>
        <v>0</v>
      </c>
      <c r="AK94" s="656">
        <f ca="1">INDEX(Tbl_MeasureList[],MATCH(Tbl_PD_MeasureSummary[[#This Row],[Measure ID]:[Measure ID]],Tbl_MeasureList[[Measure ID]:[Measure ID]],0),MATCH(AK$97,Tbl_MeasureList[#Headers],0))</f>
        <v>57.82258526536085</v>
      </c>
      <c r="AL94" s="661">
        <f ca="1">INDEX(Tbl_MeasureList[],MATCH(Tbl_PD_MeasureSummary[[#This Row],[Measure ID]:[Measure ID]],Tbl_MeasureList[[Measure ID]:[Measure ID]],0),MATCH(AL$97,Tbl_MeasureList[#Headers],0))</f>
        <v>44.245190688529675</v>
      </c>
      <c r="AM94" s="656">
        <f ca="1">INDEX(Tbl_MeasureList[],MATCH(Tbl_PD_MeasureSummary[[#This Row],[Measure ID]:[Measure ID]],Tbl_MeasureList[[Measure ID]:[Measure ID]],0),MATCH(AM$97,Tbl_MeasureList[#Headers],0))</f>
        <v>4.6633915016513523</v>
      </c>
      <c r="AN94" s="662">
        <f ca="1">INDEX(Tbl_MeasureList[],MATCH(Tbl_PD_MeasureSummary[[#This Row],[Measure ID]:[Measure ID]],Tbl_MeasureList[[Measure ID]:[Measure ID]],0),MATCH(AN$97,Tbl_MeasureList[#Headers],0))</f>
        <v>3.2580595354281119</v>
      </c>
      <c r="AO94" s="538">
        <f ca="1">INDEX(Tbl_MeasureList[],MATCH(Tbl_PD_MeasureSummary[[#This Row],[Measure ID]:[Measure ID]],Tbl_MeasureList[[Measure ID]:[Measure ID]],0),MATCH(AO$97,Tbl_MeasureList[#Headers],0))</f>
        <v>-45.173178715144836</v>
      </c>
      <c r="AP94" s="440">
        <f ca="1">INDEX(Tbl_MeasureList[],MATCH(Tbl_PD_MeasureSummary[[#This Row],[Measure ID]:[Measure ID]],Tbl_MeasureList[[Measure ID]:[Measure ID]],0),MATCH(AP$97,Tbl_MeasureList[#Headers],0))</f>
        <v>414.87368028083978</v>
      </c>
      <c r="AQ94" s="541">
        <f ca="1">INDEX(Tbl_MeasureList[],MATCH(Tbl_PD_MeasureSummary[[#This Row],[Measure ID]:[Measure ID]],Tbl_MeasureList[[Measure ID]:[Measure ID]],0),MATCH(AQ$97,Tbl_MeasureList[#Headers],0))</f>
        <v>-18.605417285403789</v>
      </c>
      <c r="AR94" s="551">
        <f ca="1">INDEX(Tbl_MeasureList[],MATCH(Tbl_PD_MeasureSummary[[#This Row],[Measure ID]:[Measure ID]],Tbl_MeasureList[[Measure ID]:[Measure ID]],0),MATCH(AR$97,Tbl_MeasureList[#Headers],0))</f>
        <v>-38.422249962833114</v>
      </c>
      <c r="AS94" s="536">
        <f ca="1">INDEX(Tbl_MeasureList[],MATCH(Tbl_PD_MeasureSummary[[#This Row],[Measure ID]:[Measure ID]],Tbl_MeasureList[[Measure ID]:[Measure ID]],0),MATCH(AS$97,Tbl_MeasureList[#Headers],0))</f>
        <v>415.51594056432117</v>
      </c>
      <c r="AT94" s="398">
        <f ca="1">INDEX(Tbl_MeasureList[],MATCH(Tbl_PD_MeasureSummary[[#This Row],[Measure ID]:[Measure ID]],Tbl_MeasureList[[Measure ID]:[Measure ID]],0),MATCH(AT$97,Tbl_MeasureList[#Headers],0))</f>
        <v>-15.824921201813378</v>
      </c>
    </row>
    <row r="95" spans="2:96" s="581" customFormat="1" ht="22.5" x14ac:dyDescent="0.2">
      <c r="B95" s="582"/>
      <c r="C95" s="622" t="s">
        <v>842</v>
      </c>
      <c r="D95" s="83" t="str">
        <f>INDEX(Tbl_MeasureList[],MATCH(Tbl_PD_MeasureSummary[[#This Row],[Measure ID]:[Measure ID]],Tbl_MeasureList[[Measure ID]:[Measure ID]],0),MATCH(Tbl_PD_MeasureSummary[[#Headers],[Baseline Equipment ID]],Tbl_MeasureList[#Headers],0))</f>
        <v>EQUI034</v>
      </c>
      <c r="E95" s="623" t="str">
        <f>INDEX(Tbl_MeasureList[],MATCH(Tbl_PD_MeasureSummary[[#This Row],[Measure ID]:[Measure ID]],Tbl_MeasureList[[Measure ID]:[Measure ID]],0),MATCH(Tbl_PD_MeasureSummary[[#Headers],[Replacement ID]],Tbl_MeasureList[#Headers],0))</f>
        <v>EQUI035</v>
      </c>
      <c r="F95" s="83" t="str">
        <f>INDEX(Tbl_MeasureList[],MATCH(Tbl_PD_MeasureSummary[[#This Row],[Measure ID]:[Measure ID]],Tbl_MeasureList[[Measure ID]:[Measure ID]],0),MATCH(Tbl_PD_MeasureSummary[[#Headers],[Baseline Name]],Tbl_MeasureList[#Headers],0))</f>
        <v>Central A/C+Propane Boiler</v>
      </c>
      <c r="G95" s="623" t="str">
        <f>INDEX(Tbl_MeasureList[],MATCH(Tbl_PD_MeasureSummary[[#This Row],[Measure ID]:[Measure ID]],Tbl_MeasureList[[Measure ID]:[Measure ID]],0),MATCH(Tbl_PD_MeasureSummary[[#Headers],[Replacement Name]],Tbl_MeasureList[#Headers],0))</f>
        <v>Central HP+Propane Boiler</v>
      </c>
      <c r="H95" s="83" t="str">
        <f>INDEX(Tbl_MeasureList[],MATCH(Tbl_PD_MeasureSummary[[#This Row],[Measure ID]:[Measure ID]],Tbl_MeasureList[[Measure ID]:[Measure ID]],0),MATCH(Tbl_PD_MeasureSummary[[#Headers],[Baseline Name]],Tbl_MeasureList[#Headers],0))&amp;" to "&amp;INDEX(Tbl_MeasureList[],MATCH(Tbl_PD_MeasureSummary[[#This Row],[Measure ID]:[Measure ID]],Tbl_MeasureList[[Measure ID]:[Measure ID]],0),MATCH(Tbl_PD_MeasureSummary[[#Headers],[Replacement Name]],Tbl_MeasureList[#Headers],0))</f>
        <v>Central A/C+Propane Boiler to Central HP+Propane Boiler</v>
      </c>
      <c r="I95" s="623">
        <f>INDEX(Tbl_MeasureList[],MATCH(Tbl_PD_MeasureSummary[[#This Row],[Measure ID]:[Measure ID]],Tbl_MeasureList[[Measure ID]:[Measure ID]],0),MATCH(Tbl_PD_MeasureSummary[[#Headers],[New Unit Equipment Life (years)]],Tbl_MeasureList[#Headers],0))</f>
        <v>20</v>
      </c>
      <c r="J95" s="83" t="str">
        <f>INDEX(Tbl_MeasureList[],MATCH(Tbl_PD_MeasureSummary[[#This Row],[Measure ID]:[Measure ID]],Tbl_MeasureList[[Measure ID]:[Measure ID]],0),MATCH(Tbl_PD_MeasureSummary[[#Headers],[Baseline Function]],Tbl_MeasureList[#Headers],0))</f>
        <v>Cool+Heat</v>
      </c>
      <c r="K95" s="623" t="str">
        <f>INDEX(Tbl_MeasureList[],MATCH(Tbl_PD_MeasureSummary[[#This Row],[Measure ID]:[Measure ID]],Tbl_MeasureList[[Measure ID]:[Measure ID]],0),MATCH(Tbl_PD_MeasureSummary[[#Headers],[Replacement Function]],Tbl_MeasureList[#Headers],0))</f>
        <v>Cool+Heat</v>
      </c>
      <c r="L95" s="83" t="str">
        <f>INDEX(Tbl_MeasureList[],MATCH(Tbl_PD_MeasureSummary[[#This Row],[Measure ID]:[Measure ID]],Tbl_MeasureList[[Measure ID]:[Measure ID]],0),MATCH(Tbl_PD_MeasureSummary[[#Headers],[Keep Existing Heating Equipment?]],Tbl_MeasureList[#Headers],0))</f>
        <v>Yes</v>
      </c>
      <c r="M95" s="624" t="str">
        <f>INDEX(Tbl_MeasureList[Baseline Fuel 1],MATCH(Tbl_PD_MeasureSummary[[#This Row],[Measure ID]],Tbl_MeasureList[Measure ID],0))&amp;
  IF(INDEX(Tbl_MeasureList[Baseline Fuel 2],MATCH(Tbl_PD_MeasureSummary[[#This Row],[Measure ID]],Tbl_MeasureList[Measure ID],0))&lt;&gt;"-",
       "+"&amp;INDEX(Tbl_MeasureList[Baseline Fuel 2],MATCH(Tbl_PD_MeasureSummary[[#This Row],[Measure ID]],Tbl_MeasureList[Measure ID],0)),"")</f>
        <v>Electric+Propane</v>
      </c>
      <c r="N95" s="625" t="str">
        <f>INDEX(Tbl_MeasureList[Replacement Fuel 1],MATCH(Tbl_PD_MeasureSummary[[#This Row],[Measure ID]],Tbl_MeasureList[Measure ID],0))&amp;
  IF(INDEX(Tbl_MeasureList[Replacement Fuel 2],MATCH(Tbl_PD_MeasureSummary[[#This Row],[Measure ID]],Tbl_MeasureList[Measure ID],0))&lt;&gt;"-",
       "+"&amp;INDEX(Tbl_MeasureList[Replacement Fuel 2],MATCH(Tbl_PD_MeasureSummary[[#This Row],[Measure ID]],Tbl_MeasureList[Measure ID],0)),"")</f>
        <v>Electric+Propane</v>
      </c>
      <c r="O95" s="626" t="str">
        <f>IF(Tbl_PD_MeasureSummary[[#This Row],[Baseline Fuel]]="Oil",INDEX(Tbl_EquipmentDefinitions[Oil Baseline Efficiency],MATCH(Tbl_PD_MeasureSummary[[#This Row],[Baseline Equipment ID]:[Baseline Equipment ID]],Tbl_EquipmentDefinitions[Equipment ID],0)),
  IF(Tbl_PD_MeasureSummary[[#This Row],[Baseline Fuel]]="Propane",INDEX(Tbl_EquipmentDefinitions[Propane Baseline Efficiency],MATCH(Tbl_PD_MeasureSummary[[#This Row],[Baseline Equipment ID]:[Baseline Equipment ID]],Tbl_EquipmentDefinitions[Equipment ID],0)),
  IF(Tbl_PD_MeasureSummary[[#This Row],[Baseline Fuel]]="Electric+Oil",
        INDEX(Tbl_EquipmentDefinitions[Electricity Baseline Efficiency],MATCH(Tbl_PD_MeasureSummary[[#This Row],[Baseline Equipment ID]:[Baseline Equipment ID]],Tbl_EquipmentDefinitions[Equipment ID],0))&amp;CHAR(10)&amp;
        INDEX(Tbl_EquipmentDefinitions[Oil Baseline Efficiency],MATCH(Tbl_PD_MeasureSummary[[#This Row],[Baseline Equipment ID]:[Baseline Equipment ID]],Tbl_EquipmentDefinitions[Equipment ID],0)),
  IF(Tbl_PD_MeasureSummary[[#This Row],[Baseline Fuel]]="Electric+Propane",
        INDEX(Tbl_EquipmentDefinitions[Electricity Baseline Efficiency],MATCH(Tbl_PD_MeasureSummary[[#This Row],[Baseline Equipment ID]:[Baseline Equipment ID]],Tbl_EquipmentDefinitions[Equipment ID],0))&amp;CHAR(10)&amp;
        INDEX(Tbl_EquipmentDefinitions[Propane Baseline Efficiency],MATCH(Tbl_PD_MeasureSummary[[#This Row],[Baseline Equipment ID]:[Baseline Equipment ID]],Tbl_EquipmentDefinitions[Equipment ID],0)),
  IF(Tbl_PD_MeasureSummary[[#This Row],[Baseline Fuel]]="Electric+Electric",INDEX(Tbl_EquipmentDefinitions[Electricity Baseline Efficiency],MATCH(Tbl_PD_MeasureSummary[[#This Row],[Baseline Equipment ID]:[Baseline Equipment ID]],Tbl_EquipmentDefinitions[Equipment ID],0)),
)))))</f>
        <v>10 SEER/8.5 EER
75% AFUE</v>
      </c>
      <c r="P95" s="627" t="str">
        <f>IF(Tbl_PD_MeasureSummary[[#This Row],[Baseline Fuel]]="Oil",INDEX(Tbl_EquipmentDefinitions[Oil Code Efficiency],MATCH(Tbl_PD_MeasureSummary[[#This Row],[Baseline Equipment ID]:[Baseline Equipment ID]],Tbl_EquipmentDefinitions[Equipment ID],0)),
  IF(Tbl_PD_MeasureSummary[[#This Row],[Baseline Fuel]]="Propane",INDEX(Tbl_EquipmentDefinitions[Propane Code Efficiency],MATCH(Tbl_PD_MeasureSummary[[#This Row],[Baseline Equipment ID]:[Baseline Equipment ID]],Tbl_EquipmentDefinitions[Equipment ID],0)),
  IF(Tbl_PD_MeasureSummary[[#This Row],[Baseline Fuel]]="Electric+Oil",
        INDEX(Tbl_EquipmentDefinitions[Electricity Code Efficiency],MATCH(Tbl_PD_MeasureSummary[[#This Row],[Baseline Equipment ID]:[Baseline Equipment ID]],Tbl_EquipmentDefinitions[Equipment ID],0))&amp;CHAR(10)&amp;
        INDEX(Tbl_EquipmentDefinitions[Oil Code Efficiency],MATCH(Tbl_PD_MeasureSummary[[#This Row],[Baseline Equipment ID]:[Baseline Equipment ID]],Tbl_EquipmentDefinitions[Equipment ID],0)),
  IF(Tbl_PD_MeasureSummary[[#This Row],[Baseline Fuel]]="Electric+Propane",
        INDEX(Tbl_EquipmentDefinitions[Electricity Code Efficiency],MATCH(Tbl_PD_MeasureSummary[[#This Row],[Baseline Equipment ID]:[Baseline Equipment ID]],Tbl_EquipmentDefinitions[Equipment ID],0))&amp;CHAR(10)&amp;
        INDEX(Tbl_EquipmentDefinitions[Propane Code Efficiency],MATCH(Tbl_PD_MeasureSummary[[#This Row],[Baseline Equipment ID]:[Baseline Equipment ID]],Tbl_EquipmentDefinitions[Equipment ID],0)),
  IF(Tbl_PD_MeasureSummary[[#This Row],[Baseline Fuel]]="Electric+Electric",INDEX(Tbl_EquipmentDefinitions[Electricity Code Efficiency],MATCH(Tbl_PD_MeasureSummary[[#This Row],[Baseline Equipment ID]:[Baseline Equipment ID]],Tbl_EquipmentDefinitions[Equipment ID],0)),
)))))</f>
        <v>13 SEER/11 EER
82% AFUE (79.3% actual)</v>
      </c>
      <c r="Q95" s="626" t="str">
        <f>IF(Tbl_PD_MeasureSummary[[#This Row],[Replacement Fuel]]="Natural Gas",INDEX(Tbl_EquipmentDefinitions[Natural Gas Low Measure Efficiency],MATCH(Tbl_PD_MeasureSummary[[#This Row],[Replacement ID]:[Replacement ID]],Tbl_EquipmentDefinitions[Equipment ID],0)),
  IF(Tbl_PD_MeasureSummary[[#This Row],[Replacement Fuel]]="Electric",INDEX(Tbl_EquipmentDefinitions[Electricity Low Measure Efficiency],MATCH(Tbl_PD_MeasureSummary[[#This Row],[Replacement ID]:[Replacement ID]],Tbl_EquipmentDefinitions[Equipment ID],0)),
  IF(Tbl_PD_MeasureSummary[[#This Row],[Replacement Fuel]]="Electric+Oil",
        INDEX(Tbl_EquipmentDefinitions[Electricity Low Measure Efficiency],MATCH(Tbl_PD_MeasureSummary[[#This Row],[Replacement ID]:[Replacement ID]],Tbl_EquipmentDefinitions[Equipment ID],0))&amp;CHAR(10)&amp;
        INDEX(Tbl_EquipmentDefinitions[Oil Baseline Efficiency],MATCH(Tbl_PD_MeasureSummary[[#This Row],[Replacement ID]:[Replacement ID]],Tbl_EquipmentDefinitions[Equipment ID],0)),
  IF(Tbl_PD_MeasureSummary[[#This Row],[Replacement Fuel]]="Electric+Propane",
        INDEX(Tbl_EquipmentDefinitions[Electricity Low Measure Efficiency],MATCH(Tbl_PD_MeasureSummary[[#This Row],[Replacement ID]:[Replacement ID]],Tbl_EquipmentDefinitions[Equipment ID],0))&amp;CHAR(10)&amp;
        INDEX(Tbl_EquipmentDefinitions[Propane Baseline Efficiency],MATCH(Tbl_PD_MeasureSummary[[#This Row],[Replacement ID]:[Replacement ID]],Tbl_EquipmentDefinitions[Equipment ID],0)),
  IF(Tbl_PD_MeasureSummary[[#This Row],[Replacement Fuel]]="Electric+Electric",INDEX(Tbl_EquipmentDefinitions[Electricity Low Measure Efficiency],MATCH(Tbl_PD_MeasureSummary[[#This Row],[Replacement ID]:[Replacement ID]],Tbl_EquipmentDefinitions[Equipment ID],0)),
)))))</f>
        <v>16 SEER/8.5 HSPF
75% AFUE</v>
      </c>
      <c r="R95" s="628" t="str">
        <f>IF(Tbl_PD_MeasureSummary[[#This Row],[Replacement Fuel]]="Natural Gas",INDEX(Tbl_EquipmentDefinitions[Natural Gas High Measure Efficiency],MATCH(Tbl_PD_MeasureSummary[[#This Row],[Replacement ID]:[Replacement ID]],Tbl_EquipmentDefinitions[Equipment ID],0)),
  IF(Tbl_PD_MeasureSummary[[#This Row],[Replacement Fuel]]="Electric",INDEX(Tbl_EquipmentDefinitions[Electricity High Measure Efficiency],MATCH(Tbl_PD_MeasureSummary[[#This Row],[Replacement ID]:[Replacement ID]],Tbl_EquipmentDefinitions[Equipment ID],0)),
  IF(Tbl_PD_MeasureSummary[[#This Row],[Replacement Fuel]]="Electric+Oil",
        INDEX(Tbl_EquipmentDefinitions[Electricity High Measure Efficiency],MATCH(Tbl_PD_MeasureSummary[[#This Row],[Replacement ID]:[Replacement ID]],Tbl_EquipmentDefinitions[Equipment ID],0))&amp;CHAR(10)&amp;
        INDEX(Tbl_EquipmentDefinitions[Oil Baseline Efficiency],MATCH(Tbl_PD_MeasureSummary[[#This Row],[Replacement ID]:[Replacement ID]],Tbl_EquipmentDefinitions[Equipment ID],0)),
  IF(Tbl_PD_MeasureSummary[[#This Row],[Replacement Fuel]]="Electric+Propane",
        INDEX(Tbl_EquipmentDefinitions[Electricity High Measure Efficiency],MATCH(Tbl_PD_MeasureSummary[[#This Row],[Replacement ID]:[Replacement ID]],Tbl_EquipmentDefinitions[Equipment ID],0))&amp;CHAR(10)&amp;
        INDEX(Tbl_EquipmentDefinitions[Propane Baseline Efficiency],MATCH(Tbl_PD_MeasureSummary[[#This Row],[Replacement ID]:[Replacement ID]],Tbl_EquipmentDefinitions[Equipment ID],0)),
  IF(Tbl_PD_MeasureSummary[[#This Row],[Replacement Fuel]]="Electric+Electric",INDEX(Tbl_EquipmentDefinitions[Electricity High Measure Efficiency],MATCH(Tbl_PD_MeasureSummary[[#This Row],[Replacement ID]:[Replacement ID]],Tbl_EquipmentDefinitions[Equipment ID],0)),
)))))</f>
        <v>18 SEER/9.6 HSPF
75% AFUE</v>
      </c>
      <c r="S95" s="530">
        <f ca="1">INDEX(Tbl_MeasureList[],MATCH(Tbl_PD_MeasureSummary[[#This Row],[Measure ID]:[Measure ID]],Tbl_MeasureList[[Measure ID]:[Measure ID]],0),MATCH(S$97,Tbl_MeasureList[#Headers],0))</f>
        <v>1540.1379380833569</v>
      </c>
      <c r="T95" s="438">
        <f ca="1">INDEX(Tbl_MeasureList[],MATCH(Tbl_PD_MeasureSummary[[#This Row],[Measure ID]:[Measure ID]],Tbl_MeasureList[[Measure ID]:[Measure ID]],0),MATCH(T$97,Tbl_MeasureList[#Headers],0))</f>
        <v>5352.4361903687059</v>
      </c>
      <c r="U95" s="554">
        <f ca="1">INDEX(Tbl_MeasureList[],MATCH(Tbl_PD_MeasureSummary[[#This Row],[Measure ID]:[Measure ID]],Tbl_MeasureList[[Measure ID]:[Measure ID]],0),MATCH(U$97,Tbl_MeasureList[#Headers],0))</f>
        <v>-6967.9655548388146</v>
      </c>
      <c r="V95" s="439">
        <f ca="1">INDEX(Tbl_MeasureList[],MATCH(Tbl_PD_MeasureSummary[[#This Row],[Measure ID]:[Measure ID]],Tbl_MeasureList[[Measure ID]:[Measure ID]],0),MATCH(V$97,Tbl_MeasureList[#Headers],0))</f>
        <v>-1.0638971293215274</v>
      </c>
      <c r="W95" s="555">
        <f ca="1">INDEX(Tbl_MeasureList[],MATCH(Tbl_PD_MeasureSummary[[#This Row],[Measure ID]:[Measure ID]],Tbl_MeasureList[[Measure ID]:[Measure ID]],0),MATCH(W$97,Tbl_MeasureList[#Headers],0))</f>
        <v>0.55324283559577681</v>
      </c>
      <c r="X95" s="660">
        <f ca="1">INDEX(Tbl_MeasureList[],MATCH(Tbl_PD_MeasureSummary[[#This Row],[Measure ID]:[Measure ID]],Tbl_MeasureList[[Measure ID]:[Measure ID]],0),MATCH(X$97,Tbl_MeasureList[#Headers],0))</f>
        <v>0</v>
      </c>
      <c r="Y95" s="556">
        <f ca="1">INDEX(Tbl_MeasureList[],MATCH(Tbl_PD_MeasureSummary[[#This Row],[Measure ID]:[Measure ID]],Tbl_MeasureList[[Measure ID]:[Measure ID]],0),MATCH(Y$97,Tbl_MeasureList[#Headers],0))</f>
        <v>81.189877084173546</v>
      </c>
      <c r="Z95" s="660">
        <f ca="1">INDEX(Tbl_MeasureList[],MATCH(Tbl_PD_MeasureSummary[[#This Row],[Measure ID]:[Measure ID]],Tbl_MeasureList[[Measure ID]:[Measure ID]],0),MATCH(Z$97,Tbl_MeasureList[#Headers],0))</f>
        <v>0</v>
      </c>
      <c r="AA95" s="556">
        <f ca="1">INDEX(Tbl_MeasureList[],MATCH(Tbl_PD_MeasureSummary[[#This Row],[Measure ID]:[Measure ID]],Tbl_MeasureList[[Measure ID]:[Measure ID]],0),MATCH(AA$97,Tbl_MeasureList[#Headers],0))</f>
        <v>57.41517861106351</v>
      </c>
      <c r="AB95" s="660">
        <f ca="1">INDEX(Tbl_MeasureList[],MATCH(Tbl_PD_MeasureSummary[[#This Row],[Measure ID]:[Measure ID]],Tbl_MeasureList[[Measure ID]:[Measure ID]],0),MATCH(AB$97,Tbl_MeasureList[#Headers],0))</f>
        <v>5.6426964573500609</v>
      </c>
      <c r="AC95" s="540">
        <f ca="1">INDEX(Tbl_MeasureList[],MATCH(Tbl_PD_MeasureSummary[[#This Row],[Measure ID]:[Measure ID]],Tbl_MeasureList[[Measure ID]:[Measure ID]],0),MATCH(AC$97,Tbl_MeasureList[#Headers],0))</f>
        <v>3.1818897420031842</v>
      </c>
      <c r="AD95" s="553">
        <f ca="1">INDEX(Tbl_MeasureList[],MATCH(Tbl_PD_MeasureSummary[[#This Row],[Measure ID]:[Measure ID]],Tbl_MeasureList[[Measure ID]:[Measure ID]],0),MATCH(AD$97,Tbl_MeasureList[#Headers],0))</f>
        <v>1730.8891820942895</v>
      </c>
      <c r="AE95" s="394">
        <f ca="1">INDEX(Tbl_MeasureList[],MATCH(Tbl_PD_MeasureSummary[[#This Row],[Measure ID]:[Measure ID]],Tbl_MeasureList[[Measure ID]:[Measure ID]],0),MATCH(AE$97,Tbl_MeasureList[#Headers],0))</f>
        <v>6222.4361903687059</v>
      </c>
      <c r="AF95" s="532">
        <f ca="1">INDEX(Tbl_MeasureList[],MATCH(Tbl_PD_MeasureSummary[[#This Row],[Measure ID]:[Measure ID]],Tbl_MeasureList[[Measure ID]:[Measure ID]],0),MATCH(AF$97,Tbl_MeasureList[#Headers],0))</f>
        <v>-6003.6013282921394</v>
      </c>
      <c r="AG95" s="396">
        <f ca="1">INDEX(Tbl_MeasureList[],MATCH(Tbl_PD_MeasureSummary[[#This Row],[Measure ID]:[Measure ID]],Tbl_MeasureList[[Measure ID]:[Measure ID]],0),MATCH(AG$97,Tbl_MeasureList[#Headers],0))</f>
        <v>-1.6572794822627042</v>
      </c>
      <c r="AH95" s="534">
        <f ca="1">INDEX(Tbl_MeasureList[],MATCH(Tbl_PD_MeasureSummary[[#This Row],[Measure ID]:[Measure ID]],Tbl_MeasureList[[Measure ID]:[Measure ID]],0),MATCH(AH$97,Tbl_MeasureList[#Headers],0))</f>
        <v>0.55324283559577681</v>
      </c>
      <c r="AI95" s="656">
        <f ca="1">INDEX(Tbl_MeasureList[],MATCH(Tbl_PD_MeasureSummary[[#This Row],[Measure ID]:[Measure ID]],Tbl_MeasureList[[Measure ID]:[Measure ID]],0),MATCH(AI$97,Tbl_MeasureList[#Headers],0))</f>
        <v>0</v>
      </c>
      <c r="AJ95" s="536">
        <f ca="1">INDEX(Tbl_MeasureList[],MATCH(Tbl_PD_MeasureSummary[[#This Row],[Measure ID]:[Measure ID]],Tbl_MeasureList[[Measure ID]:[Measure ID]],0),MATCH(AJ$97,Tbl_MeasureList[#Headers],0))</f>
        <v>81.189877084173546</v>
      </c>
      <c r="AK95" s="656">
        <f ca="1">INDEX(Tbl_MeasureList[],MATCH(Tbl_PD_MeasureSummary[[#This Row],[Measure ID]:[Measure ID]],Tbl_MeasureList[[Measure ID]:[Measure ID]],0),MATCH(AK$97,Tbl_MeasureList[#Headers],0))</f>
        <v>0</v>
      </c>
      <c r="AL95" s="661">
        <f ca="1">INDEX(Tbl_MeasureList[],MATCH(Tbl_PD_MeasureSummary[[#This Row],[Measure ID]:[Measure ID]],Tbl_MeasureList[[Measure ID]:[Measure ID]],0),MATCH(AL$97,Tbl_MeasureList[#Headers],0))</f>
        <v>60.705589352040761</v>
      </c>
      <c r="AM95" s="656">
        <f ca="1">INDEX(Tbl_MeasureList[],MATCH(Tbl_PD_MeasureSummary[[#This Row],[Measure ID]:[Measure ID]],Tbl_MeasureList[[Measure ID]:[Measure ID]],0),MATCH(AM$97,Tbl_MeasureList[#Headers],0))</f>
        <v>5.6426964573500609</v>
      </c>
      <c r="AN95" s="662">
        <f ca="1">INDEX(Tbl_MeasureList[],MATCH(Tbl_PD_MeasureSummary[[#This Row],[Measure ID]:[Measure ID]],Tbl_MeasureList[[Measure ID]:[Measure ID]],0),MATCH(AN$97,Tbl_MeasureList[#Headers],0))</f>
        <v>3.522464612250408</v>
      </c>
      <c r="AO95" s="538">
        <f ca="1">INDEX(Tbl_MeasureList[],MATCH(Tbl_PD_MeasureSummary[[#This Row],[Measure ID]:[Measure ID]],Tbl_MeasureList[[Measure ID]:[Measure ID]],0),MATCH(AO$97,Tbl_MeasureList[#Headers],0))</f>
        <v>-67.27928560635651</v>
      </c>
      <c r="AP95" s="440">
        <f ca="1">INDEX(Tbl_MeasureList[],MATCH(Tbl_PD_MeasureSummary[[#This Row],[Measure ID]:[Measure ID]],Tbl_MeasureList[[Measure ID]:[Measure ID]],0),MATCH(AP$97,Tbl_MeasureList[#Headers],0))</f>
        <v>-6.4007212387133112</v>
      </c>
      <c r="AQ95" s="541">
        <f ca="1">INDEX(Tbl_MeasureList[],MATCH(Tbl_PD_MeasureSummary[[#This Row],[Measure ID]:[Measure ID]],Tbl_MeasureList[[Measure ID]:[Measure ID]],0),MATCH(AQ$97,Tbl_MeasureList[#Headers],0))</f>
        <v>-27.710230251086067</v>
      </c>
      <c r="AR95" s="551">
        <f ca="1">INDEX(Tbl_MeasureList[],MATCH(Tbl_PD_MeasureSummary[[#This Row],[Measure ID]:[Measure ID]],Tbl_MeasureList[[Measure ID]:[Measure ID]],0),MATCH(AR$97,Tbl_MeasureList[#Headers],0))</f>
        <v>-57.967853780846042</v>
      </c>
      <c r="AS95" s="536">
        <f ca="1">INDEX(Tbl_MeasureList[],MATCH(Tbl_PD_MeasureSummary[[#This Row],[Measure ID]:[Measure ID]],Tbl_MeasureList[[Measure ID]:[Measure ID]],0),MATCH(AS$97,Tbl_MeasureList[#Headers],0))</f>
        <v>-5.5148634459137851</v>
      </c>
      <c r="AT95" s="398">
        <f ca="1">INDEX(Tbl_MeasureList[],MATCH(Tbl_PD_MeasureSummary[[#This Row],[Measure ID]:[Measure ID]],Tbl_MeasureList[[Measure ID]:[Measure ID]],0),MATCH(AT$97,Tbl_MeasureList[#Headers],0))</f>
        <v>-23.87514315813085</v>
      </c>
    </row>
    <row r="96" spans="2:96" s="581" customFormat="1" x14ac:dyDescent="0.2">
      <c r="B96" s="582"/>
    </row>
    <row r="97" spans="2:46" x14ac:dyDescent="0.2">
      <c r="B97" s="16"/>
      <c r="C97" s="577" t="s">
        <v>1454</v>
      </c>
      <c r="D97" s="577"/>
      <c r="E97" s="577"/>
      <c r="F97" s="578"/>
      <c r="G97" s="578"/>
      <c r="H97" s="578"/>
      <c r="I97" s="578"/>
      <c r="S97" s="434" t="s">
        <v>1220</v>
      </c>
      <c r="T97" s="434" t="s">
        <v>1565</v>
      </c>
      <c r="U97" s="434" t="s">
        <v>1221</v>
      </c>
      <c r="V97" s="434" t="s">
        <v>1222</v>
      </c>
      <c r="W97" s="434" t="s">
        <v>1223</v>
      </c>
      <c r="X97" s="434" t="s">
        <v>1224</v>
      </c>
      <c r="Y97" s="434" t="s">
        <v>1225</v>
      </c>
      <c r="Z97" s="434" t="s">
        <v>1226</v>
      </c>
      <c r="AA97" s="434" t="s">
        <v>1227</v>
      </c>
      <c r="AB97" s="434" t="s">
        <v>1228</v>
      </c>
      <c r="AC97" s="434" t="s">
        <v>1229</v>
      </c>
      <c r="AD97" s="434" t="s">
        <v>1230</v>
      </c>
      <c r="AE97" s="434" t="s">
        <v>1568</v>
      </c>
      <c r="AF97" s="434" t="s">
        <v>1231</v>
      </c>
      <c r="AG97" s="434" t="s">
        <v>1232</v>
      </c>
      <c r="AH97" s="434" t="s">
        <v>1233</v>
      </c>
      <c r="AI97" s="434" t="s">
        <v>1234</v>
      </c>
      <c r="AJ97" s="434" t="s">
        <v>1235</v>
      </c>
      <c r="AK97" s="434" t="s">
        <v>1236</v>
      </c>
      <c r="AL97" s="434" t="s">
        <v>1237</v>
      </c>
      <c r="AM97" s="434" t="s">
        <v>1238</v>
      </c>
      <c r="AN97" s="434" t="s">
        <v>1239</v>
      </c>
      <c r="AO97" s="434" t="s">
        <v>1348</v>
      </c>
      <c r="AP97" s="434" t="s">
        <v>1352</v>
      </c>
      <c r="AQ97" s="434" t="s">
        <v>1356</v>
      </c>
      <c r="AR97" s="434" t="s">
        <v>1358</v>
      </c>
      <c r="AS97" s="434" t="s">
        <v>1362</v>
      </c>
      <c r="AT97" s="434" t="s">
        <v>1366</v>
      </c>
    </row>
    <row r="98" spans="2:46" x14ac:dyDescent="0.2">
      <c r="B98" s="16"/>
      <c r="E98" s="6"/>
      <c r="K98" s="6"/>
      <c r="L98" s="6"/>
      <c r="X98" s="6"/>
      <c r="Y98" s="6"/>
      <c r="Z98" s="6"/>
      <c r="AI98" s="6"/>
      <c r="AJ98" s="6"/>
      <c r="AK98" s="6"/>
    </row>
    <row r="99" spans="2:46" x14ac:dyDescent="0.2">
      <c r="B99" s="16"/>
      <c r="E99" s="6"/>
      <c r="K99" s="6"/>
      <c r="L99" s="6"/>
      <c r="X99" s="6"/>
      <c r="Y99" s="6"/>
      <c r="Z99" s="6"/>
      <c r="AI99" s="6"/>
      <c r="AJ99" s="6"/>
      <c r="AK99" s="6"/>
    </row>
    <row r="100" spans="2:46" x14ac:dyDescent="0.2">
      <c r="B100" s="16"/>
      <c r="E100" s="6"/>
      <c r="K100" s="6"/>
      <c r="L100" s="6"/>
      <c r="X100" s="6"/>
      <c r="Y100" s="6"/>
      <c r="Z100" s="6"/>
      <c r="AI100" s="6"/>
      <c r="AJ100" s="6"/>
      <c r="AK100" s="6"/>
    </row>
    <row r="101" spans="2:46" x14ac:dyDescent="0.2">
      <c r="B101" s="16"/>
      <c r="E101" s="6"/>
      <c r="K101" s="6"/>
      <c r="L101" s="6"/>
      <c r="X101" s="6"/>
      <c r="Y101" s="6"/>
      <c r="Z101" s="6"/>
      <c r="AI101" s="6"/>
      <c r="AJ101" s="6"/>
      <c r="AK101" s="6"/>
    </row>
    <row r="102" spans="2:46" x14ac:dyDescent="0.2">
      <c r="B102" s="16"/>
      <c r="E102" s="6"/>
      <c r="K102" s="6"/>
      <c r="L102" s="6"/>
    </row>
    <row r="103" spans="2:46" x14ac:dyDescent="0.2">
      <c r="B103" s="16"/>
      <c r="E103" s="6"/>
      <c r="K103" s="6"/>
      <c r="L103" s="6"/>
    </row>
    <row r="104" spans="2:46" x14ac:dyDescent="0.2">
      <c r="B104" s="16"/>
      <c r="E104" s="6"/>
      <c r="K104" s="6"/>
      <c r="L104" s="6"/>
    </row>
    <row r="105" spans="2:46" x14ac:dyDescent="0.2">
      <c r="B105" s="16"/>
      <c r="E105" s="6"/>
      <c r="K105" s="6"/>
      <c r="L105" s="6"/>
    </row>
    <row r="106" spans="2:46" x14ac:dyDescent="0.2">
      <c r="B106" s="16"/>
    </row>
    <row r="107" spans="2:46" x14ac:dyDescent="0.2">
      <c r="B107" s="16"/>
    </row>
    <row r="108" spans="2:46" x14ac:dyDescent="0.2">
      <c r="B108" s="16"/>
    </row>
    <row r="109" spans="2:46" x14ac:dyDescent="0.2">
      <c r="B109" s="16"/>
    </row>
    <row r="110" spans="2:46" x14ac:dyDescent="0.2">
      <c r="B110" s="16"/>
    </row>
    <row r="111" spans="2:46" x14ac:dyDescent="0.2">
      <c r="B111" s="16"/>
    </row>
    <row r="112" spans="2:46" x14ac:dyDescent="0.2">
      <c r="B112" s="16"/>
    </row>
    <row r="113" spans="2:2" x14ac:dyDescent="0.2">
      <c r="B113" s="16"/>
    </row>
    <row r="114" spans="2:2" x14ac:dyDescent="0.2">
      <c r="B114" s="16"/>
    </row>
    <row r="115" spans="2:2" x14ac:dyDescent="0.2">
      <c r="B115" s="16"/>
    </row>
    <row r="116" spans="2:2" x14ac:dyDescent="0.2">
      <c r="B116" s="16"/>
    </row>
  </sheetData>
  <sortState ref="C98:F127">
    <sortCondition ref="D98:D127"/>
    <sortCondition ref="F98:F127"/>
  </sortState>
  <pageMargins left="0.7" right="0.7" top="0.75" bottom="0.75" header="0.3" footer="0.3"/>
  <pageSetup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CR118"/>
  <sheetViews>
    <sheetView topLeftCell="I75" zoomScale="85" zoomScaleNormal="85" workbookViewId="0">
      <selection activeCell="S102" sqref="S102"/>
    </sheetView>
  </sheetViews>
  <sheetFormatPr defaultColWidth="9.1640625" defaultRowHeight="11.25" x14ac:dyDescent="0.2"/>
  <cols>
    <col min="1" max="1" width="3.33203125" style="6" customWidth="1"/>
    <col min="2" max="2" width="2.33203125" style="6" customWidth="1"/>
    <col min="3" max="3" width="14" style="6" customWidth="1"/>
    <col min="4" max="4" width="12.5" style="6" customWidth="1"/>
    <col min="5" max="5" width="15.1640625" style="6" customWidth="1"/>
    <col min="6" max="6" width="25.33203125" style="6" bestFit="1" customWidth="1"/>
    <col min="7" max="7" width="24.6640625" style="6" bestFit="1" customWidth="1"/>
    <col min="8" max="8" width="55.5" style="6" bestFit="1" customWidth="1"/>
    <col min="9" max="10" width="14.33203125" style="6" bestFit="1" customWidth="1"/>
    <col min="11" max="11" width="14.83203125" style="6" customWidth="1"/>
    <col min="12" max="12" width="17.5" style="6" customWidth="1"/>
    <col min="13" max="13" width="15.5" style="6" customWidth="1"/>
    <col min="14" max="14" width="16.6640625" style="6" customWidth="1"/>
    <col min="15" max="15" width="38" style="6" bestFit="1" customWidth="1"/>
    <col min="16" max="16" width="37.33203125" style="6" customWidth="1"/>
    <col min="17" max="18" width="38" style="6" bestFit="1" customWidth="1"/>
    <col min="19" max="40" width="20.6640625" style="6" customWidth="1"/>
    <col min="41" max="89" width="17.6640625" style="6" customWidth="1"/>
    <col min="90" max="16384" width="9.1640625" style="6"/>
  </cols>
  <sheetData>
    <row r="1" spans="1:89" ht="17.25" thickBot="1" x14ac:dyDescent="0.3">
      <c r="A1" s="4"/>
      <c r="B1" s="4" t="s">
        <v>1310</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row>
    <row r="2" spans="1:89" ht="12" thickTop="1" x14ac:dyDescent="0.2"/>
    <row r="3" spans="1:89" x14ac:dyDescent="0.2">
      <c r="B3" s="8" t="s">
        <v>1332</v>
      </c>
    </row>
    <row r="4" spans="1:89" x14ac:dyDescent="0.2">
      <c r="B4" s="8" t="s">
        <v>1085</v>
      </c>
    </row>
    <row r="5" spans="1:89" x14ac:dyDescent="0.2">
      <c r="B5" s="8" t="s">
        <v>1086</v>
      </c>
    </row>
    <row r="6" spans="1:89" x14ac:dyDescent="0.2">
      <c r="B6" s="8" t="s">
        <v>1087</v>
      </c>
    </row>
    <row r="7" spans="1:89" x14ac:dyDescent="0.2">
      <c r="B7" s="8" t="s">
        <v>1571</v>
      </c>
    </row>
    <row r="8" spans="1:89" x14ac:dyDescent="0.2">
      <c r="B8" s="8" t="s">
        <v>1088</v>
      </c>
    </row>
    <row r="9" spans="1:89" x14ac:dyDescent="0.2">
      <c r="B9" s="8"/>
    </row>
    <row r="10" spans="1:89" ht="13.5" thickBot="1" x14ac:dyDescent="0.25">
      <c r="B10" s="9" t="s">
        <v>1077</v>
      </c>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row>
    <row r="11" spans="1:89" x14ac:dyDescent="0.2">
      <c r="B11" s="15"/>
    </row>
    <row r="12" spans="1:89" x14ac:dyDescent="0.2">
      <c r="B12" s="16"/>
      <c r="C12" s="8" t="s">
        <v>1079</v>
      </c>
    </row>
    <row r="13" spans="1:89" x14ac:dyDescent="0.2">
      <c r="B13" s="16"/>
      <c r="C13" s="389" t="s">
        <v>1081</v>
      </c>
    </row>
    <row r="14" spans="1:89" x14ac:dyDescent="0.2">
      <c r="B14" s="16"/>
      <c r="C14" s="389" t="s">
        <v>1082</v>
      </c>
    </row>
    <row r="15" spans="1:89" x14ac:dyDescent="0.2">
      <c r="B15" s="16"/>
      <c r="C15" s="389" t="s">
        <v>1080</v>
      </c>
    </row>
    <row r="16" spans="1:89" x14ac:dyDescent="0.2">
      <c r="B16" s="16"/>
      <c r="C16" s="389" t="s">
        <v>1083</v>
      </c>
    </row>
    <row r="17" spans="2:89" x14ac:dyDescent="0.2">
      <c r="B17" s="16"/>
      <c r="C17" s="8" t="s">
        <v>1084</v>
      </c>
    </row>
    <row r="18" spans="2:89" x14ac:dyDescent="0.2">
      <c r="B18" s="16"/>
      <c r="C18" s="8"/>
    </row>
    <row r="19" spans="2:89" x14ac:dyDescent="0.2">
      <c r="B19" s="16"/>
    </row>
    <row r="20" spans="2:89" x14ac:dyDescent="0.2">
      <c r="B20" s="16"/>
    </row>
    <row r="21" spans="2:89" x14ac:dyDescent="0.2">
      <c r="B21" s="16"/>
    </row>
    <row r="22" spans="2:89" x14ac:dyDescent="0.2">
      <c r="B22" s="16"/>
    </row>
    <row r="23" spans="2:89" x14ac:dyDescent="0.2">
      <c r="B23" s="16"/>
    </row>
    <row r="24" spans="2:89" x14ac:dyDescent="0.2">
      <c r="B24" s="16"/>
    </row>
    <row r="25" spans="2:89" x14ac:dyDescent="0.2">
      <c r="B25" s="16"/>
    </row>
    <row r="26" spans="2:89" x14ac:dyDescent="0.2">
      <c r="B26" s="16"/>
    </row>
    <row r="27" spans="2:89" x14ac:dyDescent="0.2">
      <c r="B27" s="16"/>
    </row>
    <row r="28" spans="2:89" x14ac:dyDescent="0.2">
      <c r="B28" s="16"/>
    </row>
    <row r="29" spans="2:89" x14ac:dyDescent="0.2">
      <c r="B29" s="16"/>
    </row>
    <row r="31" spans="2:89" ht="13.5" thickBot="1" x14ac:dyDescent="0.25">
      <c r="B31" s="9" t="s">
        <v>1078</v>
      </c>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row>
    <row r="32" spans="2:89" x14ac:dyDescent="0.2">
      <c r="B32" s="15"/>
    </row>
    <row r="33" spans="2:2" x14ac:dyDescent="0.2">
      <c r="B33" s="16"/>
    </row>
    <row r="34" spans="2:2" x14ac:dyDescent="0.2">
      <c r="B34" s="16"/>
    </row>
    <row r="35" spans="2:2" x14ac:dyDescent="0.2">
      <c r="B35" s="16"/>
    </row>
    <row r="36" spans="2:2" x14ac:dyDescent="0.2">
      <c r="B36" s="16"/>
    </row>
    <row r="37" spans="2:2" x14ac:dyDescent="0.2">
      <c r="B37" s="16"/>
    </row>
    <row r="38" spans="2:2" x14ac:dyDescent="0.2">
      <c r="B38" s="16"/>
    </row>
    <row r="39" spans="2:2" x14ac:dyDescent="0.2">
      <c r="B39" s="16"/>
    </row>
    <row r="40" spans="2:2" x14ac:dyDescent="0.2">
      <c r="B40" s="16"/>
    </row>
    <row r="41" spans="2:2" x14ac:dyDescent="0.2">
      <c r="B41" s="16"/>
    </row>
    <row r="42" spans="2:2" x14ac:dyDescent="0.2">
      <c r="B42" s="16"/>
    </row>
    <row r="43" spans="2:2" x14ac:dyDescent="0.2">
      <c r="B43" s="16"/>
    </row>
    <row r="44" spans="2:2" x14ac:dyDescent="0.2">
      <c r="B44" s="16"/>
    </row>
    <row r="45" spans="2:2" x14ac:dyDescent="0.2">
      <c r="B45" s="16"/>
    </row>
    <row r="46" spans="2:2" x14ac:dyDescent="0.2">
      <c r="B46" s="16"/>
    </row>
    <row r="47" spans="2:2" x14ac:dyDescent="0.2">
      <c r="B47" s="16"/>
    </row>
    <row r="48" spans="2:2" x14ac:dyDescent="0.2">
      <c r="B48" s="16"/>
    </row>
    <row r="49" spans="2:2" x14ac:dyDescent="0.2">
      <c r="B49" s="16"/>
    </row>
    <row r="50" spans="2:2" x14ac:dyDescent="0.2">
      <c r="B50" s="16"/>
    </row>
    <row r="51" spans="2:2" x14ac:dyDescent="0.2">
      <c r="B51" s="16"/>
    </row>
    <row r="52" spans="2:2" x14ac:dyDescent="0.2">
      <c r="B52" s="16"/>
    </row>
    <row r="53" spans="2:2" x14ac:dyDescent="0.2">
      <c r="B53" s="16"/>
    </row>
    <row r="54" spans="2:2" x14ac:dyDescent="0.2">
      <c r="B54" s="16"/>
    </row>
    <row r="55" spans="2:2" x14ac:dyDescent="0.2">
      <c r="B55" s="16"/>
    </row>
    <row r="56" spans="2:2" x14ac:dyDescent="0.2">
      <c r="B56" s="16"/>
    </row>
    <row r="57" spans="2:2" x14ac:dyDescent="0.2">
      <c r="B57" s="16"/>
    </row>
    <row r="58" spans="2:2" x14ac:dyDescent="0.2">
      <c r="B58" s="16"/>
    </row>
    <row r="59" spans="2:2" x14ac:dyDescent="0.2">
      <c r="B59" s="16"/>
    </row>
    <row r="60" spans="2:2" x14ac:dyDescent="0.2">
      <c r="B60" s="16"/>
    </row>
    <row r="61" spans="2:2" x14ac:dyDescent="0.2">
      <c r="B61" s="16"/>
    </row>
    <row r="62" spans="2:2" x14ac:dyDescent="0.2">
      <c r="B62" s="16"/>
    </row>
    <row r="63" spans="2:2" x14ac:dyDescent="0.2">
      <c r="B63" s="16"/>
    </row>
    <row r="64" spans="2:2" x14ac:dyDescent="0.2">
      <c r="B64" s="16"/>
    </row>
    <row r="65" spans="2:96" x14ac:dyDescent="0.2">
      <c r="B65" s="16"/>
    </row>
    <row r="66" spans="2:96" x14ac:dyDescent="0.2">
      <c r="B66" s="16"/>
    </row>
    <row r="67" spans="2:96" x14ac:dyDescent="0.2">
      <c r="B67" s="16"/>
    </row>
    <row r="68" spans="2:96" x14ac:dyDescent="0.2">
      <c r="B68" s="16"/>
    </row>
    <row r="69" spans="2:96" x14ac:dyDescent="0.2">
      <c r="B69" s="16"/>
    </row>
    <row r="70" spans="2:96" x14ac:dyDescent="0.2">
      <c r="B70" s="16"/>
    </row>
    <row r="71" spans="2:96" x14ac:dyDescent="0.2">
      <c r="B71" s="16"/>
    </row>
    <row r="72" spans="2:96" x14ac:dyDescent="0.2">
      <c r="B72" s="16"/>
    </row>
    <row r="73" spans="2:96" x14ac:dyDescent="0.2">
      <c r="B73" s="16"/>
    </row>
    <row r="74" spans="2:96" x14ac:dyDescent="0.2">
      <c r="B74" s="16"/>
    </row>
    <row r="75" spans="2:96" x14ac:dyDescent="0.2">
      <c r="B75" s="16"/>
    </row>
    <row r="76" spans="2:96" x14ac:dyDescent="0.2">
      <c r="B76" s="16"/>
    </row>
    <row r="77" spans="2:96" x14ac:dyDescent="0.2">
      <c r="B77" s="16"/>
    </row>
    <row r="79" spans="2:96" ht="13.5" thickBot="1" x14ac:dyDescent="0.25">
      <c r="B79" s="9" t="s">
        <v>1089</v>
      </c>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row>
    <row r="80" spans="2:96" x14ac:dyDescent="0.2">
      <c r="B80" s="15"/>
      <c r="AO80" s="415"/>
      <c r="AP80" s="415"/>
      <c r="AQ80" s="415"/>
      <c r="AR80" s="415"/>
      <c r="AS80" s="415"/>
      <c r="AT80" s="415"/>
      <c r="AU80" s="415"/>
      <c r="AV80" s="415"/>
      <c r="AW80" s="415"/>
      <c r="AX80" s="415"/>
      <c r="AY80" s="415"/>
      <c r="AZ80" s="415"/>
      <c r="BA80" s="415"/>
      <c r="BB80" s="415"/>
      <c r="BC80" s="415"/>
      <c r="BD80" s="415"/>
      <c r="BY80" s="415"/>
      <c r="BZ80" s="415"/>
      <c r="CA80" s="415"/>
      <c r="CB80" s="415"/>
      <c r="CC80" s="415"/>
      <c r="CD80" s="415"/>
      <c r="CE80" s="415"/>
      <c r="CF80" s="415"/>
      <c r="CG80" s="415"/>
      <c r="CH80" s="415"/>
      <c r="CI80" s="415"/>
      <c r="CJ80" s="415"/>
      <c r="CK80" s="415"/>
      <c r="CL80" s="415"/>
      <c r="CM80" s="415"/>
      <c r="CN80" s="415"/>
      <c r="CO80" s="415"/>
      <c r="CP80" s="415"/>
      <c r="CQ80" s="415"/>
      <c r="CR80" s="415"/>
    </row>
    <row r="81" spans="2:46" ht="13.5" thickBot="1" x14ac:dyDescent="0.25">
      <c r="B81" s="16"/>
      <c r="S81" s="402" t="s">
        <v>810</v>
      </c>
      <c r="T81" s="402"/>
      <c r="U81" s="402"/>
      <c r="V81" s="402"/>
      <c r="W81" s="402"/>
      <c r="X81" s="402"/>
      <c r="Y81" s="402"/>
      <c r="Z81" s="402"/>
      <c r="AA81" s="402"/>
      <c r="AB81" s="402"/>
      <c r="AC81" s="402"/>
      <c r="AD81" s="402"/>
      <c r="AE81" s="402"/>
      <c r="AF81" s="402"/>
      <c r="AG81" s="402"/>
      <c r="AH81" s="402"/>
      <c r="AI81" s="402"/>
      <c r="AJ81" s="402"/>
      <c r="AK81" s="402"/>
      <c r="AL81" s="402"/>
      <c r="AM81" s="402"/>
      <c r="AN81" s="436"/>
      <c r="AO81" s="402" t="s">
        <v>1037</v>
      </c>
      <c r="AP81" s="437"/>
      <c r="AQ81" s="437"/>
      <c r="AR81" s="437"/>
      <c r="AS81" s="437"/>
      <c r="AT81" s="437"/>
    </row>
    <row r="82" spans="2:46" ht="13.5" thickBot="1" x14ac:dyDescent="0.25">
      <c r="B82" s="16"/>
      <c r="S82" s="310" t="s">
        <v>1281</v>
      </c>
      <c r="T82" s="101"/>
      <c r="U82" s="101"/>
      <c r="V82" s="101"/>
      <c r="W82" s="101"/>
      <c r="X82" s="101"/>
      <c r="Y82" s="101"/>
      <c r="Z82" s="101"/>
      <c r="AA82" s="101"/>
      <c r="AB82" s="101"/>
      <c r="AC82" s="101"/>
      <c r="AD82" s="21" t="s">
        <v>1282</v>
      </c>
      <c r="AE82" s="101"/>
      <c r="AF82" s="101"/>
      <c r="AG82" s="101"/>
      <c r="AH82" s="101"/>
      <c r="AI82" s="101"/>
      <c r="AJ82" s="101"/>
      <c r="AK82" s="101"/>
      <c r="AL82" s="101"/>
      <c r="AM82" s="101"/>
      <c r="AN82" s="22"/>
      <c r="AO82" s="310" t="s">
        <v>851</v>
      </c>
      <c r="AP82" s="312"/>
      <c r="AQ82" s="311"/>
      <c r="AR82" s="310" t="s">
        <v>852</v>
      </c>
      <c r="AS82" s="312"/>
      <c r="AT82" s="312"/>
    </row>
    <row r="83" spans="2:46" ht="13.5" thickBot="1" x14ac:dyDescent="0.25">
      <c r="B83" s="16"/>
      <c r="S83" s="21" t="s">
        <v>120</v>
      </c>
      <c r="T83" s="101"/>
      <c r="U83" s="21" t="s">
        <v>25</v>
      </c>
      <c r="V83" s="22"/>
      <c r="W83" s="101"/>
      <c r="X83" s="386" t="s">
        <v>55</v>
      </c>
      <c r="Y83" s="386" t="s">
        <v>28</v>
      </c>
      <c r="Z83" s="386" t="s">
        <v>27</v>
      </c>
      <c r="AA83" s="386" t="s">
        <v>481</v>
      </c>
      <c r="AB83" s="23" t="s">
        <v>704</v>
      </c>
      <c r="AC83" s="386"/>
      <c r="AD83" s="310" t="s">
        <v>120</v>
      </c>
      <c r="AE83" s="101"/>
      <c r="AF83" s="21" t="s">
        <v>25</v>
      </c>
      <c r="AG83" s="22"/>
      <c r="AH83" s="101"/>
      <c r="AI83" s="386" t="s">
        <v>55</v>
      </c>
      <c r="AJ83" s="386" t="s">
        <v>28</v>
      </c>
      <c r="AK83" s="386" t="s">
        <v>27</v>
      </c>
      <c r="AL83" s="386" t="s">
        <v>481</v>
      </c>
      <c r="AM83" s="23" t="s">
        <v>704</v>
      </c>
      <c r="AN83" s="386"/>
      <c r="AO83" s="310" t="s">
        <v>794</v>
      </c>
      <c r="AP83" s="310" t="s">
        <v>27</v>
      </c>
      <c r="AQ83" s="386" t="s">
        <v>795</v>
      </c>
      <c r="AR83" s="310" t="s">
        <v>794</v>
      </c>
      <c r="AS83" s="310" t="s">
        <v>27</v>
      </c>
      <c r="AT83" s="310" t="s">
        <v>795</v>
      </c>
    </row>
    <row r="84" spans="2:46" ht="65.45" customHeight="1" x14ac:dyDescent="0.2">
      <c r="B84" s="16"/>
      <c r="C84" s="393" t="s">
        <v>76</v>
      </c>
      <c r="D84" s="393" t="s">
        <v>287</v>
      </c>
      <c r="E84" s="393" t="s">
        <v>80</v>
      </c>
      <c r="F84" s="393" t="s">
        <v>79</v>
      </c>
      <c r="G84" s="393" t="s">
        <v>81</v>
      </c>
      <c r="H84" s="393" t="s">
        <v>1076</v>
      </c>
      <c r="I84" s="393" t="s">
        <v>1280</v>
      </c>
      <c r="J84" s="393" t="s">
        <v>112</v>
      </c>
      <c r="K84" s="393" t="s">
        <v>113</v>
      </c>
      <c r="L84" s="393" t="s">
        <v>751</v>
      </c>
      <c r="M84" s="393" t="s">
        <v>1070</v>
      </c>
      <c r="N84" s="393" t="s">
        <v>1071</v>
      </c>
      <c r="O84" s="393" t="s">
        <v>1072</v>
      </c>
      <c r="P84" s="393" t="s">
        <v>1073</v>
      </c>
      <c r="Q84" s="393" t="s">
        <v>1074</v>
      </c>
      <c r="R84" s="393" t="s">
        <v>1075</v>
      </c>
      <c r="S84" s="518" t="s">
        <v>725</v>
      </c>
      <c r="T84" s="393" t="s">
        <v>1556</v>
      </c>
      <c r="U84" s="393" t="s">
        <v>723</v>
      </c>
      <c r="V84" s="393" t="s">
        <v>972</v>
      </c>
      <c r="W84" s="393" t="s">
        <v>989</v>
      </c>
      <c r="X84" s="393" t="s">
        <v>1283</v>
      </c>
      <c r="Y84" s="393" t="s">
        <v>1284</v>
      </c>
      <c r="Z84" s="393" t="s">
        <v>1285</v>
      </c>
      <c r="AA84" s="393" t="s">
        <v>904</v>
      </c>
      <c r="AB84" s="393" t="s">
        <v>922</v>
      </c>
      <c r="AC84" s="523" t="s">
        <v>947</v>
      </c>
      <c r="AD84" s="518" t="s">
        <v>726</v>
      </c>
      <c r="AE84" s="393" t="s">
        <v>1557</v>
      </c>
      <c r="AF84" s="393" t="s">
        <v>724</v>
      </c>
      <c r="AG84" s="393" t="s">
        <v>973</v>
      </c>
      <c r="AH84" s="393" t="s">
        <v>990</v>
      </c>
      <c r="AI84" s="393" t="s">
        <v>1286</v>
      </c>
      <c r="AJ84" s="393" t="s">
        <v>1287</v>
      </c>
      <c r="AK84" s="393" t="s">
        <v>1288</v>
      </c>
      <c r="AL84" s="393" t="s">
        <v>905</v>
      </c>
      <c r="AM84" s="393" t="s">
        <v>923</v>
      </c>
      <c r="AN84" s="523" t="s">
        <v>948</v>
      </c>
      <c r="AO84" s="518" t="s">
        <v>998</v>
      </c>
      <c r="AP84" s="393" t="s">
        <v>1002</v>
      </c>
      <c r="AQ84" s="523" t="s">
        <v>1006</v>
      </c>
      <c r="AR84" s="518" t="s">
        <v>1008</v>
      </c>
      <c r="AS84" s="393" t="s">
        <v>1012</v>
      </c>
      <c r="AT84" s="393" t="s">
        <v>1016</v>
      </c>
    </row>
    <row r="85" spans="2:46" ht="33.75" x14ac:dyDescent="0.2">
      <c r="B85" s="16"/>
      <c r="C85" s="44" t="s">
        <v>82</v>
      </c>
      <c r="D85" s="31" t="str">
        <f>INDEX(Tbl_MeasureList[],MATCH(Tbl_ROF_MeasureSummary[[#This Row],[Measure ID]:[Measure ID]],Tbl_MeasureList[[Measure ID]:[Measure ID]],0),MATCH(Tbl_ROF_MeasureSummary[[#Headers],[Baseline Equipment ID]],Tbl_MeasureList[#Headers],0))</f>
        <v>EQUI001</v>
      </c>
      <c r="E85" s="525" t="str">
        <f>INDEX(Tbl_MeasureList[],MATCH(Tbl_ROF_MeasureSummary[[#This Row],[Measure ID]:[Measure ID]],Tbl_MeasureList[[Measure ID]:[Measure ID]],0),MATCH(Tbl_ROF_MeasureSummary[[#Headers],[Replacement ID]],Tbl_MeasureList[#Headers],0))</f>
        <v>EQUI005</v>
      </c>
      <c r="F85" s="31" t="str">
        <f>INDEX(Tbl_MeasureList[],MATCH(Tbl_ROF_MeasureSummary[[#This Row],[Measure ID]:[Measure ID]],Tbl_MeasureList[[Measure ID]:[Measure ID]],0),MATCH(Tbl_ROF_MeasureSummary[[#Headers],[Baseline Name]],Tbl_MeasureList[#Headers],0))</f>
        <v>Baseline A/C Blend+Oil Furnace</v>
      </c>
      <c r="G85" s="525" t="str">
        <f>INDEX(Tbl_MeasureList[],MATCH(Tbl_ROF_MeasureSummary[[#This Row],[Measure ID]:[Measure ID]],Tbl_MeasureList[[Measure ID]:[Measure ID]],0),MATCH(Tbl_ROF_MeasureSummary[[#Headers],[Replacement Name]],Tbl_MeasureList[#Headers],0))</f>
        <v>Central HP+Oil Furnace</v>
      </c>
      <c r="H85" s="31"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Baseline A/C Blend+Oil Furnace to Central HP+Oil Furnace</v>
      </c>
      <c r="I85" s="525">
        <f>INDEX(Tbl_MeasureList[],MATCH(Tbl_ROF_MeasureSummary[[#This Row],[Measure ID]:[Measure ID]],Tbl_MeasureList[[Measure ID]:[Measure ID]],0),MATCH(Tbl_ROF_MeasureSummary[[#Headers],[New Unit Equipment Life (years)]],Tbl_MeasureList[#Headers],0))</f>
        <v>17</v>
      </c>
      <c r="J85" s="31" t="str">
        <f>INDEX(Tbl_MeasureList[],MATCH(Tbl_ROF_MeasureSummary[[#This Row],[Measure ID]:[Measure ID]],Tbl_MeasureList[[Measure ID]:[Measure ID]],0),MATCH(Tbl_ROF_MeasureSummary[[#Headers],[Baseline Function]],Tbl_MeasureList[#Headers],0))</f>
        <v>Cool+Heat</v>
      </c>
      <c r="K85" s="525" t="str">
        <f>INDEX(Tbl_MeasureList[],MATCH(Tbl_ROF_MeasureSummary[[#This Row],[Measure ID]:[Measure ID]],Tbl_MeasureList[[Measure ID]:[Measure ID]],0),MATCH(Tbl_ROF_MeasureSummary[[#Headers],[Replacement Function]],Tbl_MeasureList[#Headers],0))</f>
        <v>Cool+Heat</v>
      </c>
      <c r="L85" s="31" t="str">
        <f>INDEX(Tbl_MeasureList[],MATCH(Tbl_ROF_MeasureSummary[[#This Row],[Measure ID]:[Measure ID]],Tbl_MeasureList[[Measure ID]:[Measure ID]],0),MATCH(Tbl_ROF_MeasureSummary[[#Headers],[Keep Existing Heating Equipment?]],Tbl_MeasureList[#Headers],0))</f>
        <v>Yes</v>
      </c>
      <c r="M85" s="298"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Electric+Oil</v>
      </c>
      <c r="N85" s="543"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Electric+Oil</v>
      </c>
      <c r="O85" s="528"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CAC: 10 SEER/8.5 EER. 
Room A/C: 8 EER 
78% AFUE (78.9%)</v>
      </c>
      <c r="P85" s="545"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CAC: 13 SEER/11 EER; 
Room A/C: 10 EER
83% AFUE</v>
      </c>
      <c r="Q85" s="528"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16 SEER/8.5 HSPF
78% AFUE (78.9%)</v>
      </c>
      <c r="R85" s="547"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18 SEER/9.6 HSPF
78% AFUE (78.9%)</v>
      </c>
      <c r="S85" s="530">
        <f ca="1">INDEX(Tbl_MeasureList[],MATCH(Tbl_ROF_MeasureSummary[[#This Row],[Measure ID]:[Measure ID]],Tbl_MeasureList[[Measure ID]:[Measure ID]],0),MATCH(Tbl_ROF_MeasureSummary[[#Headers],[ROF Low Measure Energy Cost Savings (USD/yr)]],Tbl_MeasureList[#Headers],0))</f>
        <v>171.05934862757567</v>
      </c>
      <c r="T85" s="394">
        <f ca="1">INDEX(Tbl_MeasureList[],MATCH(Tbl_ROF_MeasureSummary[[#This Row],[Measure ID]:[Measure ID]],Tbl_MeasureList[[Measure ID]:[Measure ID]],0),MATCH(T$84,Tbl_MeasureList[#Headers],0))</f>
        <v>2929.4308000000001</v>
      </c>
      <c r="U85" s="532">
        <f ca="1">INDEX(Tbl_MeasureList[],MATCH(Tbl_ROF_MeasureSummary[[#This Row],[Measure ID]:[Measure ID]],Tbl_MeasureList[[Measure ID]:[Measure ID]],0),MATCH(Tbl_ROF_MeasureSummary[[#Headers],[ROF Low Measure Electric Annual Consumption Savings (kWh/yr)]],Tbl_MeasureList[#Headers],0))</f>
        <v>-4214.7465763090431</v>
      </c>
      <c r="V85" s="396">
        <f ca="1">INDEX(Tbl_MeasureList[],MATCH(Tbl_ROF_MeasureSummary[[#This Row],[Measure ID]:[Measure ID]],Tbl_MeasureList[[Measure ID]:[Measure ID]],0),MATCH(Tbl_ROF_MeasureSummary[[#Headers],[ROF Low Measure Electric Winter Peak Demand Savings (kW)]],Tbl_MeasureList[#Headers],0))</f>
        <v>-1.0369747899159665</v>
      </c>
      <c r="W85" s="534">
        <f ca="1">INDEX(Tbl_MeasureList[],MATCH(Tbl_ROF_MeasureSummary[[#This Row],[Measure ID]:[Measure ID]],Tbl_MeasureList[[Measure ID]:[Measure ID]],0),MATCH(Tbl_ROF_MeasureSummary[[#Headers],[ROF Low Measure Electric Summer Peak Demand Savings (kW)]],Tbl_MeasureList[#Headers],0))</f>
        <v>0.21471526340326363</v>
      </c>
      <c r="X85" s="656">
        <f ca="1">INDEX(Tbl_MeasureList[],MATCH(Tbl_ROF_MeasureSummary[[#This Row],[Measure ID]:[Measure ID]],Tbl_MeasureList[[Measure ID]:[Measure ID]],0),MATCH(Tbl_ROF_MeasureSummary[[#Headers],[ROF Low Measure Natural Gas Annual Consumption Savings (therms/yr)]],Tbl_MeasureList[#Headers],0))</f>
        <v>0</v>
      </c>
      <c r="Y85" s="536">
        <f ca="1">INDEX(Tbl_MeasureList[],MATCH(Tbl_ROF_MeasureSummary[[#This Row],[Measure ID]:[Measure ID]],Tbl_MeasureList[[Measure ID]:[Measure ID]],0),MATCH(Tbl_ROF_MeasureSummary[[#Headers],[ROF Low Measure Propane Annual Consumption Savings (MMBtu/yr)]],Tbl_MeasureList[#Headers],0))</f>
        <v>0</v>
      </c>
      <c r="Z85" s="656">
        <f ca="1">INDEX(Tbl_MeasureList[],MATCH(Tbl_ROF_MeasureSummary[[#This Row],[Measure ID]:[Measure ID]],Tbl_MeasureList[[Measure ID]:[Measure ID]],0),MATCH(Tbl_ROF_MeasureSummary[[#Headers],[ROF Low Measure Oil Annual Consumption Savings (MMBtu/yr)]],Tbl_MeasureList[#Headers],0))</f>
        <v>44.734146564670453</v>
      </c>
      <c r="AA85" s="661">
        <f ca="1">INDEX(Tbl_MeasureList[],MATCH(Tbl_ROF_MeasureSummary[[#This Row],[Measure ID]:[Measure ID]],Tbl_MeasureList[[Measure ID]:[Measure ID]],0),MATCH(Tbl_ROF_MeasureSummary[[#Headers],[ROF Low Measure Annual Energy Savings on MMBtu Basis (MMBtu/yr)]],Tbl_MeasureList[#Headers],0))</f>
        <v>30.353431246303998</v>
      </c>
      <c r="AB85" s="656">
        <f ca="1">INDEX(Tbl_MeasureList[],MATCH(Tbl_ROF_MeasureSummary[[#This Row],[Measure ID]:[Measure ID]],Tbl_MeasureList[[Measure ID]:[Measure ID]],0),MATCH(Tbl_ROF_MeasureSummary[[#Headers],[ROF Low Measure Carbon Emissions Reduction, Site (tons CO2/yr)]],Tbl_MeasureList[#Headers],0))</f>
        <v>3.6078089204406725</v>
      </c>
      <c r="AC85" s="540">
        <f ca="1">INDEX(Tbl_MeasureList[],MATCH(Tbl_ROF_MeasureSummary[[#This Row],[Measure ID]:[Measure ID]],Tbl_MeasureList[[Measure ID]:[Measure ID]],0),MATCH(Tbl_ROF_MeasureSummary[[#Headers],[ROF Low Measure Carbon Emissions Reduction, Source (tons CO2/yr)]],Tbl_MeasureList[#Headers],0))</f>
        <v>2.1193290195513708</v>
      </c>
      <c r="AD85" s="530">
        <f ca="1">INDEX(Tbl_MeasureList[],MATCH(Tbl_ROF_MeasureSummary[[#This Row],[Measure ID]:[Measure ID]],Tbl_MeasureList[[Measure ID]:[Measure ID]],0),MATCH(Tbl_ROF_MeasureSummary[[#Headers],[ROF High Measure Energy Cost Savings (USD/yr)]],Tbl_MeasureList[#Headers],0))</f>
        <v>296.33436743398101</v>
      </c>
      <c r="AE85" s="394">
        <f ca="1">INDEX(Tbl_MeasureList[],MATCH(Tbl_ROF_MeasureSummary[[#This Row],[Measure ID]:[Measure ID]],Tbl_MeasureList[[Measure ID]:[Measure ID]],0),MATCH(AE$84,Tbl_MeasureList[#Headers],0))</f>
        <v>3799.4308000000001</v>
      </c>
      <c r="AF85" s="532">
        <f ca="1">INDEX(Tbl_MeasureList[],MATCH(Tbl_ROF_MeasureSummary[[#This Row],[Measure ID]:[Measure ID]],Tbl_MeasureList[[Measure ID]:[Measure ID]],0),MATCH(Tbl_ROF_MeasureSummary[[#Headers],[ROF High Measure Electric Annual Consumption Savings (kWh/yr)]],Tbl_MeasureList[#Headers],0))</f>
        <v>-3581.404721878278</v>
      </c>
      <c r="AG85" s="396">
        <f ca="1">INDEX(Tbl_MeasureList[],MATCH(Tbl_ROF_MeasureSummary[[#This Row],[Measure ID]:[Measure ID]],Tbl_MeasureList[[Measure ID]:[Measure ID]],0),MATCH(Tbl_ROF_MeasureSummary[[#Headers],[ROF High Measure Electric Winter Peak Demand Savings (kW)]],Tbl_MeasureList[#Headers],0))</f>
        <v>-1.6303571428571433</v>
      </c>
      <c r="AH85" s="534">
        <f ca="1">INDEX(Tbl_MeasureList[],MATCH(Tbl_ROF_MeasureSummary[[#This Row],[Measure ID]:[Measure ID]],Tbl_MeasureList[[Measure ID]:[Measure ID]],0),MATCH(Tbl_ROF_MeasureSummary[[#Headers],[ROF High Measure Electric Summer Peak Demand Savings (kW)]],Tbl_MeasureList[#Headers],0))</f>
        <v>0.21471526340326363</v>
      </c>
      <c r="AI85" s="656">
        <f ca="1">INDEX(Tbl_MeasureList[],MATCH(Tbl_ROF_MeasureSummary[[#This Row],[Measure ID]:[Measure ID]],Tbl_MeasureList[[Measure ID]:[Measure ID]],0),MATCH(Tbl_ROF_MeasureSummary[[#Headers],[ROF High Measure Natural Gas Annual Consumption Savings (therms/yr)]],Tbl_MeasureList[#Headers],0))</f>
        <v>0</v>
      </c>
      <c r="AJ85" s="536">
        <f ca="1">INDEX(Tbl_MeasureList[],MATCH(Tbl_ROF_MeasureSummary[[#This Row],[Measure ID]:[Measure ID]],Tbl_MeasureList[[Measure ID]:[Measure ID]],0),MATCH(Tbl_ROF_MeasureSummary[[#Headers],[ROF High Measure Propane Annual Consumption Savings (MMBtu/yr)]],Tbl_MeasureList[#Headers],0))</f>
        <v>0</v>
      </c>
      <c r="AK85" s="656">
        <f ca="1">INDEX(Tbl_MeasureList[],MATCH(Tbl_ROF_MeasureSummary[[#This Row],[Measure ID]:[Measure ID]],Tbl_MeasureList[[Measure ID]:[Measure ID]],0),MATCH(Tbl_ROF_MeasureSummary[[#Headers],[ROF High Measure Oil Annual Consumption Savings (MMBtu/yr)]],Tbl_MeasureList[#Headers],0))</f>
        <v>44.734146564670453</v>
      </c>
      <c r="AL85" s="536">
        <f ca="1">INDEX(Tbl_MeasureList[],MATCH(Tbl_ROF_MeasureSummary[[#This Row],[Measure ID]:[Measure ID]],Tbl_MeasureList[[Measure ID]:[Measure ID]],0),MATCH(Tbl_ROF_MeasureSummary[[#Headers],[ROF High Measure Annual Energy Savings on MMBtu Basis (MMBtu/yr)]],Tbl_MeasureList[#Headers],0))</f>
        <v>32.514393653621767</v>
      </c>
      <c r="AM85" s="656">
        <f ca="1">INDEX(Tbl_MeasureList[],MATCH(Tbl_ROF_MeasureSummary[[#This Row],[Measure ID]:[Measure ID]],Tbl_MeasureList[[Measure ID]:[Measure ID]],0),MATCH(Tbl_ROF_MeasureSummary[[#Headers],[ROF High Measure Carbon Emissions Reduction, Site (tons CO2/yr)]],Tbl_MeasureList[#Headers],0))</f>
        <v>3.6078089204406725</v>
      </c>
      <c r="AN85" s="540">
        <f ca="1">INDEX(Tbl_MeasureList[],MATCH(Tbl_ROF_MeasureSummary[[#This Row],[Measure ID]:[Measure ID]],Tbl_MeasureList[[Measure ID]:[Measure ID]],0),MATCH(Tbl_ROF_MeasureSummary[[#Headers],[ROF High Measure Carbon Emissions Reduction, Source (tons CO2/yr)]],Tbl_MeasureList[#Headers],0))</f>
        <v>2.3430000288621393</v>
      </c>
      <c r="AO85" s="538">
        <f ca="1">INDEX(Tbl_MeasureList[],MATCH(Tbl_ROF_MeasureSummary[[#This Row],[Measure ID]:[Measure ID]],Tbl_MeasureList[[Measure ID]:[Measure ID]],0),MATCH(Tbl_ROF_MeasureSummary[[#Headers],[Current ROF Low Measure Coal Source Fuel Savings (lbs coal/year)]],Tbl_MeasureList[#Headers],0))</f>
        <v>-40.695542541680794</v>
      </c>
      <c r="AP85" s="397">
        <f ca="1">INDEX(Tbl_MeasureList[],MATCH(Tbl_ROF_MeasureSummary[[#This Row],[Measure ID]:[Measure ID]],Tbl_MeasureList[[Measure ID]:[Measure ID]],0),MATCH(Tbl_ROF_MeasureSummary[[#Headers],[Current ROF Low Measure Oil Total Fuel Savings (gallons oil/year)]],Tbl_MeasureList[#Headers],0))</f>
        <v>320.418093458952</v>
      </c>
      <c r="AQ85" s="540">
        <f ca="1">INDEX(Tbl_MeasureList[],MATCH(Tbl_ROF_MeasureSummary[[#This Row],[Measure ID]:[Measure ID]],Tbl_MeasureList[[Measure ID]:[Measure ID]],0),MATCH(Tbl_ROF_MeasureSummary[[#Headers],[Current ROF Low Measure Gas Total Fuel Savings (1,000 cu.ft. gas/year)]],Tbl_MeasureList[#Headers],0))</f>
        <v>-16.761219205280927</v>
      </c>
      <c r="AR85" s="517">
        <f ca="1">INDEX(Tbl_MeasureList[],MATCH(Tbl_ROF_MeasureSummary[[#This Row],[Measure ID]:[Measure ID]],Tbl_MeasureList[[Measure ID]:[Measure ID]],0),MATCH(Tbl_ROF_MeasureSummary[[#Headers],[Current ROF High Measure Coal Source Fuel Savings (lbs coal/year)]],Tbl_MeasureList[#Headers],0))</f>
        <v>-34.580301704831882</v>
      </c>
      <c r="AS85" s="536">
        <f ca="1">INDEX(Tbl_MeasureList[],MATCH(Tbl_ROF_MeasureSummary[[#This Row],[Measure ID]:[Measure ID]],Tbl_MeasureList[[Measure ID]:[Measure ID]],0),MATCH(Tbl_ROF_MeasureSummary[[#Headers],[Current ROF High Measure Oil Total Fuel Savings (gallons oil/year)]],Tbl_MeasureList[#Headers],0))</f>
        <v>320.99987656725199</v>
      </c>
      <c r="AT85" s="397">
        <f ca="1">INDEX(Tbl_MeasureList[],MATCH(Tbl_ROF_MeasureSummary[[#This Row],[Measure ID]:[Measure ID]],Tbl_MeasureList[[Measure ID]:[Measure ID]],0),MATCH(Tbl_ROF_MeasureSummary[[#Headers],[Current ROF High Measure Gas Total Fuel Savings (1,000 cu.ft. gas/year)]],Tbl_MeasureList[#Headers],0))</f>
        <v>-14.242543061461738</v>
      </c>
    </row>
    <row r="86" spans="2:46" ht="33.75" x14ac:dyDescent="0.2">
      <c r="B86" s="16"/>
      <c r="C86" s="44" t="s">
        <v>83</v>
      </c>
      <c r="D86" s="31" t="str">
        <f>INDEX(Tbl_MeasureList[],MATCH(Tbl_ROF_MeasureSummary[[#This Row],[Measure ID]:[Measure ID]],Tbl_MeasureList[[Measure ID]:[Measure ID]],0),MATCH(Tbl_ROF_MeasureSummary[[#Headers],[Baseline Equipment ID]],Tbl_MeasureList[#Headers],0))</f>
        <v>EQUI002</v>
      </c>
      <c r="E86" s="525" t="str">
        <f>INDEX(Tbl_MeasureList[],MATCH(Tbl_ROF_MeasureSummary[[#This Row],[Measure ID]:[Measure ID]],Tbl_MeasureList[[Measure ID]:[Measure ID]],0),MATCH(Tbl_ROF_MeasureSummary[[#Headers],[Replacement ID]],Tbl_MeasureList[#Headers],0))</f>
        <v>EQUI006</v>
      </c>
      <c r="F86" s="31" t="str">
        <f>INDEX(Tbl_MeasureList[],MATCH(Tbl_ROF_MeasureSummary[[#This Row],[Measure ID]:[Measure ID]],Tbl_MeasureList[[Measure ID]:[Measure ID]],0),MATCH(Tbl_ROF_MeasureSummary[[#Headers],[Baseline Name]],Tbl_MeasureList[#Headers],0))</f>
        <v>Baseline A/C Blend+Propane Furnace</v>
      </c>
      <c r="G86" s="525" t="str">
        <f>INDEX(Tbl_MeasureList[],MATCH(Tbl_ROF_MeasureSummary[[#This Row],[Measure ID]:[Measure ID]],Tbl_MeasureList[[Measure ID]:[Measure ID]],0),MATCH(Tbl_ROF_MeasureSummary[[#Headers],[Replacement Name]],Tbl_MeasureList[#Headers],0))</f>
        <v>Central HP+Propane Furnace</v>
      </c>
      <c r="H86" s="31"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Baseline A/C Blend+Propane Furnace to Central HP+Propane Furnace</v>
      </c>
      <c r="I86" s="525">
        <f>INDEX(Tbl_MeasureList[],MATCH(Tbl_ROF_MeasureSummary[[#This Row],[Measure ID]:[Measure ID]],Tbl_MeasureList[[Measure ID]:[Measure ID]],0),MATCH(Tbl_ROF_MeasureSummary[[#Headers],[New Unit Equipment Life (years)]],Tbl_MeasureList[#Headers],0))</f>
        <v>17</v>
      </c>
      <c r="J86" s="31" t="str">
        <f>INDEX(Tbl_MeasureList[],MATCH(Tbl_ROF_MeasureSummary[[#This Row],[Measure ID]:[Measure ID]],Tbl_MeasureList[[Measure ID]:[Measure ID]],0),MATCH(Tbl_ROF_MeasureSummary[[#Headers],[Baseline Function]],Tbl_MeasureList[#Headers],0))</f>
        <v>Cool+Heat</v>
      </c>
      <c r="K86" s="525" t="str">
        <f>INDEX(Tbl_MeasureList[],MATCH(Tbl_ROF_MeasureSummary[[#This Row],[Measure ID]:[Measure ID]],Tbl_MeasureList[[Measure ID]:[Measure ID]],0),MATCH(Tbl_ROF_MeasureSummary[[#Headers],[Replacement Function]],Tbl_MeasureList[#Headers],0))</f>
        <v>Cool+Heat</v>
      </c>
      <c r="L86" s="31" t="str">
        <f>INDEX(Tbl_MeasureList[],MATCH(Tbl_ROF_MeasureSummary[[#This Row],[Measure ID]:[Measure ID]],Tbl_MeasureList[[Measure ID]:[Measure ID]],0),MATCH(Tbl_ROF_MeasureSummary[[#Headers],[Keep Existing Heating Equipment?]],Tbl_MeasureList[#Headers],0))</f>
        <v>Yes</v>
      </c>
      <c r="M86" s="298"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Electric+Propane</v>
      </c>
      <c r="N86" s="543"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Electric+Propane</v>
      </c>
      <c r="O86" s="528"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CAC: 10 SEER/8.5 EER; 
Room A/C: 8 EER 
78% AFUE (78.9%)</v>
      </c>
      <c r="P86" s="545"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CAC: 13 SEER/11 EER; 
Room A/C: 10 EER
85% AFUE</v>
      </c>
      <c r="Q86" s="528"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16 SEER/8.5 HSPF
78% AFUE (78.9%)</v>
      </c>
      <c r="R86" s="547"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18 SEER/9.6 HSPF
78% AFUE (78.9%)</v>
      </c>
      <c r="S86" s="530">
        <f ca="1">INDEX(Tbl_MeasureList[],MATCH(Tbl_ROF_MeasureSummary[[#This Row],[Measure ID]:[Measure ID]],Tbl_MeasureList[[Measure ID]:[Measure ID]],0),MATCH(Tbl_ROF_MeasureSummary[[#Headers],[ROF Low Measure Energy Cost Savings (USD/yr)]],Tbl_MeasureList[#Headers],0))</f>
        <v>1025.1540398040283</v>
      </c>
      <c r="T86" s="394">
        <f ca="1">INDEX(Tbl_MeasureList[],MATCH(Tbl_ROF_MeasureSummary[[#This Row],[Measure ID]:[Measure ID]],Tbl_MeasureList[[Measure ID]:[Measure ID]],0),MATCH(T$84,Tbl_MeasureList[#Headers],0))</f>
        <v>3142.4308000000001</v>
      </c>
      <c r="U86" s="532">
        <f ca="1">INDEX(Tbl_MeasureList[],MATCH(Tbl_ROF_MeasureSummary[[#This Row],[Measure ID]:[Measure ID]],Tbl_MeasureList[[Measure ID]:[Measure ID]],0),MATCH(Tbl_ROF_MeasureSummary[[#Headers],[ROF Low Measure Electric Annual Consumption Savings (kWh/yr)]],Tbl_MeasureList[#Headers],0))</f>
        <v>-6193.9300757205738</v>
      </c>
      <c r="V86" s="396">
        <f ca="1">INDEX(Tbl_MeasureList[],MATCH(Tbl_ROF_MeasureSummary[[#This Row],[Measure ID]:[Measure ID]],Tbl_MeasureList[[Measure ID]:[Measure ID]],0),MATCH(Tbl_ROF_MeasureSummary[[#Headers],[ROF Low Measure Electric Winter Peak Demand Savings (kW)]],Tbl_MeasureList[#Headers],0))</f>
        <v>-1.0371281935593031</v>
      </c>
      <c r="W86" s="534">
        <f ca="1">INDEX(Tbl_MeasureList[],MATCH(Tbl_ROF_MeasureSummary[[#This Row],[Measure ID]:[Measure ID]],Tbl_MeasureList[[Measure ID]:[Measure ID]],0),MATCH(Tbl_ROF_MeasureSummary[[#Headers],[ROF Low Measure Electric Summer Peak Demand Savings (kW)]],Tbl_MeasureList[#Headers],0))</f>
        <v>0.21471526340326363</v>
      </c>
      <c r="X86" s="656">
        <f ca="1">INDEX(Tbl_MeasureList[],MATCH(Tbl_ROF_MeasureSummary[[#This Row],[Measure ID]:[Measure ID]],Tbl_MeasureList[[Measure ID]:[Measure ID]],0),MATCH(Tbl_ROF_MeasureSummary[[#Headers],[ROF Low Measure Natural Gas Annual Consumption Savings (therms/yr)]],Tbl_MeasureList[#Headers],0))</f>
        <v>0</v>
      </c>
      <c r="Y86" s="536">
        <f ca="1">INDEX(Tbl_MeasureList[],MATCH(Tbl_ROF_MeasureSummary[[#This Row],[Measure ID]:[Measure ID]],Tbl_MeasureList[[Measure ID]:[Measure ID]],0),MATCH(Tbl_ROF_MeasureSummary[[#Headers],[ROF Low Measure Propane Annual Consumption Savings (MMBtu/yr)]],Tbl_MeasureList[#Headers],0))</f>
        <v>62.603677905649107</v>
      </c>
      <c r="Z86" s="656">
        <f ca="1">INDEX(Tbl_MeasureList[],MATCH(Tbl_ROF_MeasureSummary[[#This Row],[Measure ID]:[Measure ID]],Tbl_MeasureList[[Measure ID]:[Measure ID]],0),MATCH(Tbl_ROF_MeasureSummary[[#Headers],[ROF Low Measure Oil Annual Consumption Savings (MMBtu/yr)]],Tbl_MeasureList[#Headers],0))</f>
        <v>0</v>
      </c>
      <c r="AA86" s="661">
        <f ca="1">INDEX(Tbl_MeasureList[],MATCH(Tbl_ROF_MeasureSummary[[#This Row],[Measure ID]:[Measure ID]],Tbl_MeasureList[[Measure ID]:[Measure ID]],0),MATCH(Tbl_ROF_MeasureSummary[[#Headers],[ROF Low Measure Annual Energy Savings on MMBtu Basis (MMBtu/yr)]],Tbl_MeasureList[#Headers],0))</f>
        <v>41.469988487290507</v>
      </c>
      <c r="AB86" s="656">
        <f ca="1">INDEX(Tbl_MeasureList[],MATCH(Tbl_ROF_MeasureSummary[[#This Row],[Measure ID]:[Measure ID]],Tbl_MeasureList[[Measure ID]:[Measure ID]],0),MATCH(Tbl_ROF_MeasureSummary[[#Headers],[ROF Low Measure Carbon Emissions Reduction, Site (tons CO2/yr)]],Tbl_MeasureList[#Headers],0))</f>
        <v>4.3509556144426131</v>
      </c>
      <c r="AC86" s="540">
        <f ca="1">INDEX(Tbl_MeasureList[],MATCH(Tbl_ROF_MeasureSummary[[#This Row],[Measure ID]:[Measure ID]],Tbl_MeasureList[[Measure ID]:[Measure ID]],0),MATCH(Tbl_ROF_MeasureSummary[[#Headers],[ROF Low Measure Carbon Emissions Reduction, Source (tons CO2/yr)]],Tbl_MeasureList[#Headers],0))</f>
        <v>2.1635072689011348</v>
      </c>
      <c r="AD86" s="530">
        <f ca="1">INDEX(Tbl_MeasureList[],MATCH(Tbl_ROF_MeasureSummary[[#This Row],[Measure ID]:[Measure ID]],Tbl_MeasureList[[Measure ID]:[Measure ID]],0),MATCH(Tbl_ROF_MeasureSummary[[#Headers],[ROF High Measure Energy Cost Savings (USD/yr)]],Tbl_MeasureList[#Headers],0))</f>
        <v>1197.2065524508926</v>
      </c>
      <c r="AE86" s="394">
        <f ca="1">INDEX(Tbl_MeasureList[],MATCH(Tbl_ROF_MeasureSummary[[#This Row],[Measure ID]:[Measure ID]],Tbl_MeasureList[[Measure ID]:[Measure ID]],0),MATCH(AE$84,Tbl_MeasureList[#Headers],0))</f>
        <v>4012.4308000000001</v>
      </c>
      <c r="AF86" s="532">
        <f ca="1">INDEX(Tbl_MeasureList[],MATCH(Tbl_ROF_MeasureSummary[[#This Row],[Measure ID]:[Measure ID]],Tbl_MeasureList[[Measure ID]:[Measure ID]],0),MATCH(Tbl_ROF_MeasureSummary[[#Headers],[ROF High Measure Electric Annual Consumption Savings (kWh/yr)]],Tbl_MeasureList[#Headers],0))</f>
        <v>-5324.0993747758612</v>
      </c>
      <c r="AG86" s="396">
        <f ca="1">INDEX(Tbl_MeasureList[],MATCH(Tbl_ROF_MeasureSummary[[#This Row],[Measure ID]:[Measure ID]],Tbl_MeasureList[[Measure ID]:[Measure ID]],0),MATCH(Tbl_ROF_MeasureSummary[[#Headers],[ROF High Measure Electric Winter Peak Demand Savings (kW)]],Tbl_MeasureList[#Headers],0))</f>
        <v>-1.6305105465004799</v>
      </c>
      <c r="AH86" s="534">
        <f ca="1">INDEX(Tbl_MeasureList[],MATCH(Tbl_ROF_MeasureSummary[[#This Row],[Measure ID]:[Measure ID]],Tbl_MeasureList[[Measure ID]:[Measure ID]],0),MATCH(Tbl_ROF_MeasureSummary[[#Headers],[ROF High Measure Electric Summer Peak Demand Savings (kW)]],Tbl_MeasureList[#Headers],0))</f>
        <v>0.21471526340326363</v>
      </c>
      <c r="AI86" s="656">
        <f ca="1">INDEX(Tbl_MeasureList[],MATCH(Tbl_ROF_MeasureSummary[[#This Row],[Measure ID]:[Measure ID]],Tbl_MeasureList[[Measure ID]:[Measure ID]],0),MATCH(Tbl_ROF_MeasureSummary[[#Headers],[ROF High Measure Natural Gas Annual Consumption Savings (therms/yr)]],Tbl_MeasureList[#Headers],0))</f>
        <v>0</v>
      </c>
      <c r="AJ86" s="536">
        <f ca="1">INDEX(Tbl_MeasureList[],MATCH(Tbl_ROF_MeasureSummary[[#This Row],[Measure ID]:[Measure ID]],Tbl_MeasureList[[Measure ID]:[Measure ID]],0),MATCH(Tbl_ROF_MeasureSummary[[#Headers],[ROF High Measure Propane Annual Consumption Savings (MMBtu/yr)]],Tbl_MeasureList[#Headers],0))</f>
        <v>62.603677905649107</v>
      </c>
      <c r="AK86" s="656">
        <f ca="1">INDEX(Tbl_MeasureList[],MATCH(Tbl_ROF_MeasureSummary[[#This Row],[Measure ID]:[Measure ID]],Tbl_MeasureList[[Measure ID]:[Measure ID]],0),MATCH(Tbl_ROF_MeasureSummary[[#Headers],[ROF High Measure Oil Annual Consumption Savings (MMBtu/yr)]],Tbl_MeasureList[#Headers],0))</f>
        <v>0</v>
      </c>
      <c r="AL86" s="536">
        <f ca="1">INDEX(Tbl_MeasureList[],MATCH(Tbl_ROF_MeasureSummary[[#This Row],[Measure ID]:[Measure ID]],Tbl_MeasureList[[Measure ID]:[Measure ID]],0),MATCH(Tbl_ROF_MeasureSummary[[#Headers],[ROF High Measure Annual Energy Savings on MMBtu Basis (MMBtu/yr)]],Tbl_MeasureList[#Headers],0))</f>
        <v>44.437850838913867</v>
      </c>
      <c r="AM86" s="656">
        <f ca="1">INDEX(Tbl_MeasureList[],MATCH(Tbl_ROF_MeasureSummary[[#This Row],[Measure ID]:[Measure ID]],Tbl_MeasureList[[Measure ID]:[Measure ID]],0),MATCH(Tbl_ROF_MeasureSummary[[#Headers],[ROF High Measure Carbon Emissions Reduction, Site (tons CO2/yr)]],Tbl_MeasureList[#Headers],0))</f>
        <v>4.3509556144426131</v>
      </c>
      <c r="AN86" s="540">
        <f ca="1">INDEX(Tbl_MeasureList[],MATCH(Tbl_ROF_MeasureSummary[[#This Row],[Measure ID]:[Measure ID]],Tbl_MeasureList[[Measure ID]:[Measure ID]],0),MATCH(Tbl_ROF_MeasureSummary[[#Headers],[ROF High Measure Carbon Emissions Reduction, Source (tons CO2/yr)]],Tbl_MeasureList[#Headers],0))</f>
        <v>2.4706966792467697</v>
      </c>
      <c r="AO86" s="538">
        <f ca="1">INDEX(Tbl_MeasureList[],MATCH(Tbl_ROF_MeasureSummary[[#This Row],[Measure ID]:[Measure ID]],Tbl_MeasureList[[Measure ID]:[Measure ID]],0),MATCH(Tbl_ROF_MeasureSummary[[#Headers],[Current ROF Low Measure Coal Source Fuel Savings (lbs coal/year)]],Tbl_MeasureList[#Headers],0))</f>
        <v>-59.805575574468477</v>
      </c>
      <c r="AP86" s="397">
        <f ca="1">INDEX(Tbl_MeasureList[],MATCH(Tbl_ROF_MeasureSummary[[#This Row],[Measure ID]:[Measure ID]],Tbl_MeasureList[[Measure ID]:[Measure ID]],0),MATCH(Tbl_ROF_MeasureSummary[[#Headers],[Current ROF Low Measure Oil Total Fuel Savings (gallons oil/year)]],Tbl_MeasureList[#Headers],0))</f>
        <v>-5.6896980151169707</v>
      </c>
      <c r="AQ86" s="540">
        <f ca="1">INDEX(Tbl_MeasureList[],MATCH(Tbl_ROF_MeasureSummary[[#This Row],[Measure ID]:[Measure ID]],Tbl_MeasureList[[Measure ID]:[Measure ID]],0),MATCH(Tbl_ROF_MeasureSummary[[#Headers],[Current ROF Low Measure Gas Total Fuel Savings (1,000 cu.ft. gas/year)]],Tbl_MeasureList[#Headers],0))</f>
        <v>-24.63204319920241</v>
      </c>
      <c r="AR86" s="517">
        <f ca="1">INDEX(Tbl_MeasureList[],MATCH(Tbl_ROF_MeasureSummary[[#This Row],[Measure ID]:[Measure ID]],Tbl_MeasureList[[Measure ID]:[Measure ID]],0),MATCH(Tbl_ROF_MeasureSummary[[#Headers],[Current ROF High Measure Coal Source Fuel Savings (lbs coal/year)]],Tbl_MeasureList[#Headers],0))</f>
        <v>-51.406913483293664</v>
      </c>
      <c r="AS86" s="536">
        <f ca="1">INDEX(Tbl_MeasureList[],MATCH(Tbl_ROF_MeasureSummary[[#This Row],[Measure ID]:[Measure ID]],Tbl_MeasureList[[Measure ID]:[Measure ID]],0),MATCH(Tbl_ROF_MeasureSummary[[#Headers],[Current ROF High Measure Oil Total Fuel Savings (gallons oil/year)]],Tbl_MeasureList[#Headers],0))</f>
        <v>-4.8906780145437185</v>
      </c>
      <c r="AT86" s="397">
        <f ca="1">INDEX(Tbl_MeasureList[],MATCH(Tbl_ROF_MeasureSummary[[#This Row],[Measure ID]:[Measure ID]],Tbl_MeasureList[[Measure ID]:[Measure ID]],0),MATCH(Tbl_ROF_MeasureSummary[[#Headers],[Current ROF High Measure Gas Total Fuel Savings (1,000 cu.ft. gas/year)]],Tbl_MeasureList[#Headers],0))</f>
        <v>-21.172897367761927</v>
      </c>
    </row>
    <row r="87" spans="2:46" ht="33.75" x14ac:dyDescent="0.2">
      <c r="B87" s="16"/>
      <c r="C87" s="44" t="s">
        <v>86</v>
      </c>
      <c r="D87" s="31" t="str">
        <f>INDEX(Tbl_MeasureList[],MATCH(Tbl_ROF_MeasureSummary[[#This Row],[Measure ID]:[Measure ID]],Tbl_MeasureList[[Measure ID]:[Measure ID]],0),MATCH(Tbl_ROF_MeasureSummary[[#Headers],[Baseline Equipment ID]],Tbl_MeasureList[#Headers],0))</f>
        <v>EQUI001</v>
      </c>
      <c r="E87" s="525" t="str">
        <f>INDEX(Tbl_MeasureList[],MATCH(Tbl_ROF_MeasureSummary[[#This Row],[Measure ID]:[Measure ID]],Tbl_MeasureList[[Measure ID]:[Measure ID]],0),MATCH(Tbl_ROF_MeasureSummary[[#Headers],[Replacement ID]],Tbl_MeasureList[#Headers],0))</f>
        <v>EQUI007</v>
      </c>
      <c r="F87" s="31" t="str">
        <f>INDEX(Tbl_MeasureList[],MATCH(Tbl_ROF_MeasureSummary[[#This Row],[Measure ID]:[Measure ID]],Tbl_MeasureList[[Measure ID]:[Measure ID]],0),MATCH(Tbl_ROF_MeasureSummary[[#Headers],[Baseline Name]],Tbl_MeasureList[#Headers],0))</f>
        <v>Baseline A/C Blend+Oil Furnace</v>
      </c>
      <c r="G87" s="525" t="str">
        <f>INDEX(Tbl_MeasureList[],MATCH(Tbl_ROF_MeasureSummary[[#This Row],[Measure ID]:[Measure ID]],Tbl_MeasureList[[Measure ID]:[Measure ID]],0),MATCH(Tbl_ROF_MeasureSummary[[#Headers],[Replacement Name]],Tbl_MeasureList[#Headers],0))</f>
        <v>Central HP</v>
      </c>
      <c r="H87" s="31"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Baseline A/C Blend+Oil Furnace to Central HP</v>
      </c>
      <c r="I87" s="525">
        <f>INDEX(Tbl_MeasureList[],MATCH(Tbl_ROF_MeasureSummary[[#This Row],[Measure ID]:[Measure ID]],Tbl_MeasureList[[Measure ID]:[Measure ID]],0),MATCH(Tbl_ROF_MeasureSummary[[#Headers],[New Unit Equipment Life (years)]],Tbl_MeasureList[#Headers],0))</f>
        <v>17</v>
      </c>
      <c r="J87" s="31" t="str">
        <f>INDEX(Tbl_MeasureList[],MATCH(Tbl_ROF_MeasureSummary[[#This Row],[Measure ID]:[Measure ID]],Tbl_MeasureList[[Measure ID]:[Measure ID]],0),MATCH(Tbl_ROF_MeasureSummary[[#Headers],[Baseline Function]],Tbl_MeasureList[#Headers],0))</f>
        <v>Cool+Heat</v>
      </c>
      <c r="K87" s="525" t="str">
        <f>INDEX(Tbl_MeasureList[],MATCH(Tbl_ROF_MeasureSummary[[#This Row],[Measure ID]:[Measure ID]],Tbl_MeasureList[[Measure ID]:[Measure ID]],0),MATCH(Tbl_ROF_MeasureSummary[[#Headers],[Replacement Function]],Tbl_MeasureList[#Headers],0))</f>
        <v>Cool+Heat</v>
      </c>
      <c r="L87" s="31" t="str">
        <f>INDEX(Tbl_MeasureList[],MATCH(Tbl_ROF_MeasureSummary[[#This Row],[Measure ID]:[Measure ID]],Tbl_MeasureList[[Measure ID]:[Measure ID]],0),MATCH(Tbl_ROF_MeasureSummary[[#Headers],[Keep Existing Heating Equipment?]],Tbl_MeasureList[#Headers],0))</f>
        <v>No</v>
      </c>
      <c r="M87" s="298"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Electric+Oil</v>
      </c>
      <c r="N87" s="543"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Electric</v>
      </c>
      <c r="O87" s="528"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CAC: 10 SEER/8.5 EER. 
Room A/C: 8 EER 
78% AFUE (78.9%)</v>
      </c>
      <c r="P87" s="545"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CAC: 13 SEER/11 EER; 
Room A/C: 10 EER
83% AFUE</v>
      </c>
      <c r="Q87" s="528"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16 SEER/8.5 HSPF</v>
      </c>
      <c r="R87" s="547"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18 SEER/9.6 HSPF</v>
      </c>
      <c r="S87" s="530">
        <f ca="1">INDEX(Tbl_MeasureList[],MATCH(Tbl_ROF_MeasureSummary[[#This Row],[Measure ID]:[Measure ID]],Tbl_MeasureList[[Measure ID]:[Measure ID]],0),MATCH(Tbl_ROF_MeasureSummary[[#Headers],[ROF Low Measure Energy Cost Savings (USD/yr)]],Tbl_MeasureList[#Headers],0))</f>
        <v>279.72043578479452</v>
      </c>
      <c r="T87" s="394">
        <f ca="1">INDEX(Tbl_MeasureList[],MATCH(Tbl_ROF_MeasureSummary[[#This Row],[Measure ID]:[Measure ID]],Tbl_MeasureList[[Measure ID]:[Measure ID]],0),MATCH(T$84,Tbl_MeasureList[#Headers],0))</f>
        <v>9556.9308000000001</v>
      </c>
      <c r="U87" s="532">
        <f ca="1">INDEX(Tbl_MeasureList[],MATCH(Tbl_ROF_MeasureSummary[[#This Row],[Measure ID]:[Measure ID]],Tbl_MeasureList[[Measure ID]:[Measure ID]],0),MATCH(Tbl_ROF_MeasureSummary[[#Headers],[ROF Low Measure Electric Annual Consumption Savings (kWh/yr)]],Tbl_MeasureList[#Headers],0))</f>
        <v>-7943.4452733545249</v>
      </c>
      <c r="V87" s="396">
        <f ca="1">INDEX(Tbl_MeasureList[],MATCH(Tbl_ROF_MeasureSummary[[#This Row],[Measure ID]:[Measure ID]],Tbl_MeasureList[[Measure ID]:[Measure ID]],0),MATCH(Tbl_ROF_MeasureSummary[[#Headers],[ROF Low Measure Electric Winter Peak Demand Savings (kW)]],Tbl_MeasureList[#Headers],0))</f>
        <v>-1.6934453781512604</v>
      </c>
      <c r="W87" s="534">
        <f ca="1">INDEX(Tbl_MeasureList[],MATCH(Tbl_ROF_MeasureSummary[[#This Row],[Measure ID]:[Measure ID]],Tbl_MeasureList[[Measure ID]:[Measure ID]],0),MATCH(Tbl_ROF_MeasureSummary[[#Headers],[ROF Low Measure Electric Summer Peak Demand Savings (kW)]],Tbl_MeasureList[#Headers],0))</f>
        <v>-0.55451550582750575</v>
      </c>
      <c r="X87" s="656">
        <f ca="1">INDEX(Tbl_MeasureList[],MATCH(Tbl_ROF_MeasureSummary[[#This Row],[Measure ID]:[Measure ID]],Tbl_MeasureList[[Measure ID]:[Measure ID]],0),MATCH(Tbl_ROF_MeasureSummary[[#Headers],[ROF Low Measure Natural Gas Annual Consumption Savings (therms/yr)]],Tbl_MeasureList[#Headers],0))</f>
        <v>0</v>
      </c>
      <c r="Y87" s="536">
        <f ca="1">INDEX(Tbl_MeasureList[],MATCH(Tbl_ROF_MeasureSummary[[#This Row],[Measure ID]:[Measure ID]],Tbl_MeasureList[[Measure ID]:[Measure ID]],0),MATCH(Tbl_ROF_MeasureSummary[[#Headers],[ROF Low Measure Propane Annual Consumption Savings (MMBtu/yr)]],Tbl_MeasureList[#Headers],0))</f>
        <v>0</v>
      </c>
      <c r="Z87" s="656">
        <f ca="1">INDEX(Tbl_MeasureList[],MATCH(Tbl_ROF_MeasureSummary[[#This Row],[Measure ID]:[Measure ID]],Tbl_MeasureList[[Measure ID]:[Measure ID]],0),MATCH(Tbl_ROF_MeasureSummary[[#Headers],[ROF Low Measure Oil Annual Consumption Savings (MMBtu/yr)]],Tbl_MeasureList[#Headers],0))</f>
        <v>82.409638554216883</v>
      </c>
      <c r="AA87" s="661">
        <f ca="1">INDEX(Tbl_MeasureList[],MATCH(Tbl_ROF_MeasureSummary[[#This Row],[Measure ID]:[Measure ID]],Tbl_MeasureList[[Measure ID]:[Measure ID]],0),MATCH(Tbl_ROF_MeasureSummary[[#Headers],[ROF Low Measure Annual Energy Savings on MMBtu Basis (MMBtu/yr)]],Tbl_MeasureList[#Headers],0))</f>
        <v>55.306603281531245</v>
      </c>
      <c r="AB87" s="656">
        <f ca="1">INDEX(Tbl_MeasureList[],MATCH(Tbl_ROF_MeasureSummary[[#This Row],[Measure ID]:[Measure ID]],Tbl_MeasureList[[Measure ID]:[Measure ID]],0),MATCH(Tbl_ROF_MeasureSummary[[#Headers],[ROF Low Measure Carbon Emissions Reduction, Site (tons CO2/yr)]],Tbl_MeasureList[#Headers],0))</f>
        <v>6.6463373493975926</v>
      </c>
      <c r="AC87" s="540">
        <f ca="1">INDEX(Tbl_MeasureList[],MATCH(Tbl_ROF_MeasureSummary[[#This Row],[Measure ID]:[Measure ID]],Tbl_MeasureList[[Measure ID]:[Measure ID]],0),MATCH(Tbl_ROF_MeasureSummary[[#Headers],[ROF Low Measure Carbon Emissions Reduction, Source (tons CO2/yr)]],Tbl_MeasureList[#Headers],0))</f>
        <v>3.8410302166597075</v>
      </c>
      <c r="AD87" s="530">
        <f ca="1">INDEX(Tbl_MeasureList[],MATCH(Tbl_ROF_MeasureSummary[[#This Row],[Measure ID]:[Measure ID]],Tbl_MeasureList[[Measure ID]:[Measure ID]],0),MATCH(Tbl_ROF_MeasureSummary[[#Headers],[ROF High Measure Energy Cost Savings (USD/yr)]],Tbl_MeasureList[#Headers],0))</f>
        <v>476.78644193365949</v>
      </c>
      <c r="AE87" s="394">
        <f ca="1">INDEX(Tbl_MeasureList[],MATCH(Tbl_ROF_MeasureSummary[[#This Row],[Measure ID]:[Measure ID]],Tbl_MeasureList[[Measure ID]:[Measure ID]],0),MATCH(AE$84,Tbl_MeasureList[#Headers],0))</f>
        <v>10948.9308</v>
      </c>
      <c r="AF87" s="532">
        <f ca="1">INDEX(Tbl_MeasureList[],MATCH(Tbl_ROF_MeasureSummary[[#This Row],[Measure ID]:[Measure ID]],Tbl_MeasureList[[Measure ID]:[Measure ID]],0),MATCH(Tbl_ROF_MeasureSummary[[#Headers],[ROF High Measure Electric Annual Consumption Savings (kWh/yr)]],Tbl_MeasureList[#Headers],0))</f>
        <v>-6947.156061277351</v>
      </c>
      <c r="AG87" s="396">
        <f ca="1">INDEX(Tbl_MeasureList[],MATCH(Tbl_ROF_MeasureSummary[[#This Row],[Measure ID]:[Measure ID]],Tbl_MeasureList[[Measure ID]:[Measure ID]],0),MATCH(Tbl_ROF_MeasureSummary[[#Headers],[ROF High Measure Electric Winter Peak Demand Savings (kW)]],Tbl_MeasureList[#Headers],0))</f>
        <v>-2.6428571428571432</v>
      </c>
      <c r="AH87" s="534">
        <f ca="1">INDEX(Tbl_MeasureList[],MATCH(Tbl_ROF_MeasureSummary[[#This Row],[Measure ID]:[Measure ID]],Tbl_MeasureList[[Measure ID]:[Measure ID]],0),MATCH(Tbl_ROF_MeasureSummary[[#Headers],[ROF High Measure Electric Summer Peak Demand Savings (kW)]],Tbl_MeasureList[#Headers],0))</f>
        <v>-0.55451550582750575</v>
      </c>
      <c r="AI87" s="656">
        <f ca="1">INDEX(Tbl_MeasureList[],MATCH(Tbl_ROF_MeasureSummary[[#This Row],[Measure ID]:[Measure ID]],Tbl_MeasureList[[Measure ID]:[Measure ID]],0),MATCH(Tbl_ROF_MeasureSummary[[#Headers],[ROF High Measure Natural Gas Annual Consumption Savings (therms/yr)]],Tbl_MeasureList[#Headers],0))</f>
        <v>0</v>
      </c>
      <c r="AJ87" s="536">
        <f ca="1">INDEX(Tbl_MeasureList[],MATCH(Tbl_ROF_MeasureSummary[[#This Row],[Measure ID]:[Measure ID]],Tbl_MeasureList[[Measure ID]:[Measure ID]],0),MATCH(Tbl_ROF_MeasureSummary[[#Headers],[ROF High Measure Propane Annual Consumption Savings (MMBtu/yr)]],Tbl_MeasureList[#Headers],0))</f>
        <v>0</v>
      </c>
      <c r="AK87" s="656">
        <f ca="1">INDEX(Tbl_MeasureList[],MATCH(Tbl_ROF_MeasureSummary[[#This Row],[Measure ID]:[Measure ID]],Tbl_MeasureList[[Measure ID]:[Measure ID]],0),MATCH(Tbl_ROF_MeasureSummary[[#Headers],[ROF High Measure Oil Annual Consumption Savings (MMBtu/yr)]],Tbl_MeasureList[#Headers],0))</f>
        <v>82.409638554216883</v>
      </c>
      <c r="AL87" s="536">
        <f ca="1">INDEX(Tbl_MeasureList[],MATCH(Tbl_ROF_MeasureSummary[[#This Row],[Measure ID]:[Measure ID]],Tbl_MeasureList[[Measure ID]:[Measure ID]],0),MATCH(Tbl_ROF_MeasureSummary[[#Headers],[ROF High Measure Annual Energy Savings on MMBtu Basis (MMBtu/yr)]],Tbl_MeasureList[#Headers],0))</f>
        <v>58.705942073138559</v>
      </c>
      <c r="AM87" s="656">
        <f ca="1">INDEX(Tbl_MeasureList[],MATCH(Tbl_ROF_MeasureSummary[[#This Row],[Measure ID]:[Measure ID]],Tbl_MeasureList[[Measure ID]:[Measure ID]],0),MATCH(Tbl_ROF_MeasureSummary[[#Headers],[ROF High Measure Carbon Emissions Reduction, Site (tons CO2/yr)]],Tbl_MeasureList[#Headers],0))</f>
        <v>6.6463373493975926</v>
      </c>
      <c r="AN87" s="540">
        <f ca="1">INDEX(Tbl_MeasureList[],MATCH(Tbl_ROF_MeasureSummary[[#This Row],[Measure ID]:[Measure ID]],Tbl_MeasureList[[Measure ID]:[Measure ID]],0),MATCH(Tbl_ROF_MeasureSummary[[#Headers],[ROF High Measure Carbon Emissions Reduction, Source (tons CO2/yr)]],Tbl_MeasureList[#Headers],0))</f>
        <v>4.1928797147968826</v>
      </c>
      <c r="AO87" s="538">
        <f ca="1">INDEX(Tbl_MeasureList[],MATCH(Tbl_ROF_MeasureSummary[[#This Row],[Measure ID]:[Measure ID]],Tbl_MeasureList[[Measure ID]:[Measure ID]],0),MATCH(Tbl_ROF_MeasureSummary[[#Headers],[Current ROF Low Measure Coal Source Fuel Savings (lbs coal/year)]],Tbl_MeasureList[#Headers],0))</f>
        <v>-76.698043214831074</v>
      </c>
      <c r="AP87" s="397">
        <f ca="1">INDEX(Tbl_MeasureList[],MATCH(Tbl_ROF_MeasureSummary[[#This Row],[Measure ID]:[Measure ID]],Tbl_MeasureList[[Measure ID]:[Measure ID]],0),MATCH(Tbl_ROF_MeasureSummary[[#Headers],[Current ROF Low Measure Oil Total Fuel Savings (gallons oil/year)]],Tbl_MeasureList[#Headers],0))</f>
        <v>590.11260217753943</v>
      </c>
      <c r="AQ87" s="540">
        <f ca="1">INDEX(Tbl_MeasureList[],MATCH(Tbl_ROF_MeasureSummary[[#This Row],[Measure ID]:[Measure ID]],Tbl_MeasureList[[Measure ID]:[Measure ID]],0),MATCH(Tbl_ROF_MeasureSummary[[#Headers],[Current ROF Low Measure Gas Total Fuel Savings (1,000 cu.ft. gas/year)]],Tbl_MeasureList[#Headers],0))</f>
        <v>-31.589521472117404</v>
      </c>
      <c r="AR87" s="517">
        <f ca="1">INDEX(Tbl_MeasureList[],MATCH(Tbl_ROF_MeasureSummary[[#This Row],[Measure ID]:[Measure ID]],Tbl_MeasureList[[Measure ID]:[Measure ID]],0),MATCH(Tbl_ROF_MeasureSummary[[#Headers],[Current ROF High Measure Coal Source Fuel Savings (lbs coal/year)]],Tbl_MeasureList[#Headers],0))</f>
        <v>-67.078359259975088</v>
      </c>
      <c r="AS87" s="536">
        <f ca="1">INDEX(Tbl_MeasureList[],MATCH(Tbl_ROF_MeasureSummary[[#This Row],[Measure ID]:[Measure ID]],Tbl_MeasureList[[Measure ID]:[Measure ID]],0),MATCH(Tbl_ROF_MeasureSummary[[#Headers],[Current ROF High Measure Oil Total Fuel Savings (gallons oil/year)]],Tbl_MeasureList[#Headers],0))</f>
        <v>591.02778602416663</v>
      </c>
      <c r="AT87" s="397">
        <f ca="1">INDEX(Tbl_MeasureList[],MATCH(Tbl_ROF_MeasureSummary[[#This Row],[Measure ID]:[Measure ID]],Tbl_MeasureList[[Measure ID]:[Measure ID]],0),MATCH(Tbl_ROF_MeasureSummary[[#Headers],[Current ROF High Measure Gas Total Fuel Savings (1,000 cu.ft. gas/year)]],Tbl_MeasureList[#Headers],0))</f>
        <v>-27.627474982929467</v>
      </c>
    </row>
    <row r="88" spans="2:46" ht="33.75" x14ac:dyDescent="0.2">
      <c r="B88" s="16"/>
      <c r="C88" s="44" t="s">
        <v>87</v>
      </c>
      <c r="D88" s="31" t="str">
        <f>INDEX(Tbl_MeasureList[],MATCH(Tbl_ROF_MeasureSummary[[#This Row],[Measure ID]:[Measure ID]],Tbl_MeasureList[[Measure ID]:[Measure ID]],0),MATCH(Tbl_ROF_MeasureSummary[[#Headers],[Baseline Equipment ID]],Tbl_MeasureList[#Headers],0))</f>
        <v>EQUI002</v>
      </c>
      <c r="E88" s="525" t="str">
        <f>INDEX(Tbl_MeasureList[],MATCH(Tbl_ROF_MeasureSummary[[#This Row],[Measure ID]:[Measure ID]],Tbl_MeasureList[[Measure ID]:[Measure ID]],0),MATCH(Tbl_ROF_MeasureSummary[[#Headers],[Replacement ID]],Tbl_MeasureList[#Headers],0))</f>
        <v>EQUI007</v>
      </c>
      <c r="F88" s="31" t="str">
        <f>INDEX(Tbl_MeasureList[],MATCH(Tbl_ROF_MeasureSummary[[#This Row],[Measure ID]:[Measure ID]],Tbl_MeasureList[[Measure ID]:[Measure ID]],0),MATCH(Tbl_ROF_MeasureSummary[[#Headers],[Baseline Name]],Tbl_MeasureList[#Headers],0))</f>
        <v>Baseline A/C Blend+Propane Furnace</v>
      </c>
      <c r="G88" s="525" t="str">
        <f>INDEX(Tbl_MeasureList[],MATCH(Tbl_ROF_MeasureSummary[[#This Row],[Measure ID]:[Measure ID]],Tbl_MeasureList[[Measure ID]:[Measure ID]],0),MATCH(Tbl_ROF_MeasureSummary[[#Headers],[Replacement Name]],Tbl_MeasureList[#Headers],0))</f>
        <v>Central HP</v>
      </c>
      <c r="H88" s="31"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Baseline A/C Blend+Propane Furnace to Central HP</v>
      </c>
      <c r="I88" s="525">
        <f>INDEX(Tbl_MeasureList[],MATCH(Tbl_ROF_MeasureSummary[[#This Row],[Measure ID]:[Measure ID]],Tbl_MeasureList[[Measure ID]:[Measure ID]],0),MATCH(Tbl_ROF_MeasureSummary[[#Headers],[New Unit Equipment Life (years)]],Tbl_MeasureList[#Headers],0))</f>
        <v>17</v>
      </c>
      <c r="J88" s="31" t="str">
        <f>INDEX(Tbl_MeasureList[],MATCH(Tbl_ROF_MeasureSummary[[#This Row],[Measure ID]:[Measure ID]],Tbl_MeasureList[[Measure ID]:[Measure ID]],0),MATCH(Tbl_ROF_MeasureSummary[[#Headers],[Baseline Function]],Tbl_MeasureList[#Headers],0))</f>
        <v>Cool+Heat</v>
      </c>
      <c r="K88" s="525" t="str">
        <f>INDEX(Tbl_MeasureList[],MATCH(Tbl_ROF_MeasureSummary[[#This Row],[Measure ID]:[Measure ID]],Tbl_MeasureList[[Measure ID]:[Measure ID]],0),MATCH(Tbl_ROF_MeasureSummary[[#Headers],[Replacement Function]],Tbl_MeasureList[#Headers],0))</f>
        <v>Cool+Heat</v>
      </c>
      <c r="L88" s="31" t="str">
        <f>INDEX(Tbl_MeasureList[],MATCH(Tbl_ROF_MeasureSummary[[#This Row],[Measure ID]:[Measure ID]],Tbl_MeasureList[[Measure ID]:[Measure ID]],0),MATCH(Tbl_ROF_MeasureSummary[[#Headers],[Keep Existing Heating Equipment?]],Tbl_MeasureList[#Headers],0))</f>
        <v>No</v>
      </c>
      <c r="M88" s="298"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Electric+Propane</v>
      </c>
      <c r="N88" s="543"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Electric</v>
      </c>
      <c r="O88" s="528"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CAC: 10 SEER/8.5 EER; 
Room A/C: 8 EER 
78% AFUE (78.9%)</v>
      </c>
      <c r="P88" s="545"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CAC: 13 SEER/11 EER; 
Room A/C: 10 EER
85% AFUE</v>
      </c>
      <c r="Q88" s="528"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16 SEER/8.5 HSPF</v>
      </c>
      <c r="R88" s="547"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18 SEER/9.6 HSPF</v>
      </c>
      <c r="S88" s="530">
        <f ca="1">INDEX(Tbl_MeasureList[],MATCH(Tbl_ROF_MeasureSummary[[#This Row],[Measure ID]:[Measure ID]],Tbl_MeasureList[[Measure ID]:[Measure ID]],0),MATCH(Tbl_ROF_MeasureSummary[[#Headers],[ROF Low Measure Energy Cost Savings (USD/yr)]],Tbl_MeasureList[#Headers],0))</f>
        <v>1321.1351339663179</v>
      </c>
      <c r="T88" s="394">
        <f ca="1">INDEX(Tbl_MeasureList[],MATCH(Tbl_ROF_MeasureSummary[[#This Row],[Measure ID]:[Measure ID]],Tbl_MeasureList[[Measure ID]:[Measure ID]],0),MATCH(T$84,Tbl_MeasureList[#Headers],0))</f>
        <v>9769.9308000000001</v>
      </c>
      <c r="U88" s="532">
        <f ca="1">INDEX(Tbl_MeasureList[],MATCH(Tbl_ROF_MeasureSummary[[#This Row],[Measure ID]:[Measure ID]],Tbl_MeasureList[[Measure ID]:[Measure ID]],0),MATCH(Tbl_ROF_MeasureSummary[[#Headers],[ROF Low Measure Electric Annual Consumption Savings (kWh/yr)]],Tbl_MeasureList[#Headers],0))</f>
        <v>-7944.4452733545249</v>
      </c>
      <c r="V88" s="396">
        <f ca="1">INDEX(Tbl_MeasureList[],MATCH(Tbl_ROF_MeasureSummary[[#This Row],[Measure ID]:[Measure ID]],Tbl_MeasureList[[Measure ID]:[Measure ID]],0),MATCH(Tbl_ROF_MeasureSummary[[#Headers],[ROF Low Measure Electric Winter Peak Demand Savings (kW)]],Tbl_MeasureList[#Headers],0))</f>
        <v>-1.693598781794597</v>
      </c>
      <c r="W88" s="534">
        <f ca="1">INDEX(Tbl_MeasureList[],MATCH(Tbl_ROF_MeasureSummary[[#This Row],[Measure ID]:[Measure ID]],Tbl_MeasureList[[Measure ID]:[Measure ID]],0),MATCH(Tbl_ROF_MeasureSummary[[#Headers],[ROF Low Measure Electric Summer Peak Demand Savings (kW)]],Tbl_MeasureList[#Headers],0))</f>
        <v>-0.55451550582750575</v>
      </c>
      <c r="X88" s="656">
        <f ca="1">INDEX(Tbl_MeasureList[],MATCH(Tbl_ROF_MeasureSummary[[#This Row],[Measure ID]:[Measure ID]],Tbl_MeasureList[[Measure ID]:[Measure ID]],0),MATCH(Tbl_ROF_MeasureSummary[[#Headers],[ROF Low Measure Natural Gas Annual Consumption Savings (therms/yr)]],Tbl_MeasureList[#Headers],0))</f>
        <v>0</v>
      </c>
      <c r="Y88" s="536">
        <f ca="1">INDEX(Tbl_MeasureList[],MATCH(Tbl_ROF_MeasureSummary[[#This Row],[Measure ID]:[Measure ID]],Tbl_MeasureList[[Measure ID]:[Measure ID]],0),MATCH(Tbl_ROF_MeasureSummary[[#Headers],[ROF Low Measure Propane Annual Consumption Savings (MMBtu/yr)]],Tbl_MeasureList[#Headers],0))</f>
        <v>80.47058823529413</v>
      </c>
      <c r="Z88" s="656">
        <f ca="1">INDEX(Tbl_MeasureList[],MATCH(Tbl_ROF_MeasureSummary[[#This Row],[Measure ID]:[Measure ID]],Tbl_MeasureList[[Measure ID]:[Measure ID]],0),MATCH(Tbl_ROF_MeasureSummary[[#Headers],[ROF Low Measure Oil Annual Consumption Savings (MMBtu/yr)]],Tbl_MeasureList[#Headers],0))</f>
        <v>0</v>
      </c>
      <c r="AA88" s="661">
        <f ca="1">INDEX(Tbl_MeasureList[],MATCH(Tbl_ROF_MeasureSummary[[#This Row],[Measure ID]:[Measure ID]],Tbl_MeasureList[[Measure ID]:[Measure ID]],0),MATCH(Tbl_ROF_MeasureSummary[[#Headers],[ROF Low Measure Annual Energy Savings on MMBtu Basis (MMBtu/yr)]],Tbl_MeasureList[#Headers],0))</f>
        <v>53.364140962608488</v>
      </c>
      <c r="AB88" s="656">
        <f ca="1">INDEX(Tbl_MeasureList[],MATCH(Tbl_ROF_MeasureSummary[[#This Row],[Measure ID]:[Measure ID]],Tbl_MeasureList[[Measure ID]:[Measure ID]],0),MATCH(Tbl_ROF_MeasureSummary[[#Headers],[ROF Low Measure Carbon Emissions Reduction, Site (tons CO2/yr)]],Tbl_MeasureList[#Headers],0))</f>
        <v>5.5927058823529423</v>
      </c>
      <c r="AC88" s="540">
        <f ca="1">INDEX(Tbl_MeasureList[],MATCH(Tbl_ROF_MeasureSummary[[#This Row],[Measure ID]:[Measure ID]],Tbl_MeasureList[[Measure ID]:[Measure ID]],0),MATCH(Tbl_ROF_MeasureSummary[[#Headers],[ROF Low Measure Carbon Emissions Reduction, Source (tons CO2/yr)]],Tbl_MeasureList[#Headers],0))</f>
        <v>2.7870455896150577</v>
      </c>
      <c r="AD88" s="530">
        <f ca="1">INDEX(Tbl_MeasureList[],MATCH(Tbl_ROF_MeasureSummary[[#This Row],[Measure ID]:[Measure ID]],Tbl_MeasureList[[Measure ID]:[Measure ID]],0),MATCH(Tbl_ROF_MeasureSummary[[#Headers],[ROF High Measure Energy Cost Savings (USD/yr)]],Tbl_MeasureList[#Headers],0))</f>
        <v>1518.2011401151829</v>
      </c>
      <c r="AE88" s="394">
        <f ca="1">INDEX(Tbl_MeasureList[],MATCH(Tbl_ROF_MeasureSummary[[#This Row],[Measure ID]:[Measure ID]],Tbl_MeasureList[[Measure ID]:[Measure ID]],0),MATCH(AE$84,Tbl_MeasureList[#Headers],0))</f>
        <v>11161.9308</v>
      </c>
      <c r="AF88" s="532">
        <f ca="1">INDEX(Tbl_MeasureList[],MATCH(Tbl_ROF_MeasureSummary[[#This Row],[Measure ID]:[Measure ID]],Tbl_MeasureList[[Measure ID]:[Measure ID]],0),MATCH(Tbl_ROF_MeasureSummary[[#Headers],[ROF High Measure Electric Annual Consumption Savings (kWh/yr)]],Tbl_MeasureList[#Headers],0))</f>
        <v>-6948.156061277351</v>
      </c>
      <c r="AG88" s="396">
        <f ca="1">INDEX(Tbl_MeasureList[],MATCH(Tbl_ROF_MeasureSummary[[#This Row],[Measure ID]:[Measure ID]],Tbl_MeasureList[[Measure ID]:[Measure ID]],0),MATCH(Tbl_ROF_MeasureSummary[[#Headers],[ROF High Measure Electric Winter Peak Demand Savings (kW)]],Tbl_MeasureList[#Headers],0))</f>
        <v>-2.6430105465004794</v>
      </c>
      <c r="AH88" s="534">
        <f ca="1">INDEX(Tbl_MeasureList[],MATCH(Tbl_ROF_MeasureSummary[[#This Row],[Measure ID]:[Measure ID]],Tbl_MeasureList[[Measure ID]:[Measure ID]],0),MATCH(Tbl_ROF_MeasureSummary[[#Headers],[ROF High Measure Electric Summer Peak Demand Savings (kW)]],Tbl_MeasureList[#Headers],0))</f>
        <v>-0.55451550582750575</v>
      </c>
      <c r="AI88" s="656">
        <f ca="1">INDEX(Tbl_MeasureList[],MATCH(Tbl_ROF_MeasureSummary[[#This Row],[Measure ID]:[Measure ID]],Tbl_MeasureList[[Measure ID]:[Measure ID]],0),MATCH(Tbl_ROF_MeasureSummary[[#Headers],[ROF High Measure Natural Gas Annual Consumption Savings (therms/yr)]],Tbl_MeasureList[#Headers],0))</f>
        <v>0</v>
      </c>
      <c r="AJ88" s="536">
        <f ca="1">INDEX(Tbl_MeasureList[],MATCH(Tbl_ROF_MeasureSummary[[#This Row],[Measure ID]:[Measure ID]],Tbl_MeasureList[[Measure ID]:[Measure ID]],0),MATCH(Tbl_ROF_MeasureSummary[[#Headers],[ROF High Measure Propane Annual Consumption Savings (MMBtu/yr)]],Tbl_MeasureList[#Headers],0))</f>
        <v>80.47058823529413</v>
      </c>
      <c r="AK88" s="656">
        <f ca="1">INDEX(Tbl_MeasureList[],MATCH(Tbl_ROF_MeasureSummary[[#This Row],[Measure ID]:[Measure ID]],Tbl_MeasureList[[Measure ID]:[Measure ID]],0),MATCH(Tbl_ROF_MeasureSummary[[#Headers],[ROF High Measure Oil Annual Consumption Savings (MMBtu/yr)]],Tbl_MeasureList[#Headers],0))</f>
        <v>0</v>
      </c>
      <c r="AL88" s="536">
        <f ca="1">INDEX(Tbl_MeasureList[],MATCH(Tbl_ROF_MeasureSummary[[#This Row],[Measure ID]:[Measure ID]],Tbl_MeasureList[[Measure ID]:[Measure ID]],0),MATCH(Tbl_ROF_MeasureSummary[[#Headers],[ROF High Measure Annual Energy Savings on MMBtu Basis (MMBtu/yr)]],Tbl_MeasureList[#Headers],0))</f>
        <v>56.763479754215808</v>
      </c>
      <c r="AM88" s="656">
        <f ca="1">INDEX(Tbl_MeasureList[],MATCH(Tbl_ROF_MeasureSummary[[#This Row],[Measure ID]:[Measure ID]],Tbl_MeasureList[[Measure ID]:[Measure ID]],0),MATCH(Tbl_ROF_MeasureSummary[[#Headers],[ROF High Measure Carbon Emissions Reduction, Site (tons CO2/yr)]],Tbl_MeasureList[#Headers],0))</f>
        <v>5.5927058823529423</v>
      </c>
      <c r="AN88" s="540">
        <f ca="1">INDEX(Tbl_MeasureList[],MATCH(Tbl_ROF_MeasureSummary[[#This Row],[Measure ID]:[Measure ID]],Tbl_MeasureList[[Measure ID]:[Measure ID]],0),MATCH(Tbl_ROF_MeasureSummary[[#Headers],[ROF High Measure Carbon Emissions Reduction, Source (tons CO2/yr)]],Tbl_MeasureList[#Headers],0))</f>
        <v>3.1388950877522328</v>
      </c>
      <c r="AO88" s="538">
        <f ca="1">INDEX(Tbl_MeasureList[],MATCH(Tbl_ROF_MeasureSummary[[#This Row],[Measure ID]:[Measure ID]],Tbl_MeasureList[[Measure ID]:[Measure ID]],0),MATCH(Tbl_ROF_MeasureSummary[[#Headers],[Current ROF Low Measure Coal Source Fuel Savings (lbs coal/year)]],Tbl_MeasureList[#Headers],0))</f>
        <v>-76.707698728348873</v>
      </c>
      <c r="AP88" s="397">
        <f ca="1">INDEX(Tbl_MeasureList[],MATCH(Tbl_ROF_MeasureSummary[[#This Row],[Measure ID]:[Measure ID]],Tbl_MeasureList[[Measure ID]:[Measure ID]],0),MATCH(Tbl_ROF_MeasureSummary[[#Headers],[Current ROF Low Measure Oil Total Fuel Savings (gallons oil/year)]],Tbl_MeasureList[#Headers],0))</f>
        <v>-7.2977082321601934</v>
      </c>
      <c r="AQ88" s="540">
        <f ca="1">INDEX(Tbl_MeasureList[],MATCH(Tbl_ROF_MeasureSummary[[#This Row],[Measure ID]:[Measure ID]],Tbl_MeasureList[[Measure ID]:[Measure ID]],0),MATCH(Tbl_ROF_MeasureSummary[[#Headers],[Current ROF Low Measure Gas Total Fuel Savings (1,000 cu.ft. gas/year)]],Tbl_MeasureList[#Headers],0))</f>
        <v>-31.593498275681231</v>
      </c>
      <c r="AR88" s="517">
        <f ca="1">INDEX(Tbl_MeasureList[],MATCH(Tbl_ROF_MeasureSummary[[#This Row],[Measure ID]:[Measure ID]],Tbl_MeasureList[[Measure ID]:[Measure ID]],0),MATCH(Tbl_ROF_MeasureSummary[[#Headers],[Current ROF High Measure Coal Source Fuel Savings (lbs coal/year)]],Tbl_MeasureList[#Headers],0))</f>
        <v>-67.088014773492901</v>
      </c>
      <c r="AS88" s="536">
        <f ca="1">INDEX(Tbl_MeasureList[],MATCH(Tbl_ROF_MeasureSummary[[#This Row],[Measure ID]:[Measure ID]],Tbl_MeasureList[[Measure ID]:[Measure ID]],0),MATCH(Tbl_ROF_MeasureSummary[[#Headers],[Current ROF High Measure Oil Total Fuel Savings (gallons oil/year)]],Tbl_MeasureList[#Headers],0))</f>
        <v>-6.382524385532979</v>
      </c>
      <c r="AT88" s="397">
        <f ca="1">INDEX(Tbl_MeasureList[],MATCH(Tbl_ROF_MeasureSummary[[#This Row],[Measure ID]:[Measure ID]],Tbl_MeasureList[[Measure ID]:[Measure ID]],0),MATCH(Tbl_ROF_MeasureSummary[[#Headers],[Current ROF High Measure Gas Total Fuel Savings (1,000 cu.ft. gas/year)]],Tbl_MeasureList[#Headers],0))</f>
        <v>-27.631451786493294</v>
      </c>
    </row>
    <row r="89" spans="2:46" ht="22.5" x14ac:dyDescent="0.2">
      <c r="B89" s="16"/>
      <c r="C89" s="44" t="s">
        <v>90</v>
      </c>
      <c r="D89" s="31" t="str">
        <f>INDEX(Tbl_MeasureList[],MATCH(Tbl_ROF_MeasureSummary[[#This Row],[Measure ID]:[Measure ID]],Tbl_MeasureList[[Measure ID]:[Measure ID]],0),MATCH(Tbl_ROF_MeasureSummary[[#Headers],[Baseline Equipment ID]],Tbl_MeasureList[#Headers],0))</f>
        <v>EQUI036</v>
      </c>
      <c r="E89" s="525" t="str">
        <f>INDEX(Tbl_MeasureList[],MATCH(Tbl_ROF_MeasureSummary[[#This Row],[Measure ID]:[Measure ID]],Tbl_MeasureList[[Measure ID]:[Measure ID]],0),MATCH(Tbl_ROF_MeasureSummary[[#Headers],[Replacement ID]],Tbl_MeasureList[#Headers],0))</f>
        <v>EQUI010</v>
      </c>
      <c r="F89" s="31" t="str">
        <f>INDEX(Tbl_MeasureList[],MATCH(Tbl_ROF_MeasureSummary[[#This Row],[Measure ID]:[Measure ID]],Tbl_MeasureList[[Measure ID]:[Measure ID]],0),MATCH(Tbl_ROF_MeasureSummary[[#Headers],[Baseline Name]],Tbl_MeasureList[#Headers],0))</f>
        <v>Room AC/No AC Blend+Oil Boiler</v>
      </c>
      <c r="G89" s="525" t="str">
        <f>INDEX(Tbl_MeasureList[],MATCH(Tbl_ROF_MeasureSummary[[#This Row],[Measure ID]:[Measure ID]],Tbl_MeasureList[[Measure ID]:[Measure ID]],0),MATCH(Tbl_ROF_MeasureSummary[[#Headers],[Replacement Name]],Tbl_MeasureList[#Headers],0))</f>
        <v>DMSHP+Oil Boiler</v>
      </c>
      <c r="H89" s="31"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Room AC/No AC Blend+Oil Boiler to DMSHP+Oil Boiler</v>
      </c>
      <c r="I89" s="525">
        <f>INDEX(Tbl_MeasureList[],MATCH(Tbl_ROF_MeasureSummary[[#This Row],[Measure ID]:[Measure ID]],Tbl_MeasureList[[Measure ID]:[Measure ID]],0),MATCH(Tbl_ROF_MeasureSummary[[#Headers],[New Unit Equipment Life (years)]],Tbl_MeasureList[#Headers],0))</f>
        <v>18</v>
      </c>
      <c r="J89" s="31" t="str">
        <f>INDEX(Tbl_MeasureList[],MATCH(Tbl_ROF_MeasureSummary[[#This Row],[Measure ID]:[Measure ID]],Tbl_MeasureList[[Measure ID]:[Measure ID]],0),MATCH(Tbl_ROF_MeasureSummary[[#Headers],[Baseline Function]],Tbl_MeasureList[#Headers],0))</f>
        <v>Cool+Heat</v>
      </c>
      <c r="K89" s="525" t="str">
        <f>INDEX(Tbl_MeasureList[],MATCH(Tbl_ROF_MeasureSummary[[#This Row],[Measure ID]:[Measure ID]],Tbl_MeasureList[[Measure ID]:[Measure ID]],0),MATCH(Tbl_ROF_MeasureSummary[[#Headers],[Replacement Function]],Tbl_MeasureList[#Headers],0))</f>
        <v>Cool+Heat</v>
      </c>
      <c r="L89" s="31" t="str">
        <f>INDEX(Tbl_MeasureList[],MATCH(Tbl_ROF_MeasureSummary[[#This Row],[Measure ID]:[Measure ID]],Tbl_MeasureList[[Measure ID]:[Measure ID]],0),MATCH(Tbl_ROF_MeasureSummary[[#Headers],[Keep Existing Heating Equipment?]],Tbl_MeasureList[#Headers],0))</f>
        <v>Yes</v>
      </c>
      <c r="M89" s="298"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Electric+Oil</v>
      </c>
      <c r="N89" s="543"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Electric+Oil</v>
      </c>
      <c r="O89" s="528"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8 EER
75% AFUE</v>
      </c>
      <c r="P89" s="545"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10 EER
84% AFUE</v>
      </c>
      <c r="Q89" s="528"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18 SEER/10.0 HSPF
75% AFUE</v>
      </c>
      <c r="R89" s="547"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20 SEER/12.0 HSPF
75% AFUE</v>
      </c>
      <c r="S89" s="530">
        <f ca="1">INDEX(Tbl_MeasureList[],MATCH(Tbl_ROF_MeasureSummary[[#This Row],[Measure ID]:[Measure ID]],Tbl_MeasureList[[Measure ID]:[Measure ID]],0),MATCH(Tbl_ROF_MeasureSummary[[#Headers],[ROF Low Measure Energy Cost Savings (USD/yr)]],Tbl_MeasureList[#Headers],0))</f>
        <v>128.85149475724938</v>
      </c>
      <c r="T89" s="394">
        <f ca="1">INDEX(Tbl_MeasureList[],MATCH(Tbl_ROF_MeasureSummary[[#This Row],[Measure ID]:[Measure ID]],Tbl_MeasureList[[Measure ID]:[Measure ID]],0),MATCH(T$84,Tbl_MeasureList[#Headers],0))</f>
        <v>4045.3173913043465</v>
      </c>
      <c r="U89" s="532">
        <f ca="1">INDEX(Tbl_MeasureList[],MATCH(Tbl_ROF_MeasureSummary[[#This Row],[Measure ID]:[Measure ID]],Tbl_MeasureList[[Measure ID]:[Measure ID]],0),MATCH(Tbl_ROF_MeasureSummary[[#Headers],[ROF Low Measure Electric Annual Consumption Savings (kWh/yr)]],Tbl_MeasureList[#Headers],0))</f>
        <v>-4670.1414489996423</v>
      </c>
      <c r="V89" s="396">
        <f ca="1">INDEX(Tbl_MeasureList[],MATCH(Tbl_ROF_MeasureSummary[[#This Row],[Measure ID]:[Measure ID]],Tbl_MeasureList[[Measure ID]:[Measure ID]],0),MATCH(Tbl_ROF_MeasureSummary[[#Headers],[ROF Low Measure Electric Winter Peak Demand Savings (kW)]],Tbl_MeasureList[#Headers],0))</f>
        <v>-0.98471716203259829</v>
      </c>
      <c r="W89" s="534">
        <f ca="1">INDEX(Tbl_MeasureList[],MATCH(Tbl_ROF_MeasureSummary[[#This Row],[Measure ID]:[Measure ID]],Tbl_MeasureList[[Measure ID]:[Measure ID]],0),MATCH(Tbl_ROF_MeasureSummary[[#Headers],[ROF Low Measure Electric Summer Peak Demand Savings (kW)]],Tbl_MeasureList[#Headers],0))</f>
        <v>0.58600000000000063</v>
      </c>
      <c r="X89" s="656">
        <f ca="1">INDEX(Tbl_MeasureList[],MATCH(Tbl_ROF_MeasureSummary[[#This Row],[Measure ID]:[Measure ID]],Tbl_MeasureList[[Measure ID]:[Measure ID]],0),MATCH(Tbl_ROF_MeasureSummary[[#Headers],[ROF Low Measure Natural Gas Annual Consumption Savings (therms/yr)]],Tbl_MeasureList[#Headers],0))</f>
        <v>0</v>
      </c>
      <c r="Y89" s="536">
        <f ca="1">INDEX(Tbl_MeasureList[],MATCH(Tbl_ROF_MeasureSummary[[#This Row],[Measure ID]:[Measure ID]],Tbl_MeasureList[[Measure ID]:[Measure ID]],0),MATCH(Tbl_ROF_MeasureSummary[[#Headers],[ROF Low Measure Propane Annual Consumption Savings (MMBtu/yr)]],Tbl_MeasureList[#Headers],0))</f>
        <v>0</v>
      </c>
      <c r="Z89" s="656">
        <f ca="1">INDEX(Tbl_MeasureList[],MATCH(Tbl_ROF_MeasureSummary[[#This Row],[Measure ID]:[Measure ID]],Tbl_MeasureList[[Measure ID]:[Measure ID]],0),MATCH(Tbl_ROF_MeasureSummary[[#Headers],[ROF Low Measure Oil Annual Consumption Savings (MMBtu/yr)]],Tbl_MeasureList[#Headers],0))</f>
        <v>46.865442408217994</v>
      </c>
      <c r="AA89" s="661">
        <f ca="1">INDEX(Tbl_MeasureList[],MATCH(Tbl_ROF_MeasureSummary[[#This Row],[Measure ID]:[Measure ID]],Tbl_MeasureList[[Measure ID]:[Measure ID]],0),MATCH(Tbl_ROF_MeasureSummary[[#Headers],[ROF Low Measure Annual Energy Savings on MMBtu Basis (MMBtu/yr)]],Tbl_MeasureList[#Headers],0))</f>
        <v>30.930919784231214</v>
      </c>
      <c r="AB89" s="656">
        <f ca="1">INDEX(Tbl_MeasureList[],MATCH(Tbl_ROF_MeasureSummary[[#This Row],[Measure ID]:[Measure ID]],Tbl_MeasureList[[Measure ID]:[Measure ID]],0),MATCH(Tbl_ROF_MeasureSummary[[#Headers],[ROF Low Measure Carbon Emissions Reduction, Site (tons CO2/yr)]],Tbl_MeasureList[#Headers],0))</f>
        <v>3.7796979302227807</v>
      </c>
      <c r="AC89" s="540">
        <f ca="1">INDEX(Tbl_MeasureList[],MATCH(Tbl_ROF_MeasureSummary[[#This Row],[Measure ID]:[Measure ID]],Tbl_MeasureList[[Measure ID]:[Measure ID]],0),MATCH(Tbl_ROF_MeasureSummary[[#Headers],[ROF Low Measure Carbon Emissions Reduction, Source (tons CO2/yr)]],Tbl_MeasureList[#Headers],0))</f>
        <v>2.1303907760940675</v>
      </c>
      <c r="AD89" s="530">
        <f ca="1">INDEX(Tbl_MeasureList[],MATCH(Tbl_ROF_MeasureSummary[[#This Row],[Measure ID]:[Measure ID]],Tbl_MeasureList[[Measure ID]:[Measure ID]],0),MATCH(Tbl_ROF_MeasureSummary[[#Headers],[ROF High Measure Energy Cost Savings (USD/yr)]],Tbl_MeasureList[#Headers],0))</f>
        <v>316.18683699008989</v>
      </c>
      <c r="AE89" s="394">
        <f ca="1">INDEX(Tbl_MeasureList[],MATCH(Tbl_ROF_MeasureSummary[[#This Row],[Measure ID]:[Measure ID]],Tbl_MeasureList[[Measure ID]:[Measure ID]],0),MATCH(AE$84,Tbl_MeasureList[#Headers],0))</f>
        <v>4257.717391304348</v>
      </c>
      <c r="AF89" s="532">
        <f ca="1">INDEX(Tbl_MeasureList[],MATCH(Tbl_ROF_MeasureSummary[[#This Row],[Measure ID]:[Measure ID]],Tbl_MeasureList[[Measure ID]:[Measure ID]],0),MATCH(Tbl_ROF_MeasureSummary[[#Headers],[ROF High Measure Electric Annual Consumption Savings (kWh/yr)]],Tbl_MeasureList[#Headers],0))</f>
        <v>-3723.0466955474658</v>
      </c>
      <c r="AG89" s="396">
        <f ca="1">INDEX(Tbl_MeasureList[],MATCH(Tbl_ROF_MeasureSummary[[#This Row],[Measure ID]:[Measure ID]],Tbl_MeasureList[[Measure ID]:[Measure ID]],0),MATCH(Tbl_ROF_MeasureSummary[[#Headers],[ROF High Measure Electric Winter Peak Demand Savings (kW)]],Tbl_MeasureList[#Headers],0))</f>
        <v>-1.0897171620325983</v>
      </c>
      <c r="AH89" s="534">
        <f ca="1">INDEX(Tbl_MeasureList[],MATCH(Tbl_ROF_MeasureSummary[[#This Row],[Measure ID]:[Measure ID]],Tbl_MeasureList[[Measure ID]:[Measure ID]],0),MATCH(Tbl_ROF_MeasureSummary[[#Headers],[ROF High Measure Electric Summer Peak Demand Savings (kW)]],Tbl_MeasureList[#Headers],0))</f>
        <v>0.58600000000000063</v>
      </c>
      <c r="AI89" s="656">
        <f ca="1">INDEX(Tbl_MeasureList[],MATCH(Tbl_ROF_MeasureSummary[[#This Row],[Measure ID]:[Measure ID]],Tbl_MeasureList[[Measure ID]:[Measure ID]],0),MATCH(Tbl_ROF_MeasureSummary[[#Headers],[ROF High Measure Natural Gas Annual Consumption Savings (therms/yr)]],Tbl_MeasureList[#Headers],0))</f>
        <v>0</v>
      </c>
      <c r="AJ89" s="536">
        <f ca="1">INDEX(Tbl_MeasureList[],MATCH(Tbl_ROF_MeasureSummary[[#This Row],[Measure ID]:[Measure ID]],Tbl_MeasureList[[Measure ID]:[Measure ID]],0),MATCH(Tbl_ROF_MeasureSummary[[#Headers],[ROF High Measure Propane Annual Consumption Savings (MMBtu/yr)]],Tbl_MeasureList[#Headers],0))</f>
        <v>0</v>
      </c>
      <c r="AK89" s="656">
        <f ca="1">INDEX(Tbl_MeasureList[],MATCH(Tbl_ROF_MeasureSummary[[#This Row],[Measure ID]:[Measure ID]],Tbl_MeasureList[[Measure ID]:[Measure ID]],0),MATCH(Tbl_ROF_MeasureSummary[[#Headers],[ROF High Measure Oil Annual Consumption Savings (MMBtu/yr)]],Tbl_MeasureList[#Headers],0))</f>
        <v>46.865442408217994</v>
      </c>
      <c r="AL89" s="536">
        <f ca="1">INDEX(Tbl_MeasureList[],MATCH(Tbl_ROF_MeasureSummary[[#This Row],[Measure ID]:[Measure ID]],Tbl_MeasureList[[Measure ID]:[Measure ID]],0),MATCH(Tbl_ROF_MeasureSummary[[#Headers],[ROF High Measure Annual Energy Savings on MMBtu Basis (MMBtu/yr)]],Tbl_MeasureList[#Headers],0))</f>
        <v>34.162407083010038</v>
      </c>
      <c r="AM89" s="656">
        <f ca="1">INDEX(Tbl_MeasureList[],MATCH(Tbl_ROF_MeasureSummary[[#This Row],[Measure ID]:[Measure ID]],Tbl_MeasureList[[Measure ID]:[Measure ID]],0),MATCH(Tbl_ROF_MeasureSummary[[#Headers],[ROF High Measure Carbon Emissions Reduction, Site (tons CO2/yr)]],Tbl_MeasureList[#Headers],0))</f>
        <v>3.7796979302227807</v>
      </c>
      <c r="AN89" s="540">
        <f ca="1">INDEX(Tbl_MeasureList[],MATCH(Tbl_ROF_MeasureSummary[[#This Row],[Measure ID]:[Measure ID]],Tbl_MeasureList[[Measure ID]:[Measure ID]],0),MATCH(Tbl_ROF_MeasureSummary[[#Headers],[ROF High Measure Carbon Emissions Reduction, Source (tons CO2/yr)]],Tbl_MeasureList[#Headers],0))</f>
        <v>2.4648667592232378</v>
      </c>
      <c r="AO89" s="538">
        <f ca="1">INDEX(Tbl_MeasureList[],MATCH(Tbl_ROF_MeasureSummary[[#This Row],[Measure ID]:[Measure ID]],Tbl_MeasureList[[Measure ID]:[Measure ID]],0),MATCH(Tbl_ROF_MeasureSummary[[#Headers],[Current ROF Low Measure Coal Source Fuel Savings (lbs coal/year)]],Tbl_MeasureList[#Headers],0))</f>
        <v>-45.092613890884657</v>
      </c>
      <c r="AP89" s="397">
        <f ca="1">INDEX(Tbl_MeasureList[],MATCH(Tbl_ROF_MeasureSummary[[#This Row],[Measure ID]:[Measure ID]],Tbl_MeasureList[[Measure ID]:[Measure ID]],0),MATCH(Tbl_ROF_MeasureSummary[[#Headers],[Current ROF Low Measure Oil Total Fuel Savings (gallons oil/year)]],Tbl_MeasureList[#Headers],0))</f>
        <v>335.45010164190808</v>
      </c>
      <c r="AQ89" s="540">
        <f ca="1">INDEX(Tbl_MeasureList[],MATCH(Tbl_ROF_MeasureSummary[[#This Row],[Measure ID]:[Measure ID]],Tbl_MeasureList[[Measure ID]:[Measure ID]],0),MATCH(Tbl_ROF_MeasureSummary[[#Headers],[Current ROF Low Measure Gas Total Fuel Savings (1,000 cu.ft. gas/year)]],Tbl_MeasureList[#Headers],0))</f>
        <v>-18.572235157944089</v>
      </c>
      <c r="AR89" s="517">
        <f ca="1">INDEX(Tbl_MeasureList[],MATCH(Tbl_ROF_MeasureSummary[[#This Row],[Measure ID]:[Measure ID]],Tbl_MeasureList[[Measure ID]:[Measure ID]],0),MATCH(Tbl_ROF_MeasureSummary[[#Headers],[Current ROF High Measure Coal Source Fuel Savings (lbs coal/year)]],Tbl_MeasureList[#Headers],0))</f>
        <v>-35.947927696283521</v>
      </c>
      <c r="AS89" s="536">
        <f ca="1">INDEX(Tbl_MeasureList[],MATCH(Tbl_ROF_MeasureSummary[[#This Row],[Measure ID]:[Measure ID]],Tbl_MeasureList[[Measure ID]:[Measure ID]],0),MATCH(Tbl_ROF_MeasureSummary[[#Headers],[Current ROF High Measure Oil Total Fuel Savings (gallons oil/year)]],Tbl_MeasureList[#Headers],0))</f>
        <v>336.32009582540189</v>
      </c>
      <c r="AT89" s="397">
        <f ca="1">INDEX(Tbl_MeasureList[],MATCH(Tbl_ROF_MeasureSummary[[#This Row],[Measure ID]:[Measure ID]],Tbl_MeasureList[[Measure ID]:[Measure ID]],0),MATCH(Tbl_ROF_MeasureSummary[[#Headers],[Current ROF High Measure Gas Total Fuel Savings (1,000 cu.ft. gas/year)]],Tbl_MeasureList[#Headers],0))</f>
        <v>-14.805825367136434</v>
      </c>
    </row>
    <row r="90" spans="2:46" ht="22.5" x14ac:dyDescent="0.2">
      <c r="B90" s="16"/>
      <c r="C90" s="44" t="s">
        <v>91</v>
      </c>
      <c r="D90" s="31" t="str">
        <f>INDEX(Tbl_MeasureList[],MATCH(Tbl_ROF_MeasureSummary[[#This Row],[Measure ID]:[Measure ID]],Tbl_MeasureList[[Measure ID]:[Measure ID]],0),MATCH(Tbl_ROF_MeasureSummary[[#Headers],[Baseline Equipment ID]],Tbl_MeasureList[#Headers],0))</f>
        <v>EQUI037</v>
      </c>
      <c r="E90" s="525" t="str">
        <f>INDEX(Tbl_MeasureList[],MATCH(Tbl_ROF_MeasureSummary[[#This Row],[Measure ID]:[Measure ID]],Tbl_MeasureList[[Measure ID]:[Measure ID]],0),MATCH(Tbl_ROF_MeasureSummary[[#Headers],[Replacement ID]],Tbl_MeasureList[#Headers],0))</f>
        <v>EQUI011</v>
      </c>
      <c r="F90" s="31" t="str">
        <f>INDEX(Tbl_MeasureList[],MATCH(Tbl_ROF_MeasureSummary[[#This Row],[Measure ID]:[Measure ID]],Tbl_MeasureList[[Measure ID]:[Measure ID]],0),MATCH(Tbl_ROF_MeasureSummary[[#Headers],[Baseline Name]],Tbl_MeasureList[#Headers],0))</f>
        <v>Room AC/No AC Blend+Propane Boiler</v>
      </c>
      <c r="G90" s="525" t="str">
        <f>INDEX(Tbl_MeasureList[],MATCH(Tbl_ROF_MeasureSummary[[#This Row],[Measure ID]:[Measure ID]],Tbl_MeasureList[[Measure ID]:[Measure ID]],0),MATCH(Tbl_ROF_MeasureSummary[[#Headers],[Replacement Name]],Tbl_MeasureList[#Headers],0))</f>
        <v>DMSHP+Propane Boiler</v>
      </c>
      <c r="H90" s="31"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Room AC/No AC Blend+Propane Boiler to DMSHP+Propane Boiler</v>
      </c>
      <c r="I90" s="525">
        <f>INDEX(Tbl_MeasureList[],MATCH(Tbl_ROF_MeasureSummary[[#This Row],[Measure ID]:[Measure ID]],Tbl_MeasureList[[Measure ID]:[Measure ID]],0),MATCH(Tbl_ROF_MeasureSummary[[#Headers],[New Unit Equipment Life (years)]],Tbl_MeasureList[#Headers],0))</f>
        <v>18</v>
      </c>
      <c r="J90" s="31" t="str">
        <f>INDEX(Tbl_MeasureList[],MATCH(Tbl_ROF_MeasureSummary[[#This Row],[Measure ID]:[Measure ID]],Tbl_MeasureList[[Measure ID]:[Measure ID]],0),MATCH(Tbl_ROF_MeasureSummary[[#Headers],[Baseline Function]],Tbl_MeasureList[#Headers],0))</f>
        <v>Cool+Heat</v>
      </c>
      <c r="K90" s="525" t="str">
        <f>INDEX(Tbl_MeasureList[],MATCH(Tbl_ROF_MeasureSummary[[#This Row],[Measure ID]:[Measure ID]],Tbl_MeasureList[[Measure ID]:[Measure ID]],0),MATCH(Tbl_ROF_MeasureSummary[[#Headers],[Replacement Function]],Tbl_MeasureList[#Headers],0))</f>
        <v>Cool+Heat</v>
      </c>
      <c r="L90" s="31" t="str">
        <f>INDEX(Tbl_MeasureList[],MATCH(Tbl_ROF_MeasureSummary[[#This Row],[Measure ID]:[Measure ID]],Tbl_MeasureList[[Measure ID]:[Measure ID]],0),MATCH(Tbl_ROF_MeasureSummary[[#Headers],[Keep Existing Heating Equipment?]],Tbl_MeasureList[#Headers],0))</f>
        <v>Yes</v>
      </c>
      <c r="M90" s="298"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Electric+Propane</v>
      </c>
      <c r="N90" s="543"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Electric+Propane</v>
      </c>
      <c r="O90" s="528"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8 EER
75% AFUE</v>
      </c>
      <c r="P90" s="545"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10 EER
82% AFUE (79.3% actual)</v>
      </c>
      <c r="Q90" s="528"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18 SEER/10.0 HSPF
75% AFUE</v>
      </c>
      <c r="R90" s="547"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20 SEER/12.0 HSPF
75% AFUE</v>
      </c>
      <c r="S90" s="530">
        <f ca="1">INDEX(Tbl_MeasureList[],MATCH(Tbl_ROF_MeasureSummary[[#This Row],[Measure ID]:[Measure ID]],Tbl_MeasureList[[Measure ID]:[Measure ID]],0),MATCH(Tbl_ROF_MeasureSummary[[#Headers],[ROF Low Measure Energy Cost Savings (USD/yr)]],Tbl_MeasureList[#Headers],0))</f>
        <v>1380.5707464394077</v>
      </c>
      <c r="T90" s="394">
        <f ca="1">INDEX(Tbl_MeasureList[],MATCH(Tbl_ROF_MeasureSummary[[#This Row],[Measure ID]:[Measure ID]],Tbl_MeasureList[[Measure ID]:[Measure ID]],0),MATCH(T$84,Tbl_MeasureList[#Headers],0))</f>
        <v>4316.3173913043465</v>
      </c>
      <c r="U90" s="532">
        <f ca="1">INDEX(Tbl_MeasureList[],MATCH(Tbl_ROF_MeasureSummary[[#This Row],[Measure ID]:[Measure ID]],Tbl_MeasureList[[Measure ID]:[Measure ID]],0),MATCH(Tbl_ROF_MeasureSummary[[#Headers],[ROF Low Measure Electric Annual Consumption Savings (kWh/yr)]],Tbl_MeasureList[#Headers],0))</f>
        <v>-6766.9405554258774</v>
      </c>
      <c r="V90" s="396">
        <f ca="1">INDEX(Tbl_MeasureList[],MATCH(Tbl_ROF_MeasureSummary[[#This Row],[Measure ID]:[Measure ID]],Tbl_MeasureList[[Measure ID]:[Measure ID]],0),MATCH(Tbl_ROF_MeasureSummary[[#Headers],[ROF Low Measure Electric Winter Peak Demand Savings (kW)]],Tbl_MeasureList[#Headers],0))</f>
        <v>-0.98977948226270374</v>
      </c>
      <c r="W90" s="534">
        <f ca="1">INDEX(Tbl_MeasureList[],MATCH(Tbl_ROF_MeasureSummary[[#This Row],[Measure ID]:[Measure ID]],Tbl_MeasureList[[Measure ID]:[Measure ID]],0),MATCH(Tbl_ROF_MeasureSummary[[#Headers],[ROF Low Measure Electric Summer Peak Demand Savings (kW)]],Tbl_MeasureList[#Headers],0))</f>
        <v>0.58600000000000063</v>
      </c>
      <c r="X90" s="656">
        <f ca="1">INDEX(Tbl_MeasureList[],MATCH(Tbl_ROF_MeasureSummary[[#This Row],[Measure ID]:[Measure ID]],Tbl_MeasureList[[Measure ID]:[Measure ID]],0),MATCH(Tbl_ROF_MeasureSummary[[#Headers],[ROF Low Measure Natural Gas Annual Consumption Savings (therms/yr)]],Tbl_MeasureList[#Headers],0))</f>
        <v>0</v>
      </c>
      <c r="Y90" s="536">
        <f ca="1">INDEX(Tbl_MeasureList[],MATCH(Tbl_ROF_MeasureSummary[[#This Row],[Measure ID]:[Measure ID]],Tbl_MeasureList[[Measure ID]:[Measure ID]],0),MATCH(Tbl_ROF_MeasureSummary[[#Headers],[ROF Low Measure Propane Annual Consumption Savings (MMBtu/yr)]],Tbl_MeasureList[#Headers],0))</f>
        <v>75.644521892916714</v>
      </c>
      <c r="Z90" s="656">
        <f ca="1">INDEX(Tbl_MeasureList[],MATCH(Tbl_ROF_MeasureSummary[[#This Row],[Measure ID]:[Measure ID]],Tbl_MeasureList[[Measure ID]:[Measure ID]],0),MATCH(Tbl_ROF_MeasureSummary[[#Headers],[ROF Low Measure Oil Annual Consumption Savings (MMBtu/yr)]],Tbl_MeasureList[#Headers],0))</f>
        <v>0</v>
      </c>
      <c r="AA90" s="661">
        <f ca="1">INDEX(Tbl_MeasureList[],MATCH(Tbl_ROF_MeasureSummary[[#This Row],[Measure ID]:[Measure ID]],Tbl_MeasureList[[Measure ID]:[Measure ID]],0),MATCH(Tbl_ROF_MeasureSummary[[#Headers],[ROF Low Measure Annual Energy Savings on MMBtu Basis (MMBtu/yr)]],Tbl_MeasureList[#Headers],0))</f>
        <v>52.555720717803624</v>
      </c>
      <c r="AB90" s="656">
        <f ca="1">INDEX(Tbl_MeasureList[],MATCH(Tbl_ROF_MeasureSummary[[#This Row],[Measure ID]:[Measure ID]],Tbl_MeasureList[[Measure ID]:[Measure ID]],0),MATCH(Tbl_ROF_MeasureSummary[[#Headers],[ROF Low Measure Carbon Emissions Reduction, Site (tons CO2/yr)]],Tbl_MeasureList[#Headers],0))</f>
        <v>5.2572942715577113</v>
      </c>
      <c r="AC90" s="540">
        <f ca="1">INDEX(Tbl_MeasureList[],MATCH(Tbl_ROF_MeasureSummary[[#This Row],[Measure ID]:[Measure ID]],Tbl_MeasureList[[Measure ID]:[Measure ID]],0),MATCH(Tbl_ROF_MeasureSummary[[#Headers],[ROF Low Measure Carbon Emissions Reduction, Source (tons CO2/yr)]],Tbl_MeasureList[#Headers],0))</f>
        <v>2.8674815450035087</v>
      </c>
      <c r="AD90" s="530">
        <f ca="1">INDEX(Tbl_MeasureList[],MATCH(Tbl_ROF_MeasureSummary[[#This Row],[Measure ID]:[Measure ID]],Tbl_MeasureList[[Measure ID]:[Measure ID]],0),MATCH(Tbl_ROF_MeasureSummary[[#Headers],[ROF High Measure Energy Cost Savings (USD/yr)]],Tbl_MeasureList[#Headers],0))</f>
        <v>1637.8503414696124</v>
      </c>
      <c r="AE90" s="394">
        <f ca="1">INDEX(Tbl_MeasureList[],MATCH(Tbl_ROF_MeasureSummary[[#This Row],[Measure ID]:[Measure ID]],Tbl_MeasureList[[Measure ID]:[Measure ID]],0),MATCH(AE$84,Tbl_MeasureList[#Headers],0))</f>
        <v>4528.717391304348</v>
      </c>
      <c r="AF90" s="532">
        <f ca="1">INDEX(Tbl_MeasureList[],MATCH(Tbl_ROF_MeasureSummary[[#This Row],[Measure ID]:[Measure ID]],Tbl_MeasureList[[Measure ID]:[Measure ID]],0),MATCH(Tbl_ROF_MeasureSummary[[#Headers],[ROF High Measure Electric Annual Consumption Savings (kWh/yr)]],Tbl_MeasureList[#Headers],0))</f>
        <v>-5466.2348171538597</v>
      </c>
      <c r="AG90" s="396">
        <f ca="1">INDEX(Tbl_MeasureList[],MATCH(Tbl_ROF_MeasureSummary[[#This Row],[Measure ID]:[Measure ID]],Tbl_MeasureList[[Measure ID]:[Measure ID]],0),MATCH(Tbl_ROF_MeasureSummary[[#Headers],[ROF High Measure Electric Winter Peak Demand Savings (kW)]],Tbl_MeasureList[#Headers],0))</f>
        <v>-1.0947794822627037</v>
      </c>
      <c r="AH90" s="534">
        <f ca="1">INDEX(Tbl_MeasureList[],MATCH(Tbl_ROF_MeasureSummary[[#This Row],[Measure ID]:[Measure ID]],Tbl_MeasureList[[Measure ID]:[Measure ID]],0),MATCH(Tbl_ROF_MeasureSummary[[#Headers],[ROF High Measure Electric Summer Peak Demand Savings (kW)]],Tbl_MeasureList[#Headers],0))</f>
        <v>0.58600000000000063</v>
      </c>
      <c r="AI90" s="656">
        <f ca="1">INDEX(Tbl_MeasureList[],MATCH(Tbl_ROF_MeasureSummary[[#This Row],[Measure ID]:[Measure ID]],Tbl_MeasureList[[Measure ID]:[Measure ID]],0),MATCH(Tbl_ROF_MeasureSummary[[#Headers],[ROF High Measure Natural Gas Annual Consumption Savings (therms/yr)]],Tbl_MeasureList[#Headers],0))</f>
        <v>0</v>
      </c>
      <c r="AJ90" s="536">
        <f ca="1">INDEX(Tbl_MeasureList[],MATCH(Tbl_ROF_MeasureSummary[[#This Row],[Measure ID]:[Measure ID]],Tbl_MeasureList[[Measure ID]:[Measure ID]],0),MATCH(Tbl_ROF_MeasureSummary[[#Headers],[ROF High Measure Propane Annual Consumption Savings (MMBtu/yr)]],Tbl_MeasureList[#Headers],0))</f>
        <v>75.644521892916714</v>
      </c>
      <c r="AK90" s="656">
        <f ca="1">INDEX(Tbl_MeasureList[],MATCH(Tbl_ROF_MeasureSummary[[#This Row],[Measure ID]:[Measure ID]],Tbl_MeasureList[[Measure ID]:[Measure ID]],0),MATCH(Tbl_ROF_MeasureSummary[[#Headers],[ROF High Measure Oil Annual Consumption Savings (MMBtu/yr)]],Tbl_MeasureList[#Headers],0))</f>
        <v>0</v>
      </c>
      <c r="AL90" s="536">
        <f ca="1">INDEX(Tbl_MeasureList[],MATCH(Tbl_ROF_MeasureSummary[[#This Row],[Measure ID]:[Measure ID]],Tbl_MeasureList[[Measure ID]:[Measure ID]],0),MATCH(Tbl_ROF_MeasureSummary[[#Headers],[ROF High Measure Annual Energy Savings on MMBtu Basis (MMBtu/yr)]],Tbl_MeasureList[#Headers],0))</f>
        <v>56.993728696787741</v>
      </c>
      <c r="AM90" s="656">
        <f ca="1">INDEX(Tbl_MeasureList[],MATCH(Tbl_ROF_MeasureSummary[[#This Row],[Measure ID]:[Measure ID]],Tbl_MeasureList[[Measure ID]:[Measure ID]],0),MATCH(Tbl_ROF_MeasureSummary[[#Headers],[ROF High Measure Carbon Emissions Reduction, Site (tons CO2/yr)]],Tbl_MeasureList[#Headers],0))</f>
        <v>5.2572942715577113</v>
      </c>
      <c r="AN90" s="540">
        <f ca="1">INDEX(Tbl_MeasureList[],MATCH(Tbl_ROF_MeasureSummary[[#This Row],[Measure ID]:[Measure ID]],Tbl_MeasureList[[Measure ID]:[Measure ID]],0),MATCH(Tbl_ROF_MeasureSummary[[#Headers],[ROF High Measure Carbon Emissions Reduction, Source (tons CO2/yr)]],Tbl_MeasureList[#Headers],0))</f>
        <v>3.3268387835316542</v>
      </c>
      <c r="AO90" s="538">
        <f ca="1">INDEX(Tbl_MeasureList[],MATCH(Tbl_ROF_MeasureSummary[[#This Row],[Measure ID]:[Measure ID]],Tbl_MeasureList[[Measure ID]:[Measure ID]],0),MATCH(Tbl_ROF_MeasureSummary[[#Headers],[Current ROF Low Measure Coal Source Fuel Savings (lbs coal/year)]],Tbl_MeasureList[#Headers],0))</f>
        <v>-65.33828600710784</v>
      </c>
      <c r="AP90" s="397">
        <f ca="1">INDEX(Tbl_MeasureList[],MATCH(Tbl_ROF_MeasureSummary[[#This Row],[Measure ID]:[Measure ID]],Tbl_MeasureList[[Measure ID]:[Measure ID]],0),MATCH(Tbl_ROF_MeasureSummary[[#Headers],[Current ROF Low Measure Oil Total Fuel Savings (gallons oil/year)]],Tbl_MeasureList[#Headers],0))</f>
        <v>-6.2160611721374677</v>
      </c>
      <c r="AQ90" s="540">
        <f ca="1">INDEX(Tbl_MeasureList[],MATCH(Tbl_ROF_MeasureSummary[[#This Row],[Measure ID]:[Measure ID]],Tbl_MeasureList[[Measure ID]:[Measure ID]],0),MATCH(Tbl_ROF_MeasureSummary[[#Headers],[Current ROF Low Measure Gas Total Fuel Savings (1,000 cu.ft. gas/year)]],Tbl_MeasureList[#Headers],0))</f>
        <v>-26.91079331700298</v>
      </c>
      <c r="AR90" s="517">
        <f ca="1">INDEX(Tbl_MeasureList[],MATCH(Tbl_ROF_MeasureSummary[[#This Row],[Measure ID]:[Measure ID]],Tbl_MeasureList[[Measure ID]:[Measure ID]],0),MATCH(Tbl_ROF_MeasureSummary[[#Headers],[Current ROF High Measure Coal Source Fuel Savings (lbs coal/year)]],Tbl_MeasureList[#Headers],0))</f>
        <v>-52.779304168533841</v>
      </c>
      <c r="AS90" s="536">
        <f ca="1">INDEX(Tbl_MeasureList[],MATCH(Tbl_ROF_MeasureSummary[[#This Row],[Measure ID]:[Measure ID]],Tbl_MeasureList[[Measure ID]:[Measure ID]],0),MATCH(Tbl_ROF_MeasureSummary[[#Headers],[Current ROF High Measure Oil Total Fuel Savings (gallons oil/year)]],Tbl_MeasureList[#Headers],0))</f>
        <v>-5.0212425728273038</v>
      </c>
      <c r="AT90" s="397">
        <f ca="1">INDEX(Tbl_MeasureList[],MATCH(Tbl_ROF_MeasureSummary[[#This Row],[Measure ID]:[Measure ID]],Tbl_MeasureList[[Measure ID]:[Measure ID]],0),MATCH(Tbl_ROF_MeasureSummary[[#Headers],[Current ROF High Measure Gas Total Fuel Savings (1,000 cu.ft. gas/year)]],Tbl_MeasureList[#Headers],0))</f>
        <v>-21.738142101556456</v>
      </c>
    </row>
    <row r="91" spans="2:46" x14ac:dyDescent="0.2">
      <c r="B91" s="16"/>
      <c r="C91" s="44" t="s">
        <v>92</v>
      </c>
      <c r="D91" s="31" t="str">
        <f>INDEX(Tbl_MeasureList[],MATCH(Tbl_ROF_MeasureSummary[[#This Row],[Measure ID]:[Measure ID]],Tbl_MeasureList[[Measure ID]:[Measure ID]],0),MATCH(Tbl_ROF_MeasureSummary[[#Headers],[Baseline Equipment ID]],Tbl_MeasureList[#Headers],0))</f>
        <v>EQUI038</v>
      </c>
      <c r="E91" s="525" t="str">
        <f>INDEX(Tbl_MeasureList[],MATCH(Tbl_ROF_MeasureSummary[[#This Row],[Measure ID]:[Measure ID]],Tbl_MeasureList[[Measure ID]:[Measure ID]],0),MATCH(Tbl_ROF_MeasureSummary[[#Headers],[Replacement ID]],Tbl_MeasureList[#Headers],0))</f>
        <v>EQUI013</v>
      </c>
      <c r="F91" s="31" t="str">
        <f>INDEX(Tbl_MeasureList[],MATCH(Tbl_ROF_MeasureSummary[[#This Row],[Measure ID]:[Measure ID]],Tbl_MeasureList[[Measure ID]:[Measure ID]],0),MATCH(Tbl_ROF_MeasureSummary[[#Headers],[Baseline Name]],Tbl_MeasureList[#Headers],0))</f>
        <v>Room AC/No AC Blend+Electric Baseboard</v>
      </c>
      <c r="G91" s="525" t="str">
        <f>INDEX(Tbl_MeasureList[],MATCH(Tbl_ROF_MeasureSummary[[#This Row],[Measure ID]:[Measure ID]],Tbl_MeasureList[[Measure ID]:[Measure ID]],0),MATCH(Tbl_ROF_MeasureSummary[[#Headers],[Replacement Name]],Tbl_MeasureList[#Headers],0))</f>
        <v>Electric Baseboard+DMSHP</v>
      </c>
      <c r="H91" s="31"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Room AC/No AC Blend+Electric Baseboard to Electric Baseboard+DMSHP</v>
      </c>
      <c r="I91" s="525">
        <f>INDEX(Tbl_MeasureList[],MATCH(Tbl_ROF_MeasureSummary[[#This Row],[Measure ID]:[Measure ID]],Tbl_MeasureList[[Measure ID]:[Measure ID]],0),MATCH(Tbl_ROF_MeasureSummary[[#Headers],[New Unit Equipment Life (years)]],Tbl_MeasureList[#Headers],0))</f>
        <v>18</v>
      </c>
      <c r="J91" s="31" t="str">
        <f>INDEX(Tbl_MeasureList[],MATCH(Tbl_ROF_MeasureSummary[[#This Row],[Measure ID]:[Measure ID]],Tbl_MeasureList[[Measure ID]:[Measure ID]],0),MATCH(Tbl_ROF_MeasureSummary[[#Headers],[Baseline Function]],Tbl_MeasureList[#Headers],0))</f>
        <v>Cool+Heat</v>
      </c>
      <c r="K91" s="525" t="str">
        <f>INDEX(Tbl_MeasureList[],MATCH(Tbl_ROF_MeasureSummary[[#This Row],[Measure ID]:[Measure ID]],Tbl_MeasureList[[Measure ID]:[Measure ID]],0),MATCH(Tbl_ROF_MeasureSummary[[#Headers],[Replacement Function]],Tbl_MeasureList[#Headers],0))</f>
        <v>Cool+Heat</v>
      </c>
      <c r="L91" s="31" t="str">
        <f>INDEX(Tbl_MeasureList[],MATCH(Tbl_ROF_MeasureSummary[[#This Row],[Measure ID]:[Measure ID]],Tbl_MeasureList[[Measure ID]:[Measure ID]],0),MATCH(Tbl_ROF_MeasureSummary[[#Headers],[Keep Existing Heating Equipment?]],Tbl_MeasureList[#Headers],0))</f>
        <v>Yes</v>
      </c>
      <c r="M91" s="298"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Electric+Electric</v>
      </c>
      <c r="N91" s="543"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Electric+Electric</v>
      </c>
      <c r="O91" s="528"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8 EER/1 COP</v>
      </c>
      <c r="P91" s="545"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10 EER/1 COP</v>
      </c>
      <c r="Q91" s="528"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1 COP, 18 SEER/10.0 HSPF</v>
      </c>
      <c r="R91" s="547"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1 COP, 20 SEER/12.0 HSPF</v>
      </c>
      <c r="S91" s="530">
        <f ca="1">INDEX(Tbl_MeasureList[],MATCH(Tbl_ROF_MeasureSummary[[#This Row],[Measure ID]:[Measure ID]],Tbl_MeasureList[[Measure ID]:[Measure ID]],0),MATCH(Tbl_ROF_MeasureSummary[[#Headers],[ROF Low Measure Energy Cost Savings (USD/yr)]],Tbl_MeasureList[#Headers],0))</f>
        <v>2446.0624360985098</v>
      </c>
      <c r="T91" s="394">
        <f ca="1">INDEX(Tbl_MeasureList[],MATCH(Tbl_ROF_MeasureSummary[[#This Row],[Measure ID]:[Measure ID]],Tbl_MeasureList[[Measure ID]:[Measure ID]],0),MATCH(T$84,Tbl_MeasureList[#Headers],0))</f>
        <v>11424.817391304347</v>
      </c>
      <c r="U91" s="532">
        <f ca="1">INDEX(Tbl_MeasureList[],MATCH(Tbl_ROF_MeasureSummary[[#This Row],[Measure ID]:[Measure ID]],Tbl_MeasureList[[Measure ID]:[Measure ID]],0),MATCH(Tbl_ROF_MeasureSummary[[#Headers],[ROF Low Measure Electric Annual Consumption Savings (kWh/yr)]],Tbl_MeasureList[#Headers],0))</f>
        <v>12366.341941852934</v>
      </c>
      <c r="V91" s="396">
        <f ca="1">INDEX(Tbl_MeasureList[],MATCH(Tbl_ROF_MeasureSummary[[#This Row],[Measure ID]:[Measure ID]],Tbl_MeasureList[[Measure ID]:[Measure ID]],0),MATCH(Tbl_ROF_MeasureSummary[[#Headers],[ROF Low Measure Electric Winter Peak Demand Savings (kW)]],Tbl_MeasureList[#Headers],0))</f>
        <v>0</v>
      </c>
      <c r="W91" s="534">
        <f ca="1">INDEX(Tbl_MeasureList[],MATCH(Tbl_ROF_MeasureSummary[[#This Row],[Measure ID]:[Measure ID]],Tbl_MeasureList[[Measure ID]:[Measure ID]],0),MATCH(Tbl_ROF_MeasureSummary[[#Headers],[ROF Low Measure Electric Summer Peak Demand Savings (kW)]],Tbl_MeasureList[#Headers],0))</f>
        <v>1.6000000000000236E-2</v>
      </c>
      <c r="X91" s="656">
        <f ca="1">INDEX(Tbl_MeasureList[],MATCH(Tbl_ROF_MeasureSummary[[#This Row],[Measure ID]:[Measure ID]],Tbl_MeasureList[[Measure ID]:[Measure ID]],0),MATCH(Tbl_ROF_MeasureSummary[[#Headers],[ROF Low Measure Natural Gas Annual Consumption Savings (therms/yr)]],Tbl_MeasureList[#Headers],0))</f>
        <v>0</v>
      </c>
      <c r="Y91" s="536">
        <f ca="1">INDEX(Tbl_MeasureList[],MATCH(Tbl_ROF_MeasureSummary[[#This Row],[Measure ID]:[Measure ID]],Tbl_MeasureList[[Measure ID]:[Measure ID]],0),MATCH(Tbl_ROF_MeasureSummary[[#Headers],[ROF Low Measure Propane Annual Consumption Savings (MMBtu/yr)]],Tbl_MeasureList[#Headers],0))</f>
        <v>0</v>
      </c>
      <c r="Z91" s="656">
        <f ca="1">INDEX(Tbl_MeasureList[],MATCH(Tbl_ROF_MeasureSummary[[#This Row],[Measure ID]:[Measure ID]],Tbl_MeasureList[[Measure ID]:[Measure ID]],0),MATCH(Tbl_ROF_MeasureSummary[[#Headers],[ROF Low Measure Oil Annual Consumption Savings (MMBtu/yr)]],Tbl_MeasureList[#Headers],0))</f>
        <v>0</v>
      </c>
      <c r="AA91" s="661">
        <f ca="1">INDEX(Tbl_MeasureList[],MATCH(Tbl_ROF_MeasureSummary[[#This Row],[Measure ID]:[Measure ID]],Tbl_MeasureList[[Measure ID]:[Measure ID]],0),MATCH(Tbl_ROF_MeasureSummary[[#Headers],[ROF Low Measure Annual Energy Savings on MMBtu Basis (MMBtu/yr)]],Tbl_MeasureList[#Headers],0))</f>
        <v>42.193958705602213</v>
      </c>
      <c r="AB91" s="656">
        <f ca="1">INDEX(Tbl_MeasureList[],MATCH(Tbl_ROF_MeasureSummary[[#This Row],[Measure ID]:[Measure ID]],Tbl_MeasureList[[Measure ID]:[Measure ID]],0),MATCH(Tbl_ROF_MeasureSummary[[#Headers],[ROF Low Measure Carbon Emissions Reduction, Site (tons CO2/yr)]],Tbl_MeasureList[#Headers],0))</f>
        <v>0</v>
      </c>
      <c r="AC91" s="540">
        <f ca="1">INDEX(Tbl_MeasureList[],MATCH(Tbl_ROF_MeasureSummary[[#This Row],[Measure ID]:[Measure ID]],Tbl_MeasureList[[Measure ID]:[Measure ID]],0),MATCH(Tbl_ROF_MeasureSummary[[#Headers],[ROF Low Measure Carbon Emissions Reduction, Source (tons CO2/yr)]],Tbl_MeasureList[#Headers],0))</f>
        <v>4.3672973201847816</v>
      </c>
      <c r="AD91" s="530">
        <f ca="1">INDEX(Tbl_MeasureList[],MATCH(Tbl_ROF_MeasureSummary[[#This Row],[Measure ID]:[Measure ID]],Tbl_MeasureList[[Measure ID]:[Measure ID]],0),MATCH(Tbl_ROF_MeasureSummary[[#Headers],[ROF High Measure Energy Cost Savings (USD/yr)]],Tbl_MeasureList[#Headers],0))</f>
        <v>2703.342031128715</v>
      </c>
      <c r="AE91" s="394">
        <f ca="1">INDEX(Tbl_MeasureList[],MATCH(Tbl_ROF_MeasureSummary[[#This Row],[Measure ID]:[Measure ID]],Tbl_MeasureList[[Measure ID]:[Measure ID]],0),MATCH(AE$84,Tbl_MeasureList[#Headers],0))</f>
        <v>11824.517391304347</v>
      </c>
      <c r="AF91" s="532">
        <f ca="1">INDEX(Tbl_MeasureList[],MATCH(Tbl_ROF_MeasureSummary[[#This Row],[Measure ID]:[Measure ID]],Tbl_MeasureList[[Measure ID]:[Measure ID]],0),MATCH(Tbl_ROF_MeasureSummary[[#Headers],[ROF High Measure Electric Annual Consumption Savings (kWh/yr)]],Tbl_MeasureList[#Headers],0))</f>
        <v>13667.047680124952</v>
      </c>
      <c r="AG91" s="396">
        <f ca="1">INDEX(Tbl_MeasureList[],MATCH(Tbl_ROF_MeasureSummary[[#This Row],[Measure ID]:[Measure ID]],Tbl_MeasureList[[Measure ID]:[Measure ID]],0),MATCH(Tbl_ROF_MeasureSummary[[#Headers],[ROF High Measure Electric Winter Peak Demand Savings (kW)]],Tbl_MeasureList[#Headers],0))</f>
        <v>0</v>
      </c>
      <c r="AH91" s="534">
        <f ca="1">INDEX(Tbl_MeasureList[],MATCH(Tbl_ROF_MeasureSummary[[#This Row],[Measure ID]:[Measure ID]],Tbl_MeasureList[[Measure ID]:[Measure ID]],0),MATCH(Tbl_ROF_MeasureSummary[[#Headers],[ROF High Measure Electric Summer Peak Demand Savings (kW)]],Tbl_MeasureList[#Headers],0))</f>
        <v>1.6000000000000236E-2</v>
      </c>
      <c r="AI91" s="656">
        <f ca="1">INDEX(Tbl_MeasureList[],MATCH(Tbl_ROF_MeasureSummary[[#This Row],[Measure ID]:[Measure ID]],Tbl_MeasureList[[Measure ID]:[Measure ID]],0),MATCH(Tbl_ROF_MeasureSummary[[#Headers],[ROF High Measure Natural Gas Annual Consumption Savings (therms/yr)]],Tbl_MeasureList[#Headers],0))</f>
        <v>0</v>
      </c>
      <c r="AJ91" s="536">
        <f ca="1">INDEX(Tbl_MeasureList[],MATCH(Tbl_ROF_MeasureSummary[[#This Row],[Measure ID]:[Measure ID]],Tbl_MeasureList[[Measure ID]:[Measure ID]],0),MATCH(Tbl_ROF_MeasureSummary[[#Headers],[ROF High Measure Propane Annual Consumption Savings (MMBtu/yr)]],Tbl_MeasureList[#Headers],0))</f>
        <v>0</v>
      </c>
      <c r="AK91" s="656">
        <f ca="1">INDEX(Tbl_MeasureList[],MATCH(Tbl_ROF_MeasureSummary[[#This Row],[Measure ID]:[Measure ID]],Tbl_MeasureList[[Measure ID]:[Measure ID]],0),MATCH(Tbl_ROF_MeasureSummary[[#Headers],[ROF High Measure Oil Annual Consumption Savings (MMBtu/yr)]],Tbl_MeasureList[#Headers],0))</f>
        <v>0</v>
      </c>
      <c r="AL91" s="536">
        <f ca="1">INDEX(Tbl_MeasureList[],MATCH(Tbl_ROF_MeasureSummary[[#This Row],[Measure ID]:[Measure ID]],Tbl_MeasureList[[Measure ID]:[Measure ID]],0),MATCH(Tbl_ROF_MeasureSummary[[#Headers],[ROF High Measure Annual Energy Savings on MMBtu Basis (MMBtu/yr)]],Tbl_MeasureList[#Headers],0))</f>
        <v>46.631966684586338</v>
      </c>
      <c r="AM91" s="656">
        <f ca="1">INDEX(Tbl_MeasureList[],MATCH(Tbl_ROF_MeasureSummary[[#This Row],[Measure ID]:[Measure ID]],Tbl_MeasureList[[Measure ID]:[Measure ID]],0),MATCH(Tbl_ROF_MeasureSummary[[#Headers],[ROF High Measure Carbon Emissions Reduction, Site (tons CO2/yr)]],Tbl_MeasureList[#Headers],0))</f>
        <v>0</v>
      </c>
      <c r="AN91" s="540">
        <f ca="1">INDEX(Tbl_MeasureList[],MATCH(Tbl_ROF_MeasureSummary[[#This Row],[Measure ID]:[Measure ID]],Tbl_MeasureList[[Measure ID]:[Measure ID]],0),MATCH(Tbl_ROF_MeasureSummary[[#Headers],[ROF High Measure Carbon Emissions Reduction, Source (tons CO2/yr)]],Tbl_MeasureList[#Headers],0))</f>
        <v>4.826654558712927</v>
      </c>
      <c r="AO91" s="538">
        <f ca="1">INDEX(Tbl_MeasureList[],MATCH(Tbl_ROF_MeasureSummary[[#This Row],[Measure ID]:[Measure ID]],Tbl_MeasureList[[Measure ID]:[Measure ID]],0),MATCH(Tbl_ROF_MeasureSummary[[#Headers],[Current ROF Low Measure Coal Source Fuel Savings (lbs coal/year)]],Tbl_MeasureList[#Headers],0))</f>
        <v>119.40338178537895</v>
      </c>
      <c r="AP91" s="397">
        <f ca="1">INDEX(Tbl_MeasureList[],MATCH(Tbl_ROF_MeasureSummary[[#This Row],[Measure ID]:[Measure ID]],Tbl_MeasureList[[Measure ID]:[Measure ID]],0),MATCH(Tbl_ROF_MeasureSummary[[#Headers],[Current ROF Low Measure Oil Total Fuel Savings (gallons oil/year)]],Tbl_MeasureList[#Headers],0))</f>
        <v>11.359629563243484</v>
      </c>
      <c r="AQ91" s="540">
        <f ca="1">INDEX(Tbl_MeasureList[],MATCH(Tbl_ROF_MeasureSummary[[#This Row],[Measure ID]:[Measure ID]],Tbl_MeasureList[[Measure ID]:[Measure ID]],0),MATCH(Tbl_ROF_MeasureSummary[[#Headers],[Current ROF Low Measure Gas Total Fuel Savings (1,000 cu.ft. gas/year)]],Tbl_MeasureList[#Headers],0))</f>
        <v>49.178512705827302</v>
      </c>
      <c r="AR91" s="517">
        <f ca="1">INDEX(Tbl_MeasureList[],MATCH(Tbl_ROF_MeasureSummary[[#This Row],[Measure ID]:[Measure ID]],Tbl_MeasureList[[Measure ID]:[Measure ID]],0),MATCH(Tbl_ROF_MeasureSummary[[#Headers],[Current ROF High Measure Coal Source Fuel Savings (lbs coal/year)]],Tbl_MeasureList[#Headers],0))</f>
        <v>131.96236362395297</v>
      </c>
      <c r="AS91" s="536">
        <f ca="1">INDEX(Tbl_MeasureList[],MATCH(Tbl_ROF_MeasureSummary[[#This Row],[Measure ID]:[Measure ID]],Tbl_MeasureList[[Measure ID]:[Measure ID]],0),MATCH(Tbl_ROF_MeasureSummary[[#Headers],[Current ROF High Measure Oil Total Fuel Savings (gallons oil/year)]],Tbl_MeasureList[#Headers],0))</f>
        <v>12.554448162553648</v>
      </c>
      <c r="AT91" s="397">
        <f ca="1">INDEX(Tbl_MeasureList[],MATCH(Tbl_ROF_MeasureSummary[[#This Row],[Measure ID]:[Measure ID]],Tbl_MeasureList[[Measure ID]:[Measure ID]],0),MATCH(Tbl_ROF_MeasureSummary[[#Headers],[Current ROF High Measure Gas Total Fuel Savings (1,000 cu.ft. gas/year)]],Tbl_MeasureList[#Headers],0))</f>
        <v>54.351163921273823</v>
      </c>
    </row>
    <row r="92" spans="2:46" x14ac:dyDescent="0.2">
      <c r="B92" s="16"/>
      <c r="C92" s="44" t="s">
        <v>93</v>
      </c>
      <c r="D92" s="31" t="str">
        <f>INDEX(Tbl_MeasureList[],MATCH(Tbl_ROF_MeasureSummary[[#This Row],[Measure ID]:[Measure ID]],Tbl_MeasureList[[Measure ID]:[Measure ID]],0),MATCH(Tbl_ROF_MeasureSummary[[#Headers],[Baseline Equipment ID]],Tbl_MeasureList[#Headers],0))</f>
        <v>EQUI014</v>
      </c>
      <c r="E92" s="525" t="str">
        <f>INDEX(Tbl_MeasureList[],MATCH(Tbl_ROF_MeasureSummary[[#This Row],[Measure ID]:[Measure ID]],Tbl_MeasureList[[Measure ID]:[Measure ID]],0),MATCH(Tbl_ROF_MeasureSummary[[#Headers],[Replacement ID]],Tbl_MeasureList[#Headers],0))</f>
        <v>EQUI015</v>
      </c>
      <c r="F92" s="31" t="str">
        <f>INDEX(Tbl_MeasureList[],MATCH(Tbl_ROF_MeasureSummary[[#This Row],[Measure ID]:[Measure ID]],Tbl_MeasureList[[Measure ID]:[Measure ID]],0),MATCH(Tbl_ROF_MeasureSummary[[#Headers],[Baseline Name]],Tbl_MeasureList[#Headers],0))</f>
        <v>Tankless Coil WH</v>
      </c>
      <c r="G92" s="525" t="str">
        <f>INDEX(Tbl_MeasureList[],MATCH(Tbl_ROF_MeasureSummary[[#This Row],[Measure ID]:[Measure ID]],Tbl_MeasureList[[Measure ID]:[Measure ID]],0),MATCH(Tbl_ROF_MeasureSummary[[#Headers],[Replacement Name]],Tbl_MeasureList[#Headers],0))</f>
        <v>HPWH</v>
      </c>
      <c r="H92" s="31"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Tankless Coil WH to HPWH</v>
      </c>
      <c r="I92" s="525">
        <f>INDEX(Tbl_MeasureList[],MATCH(Tbl_ROF_MeasureSummary[[#This Row],[Measure ID]:[Measure ID]],Tbl_MeasureList[[Measure ID]:[Measure ID]],0),MATCH(Tbl_ROF_MeasureSummary[[#Headers],[New Unit Equipment Life (years)]],Tbl_MeasureList[#Headers],0))</f>
        <v>10</v>
      </c>
      <c r="J92" s="31" t="str">
        <f>INDEX(Tbl_MeasureList[],MATCH(Tbl_ROF_MeasureSummary[[#This Row],[Measure ID]:[Measure ID]],Tbl_MeasureList[[Measure ID]:[Measure ID]],0),MATCH(Tbl_ROF_MeasureSummary[[#Headers],[Baseline Function]],Tbl_MeasureList[#Headers],0))</f>
        <v>HW</v>
      </c>
      <c r="K92" s="525" t="str">
        <f>INDEX(Tbl_MeasureList[],MATCH(Tbl_ROF_MeasureSummary[[#This Row],[Measure ID]:[Measure ID]],Tbl_MeasureList[[Measure ID]:[Measure ID]],0),MATCH(Tbl_ROF_MeasureSummary[[#Headers],[Replacement Function]],Tbl_MeasureList[#Headers],0))</f>
        <v>HW</v>
      </c>
      <c r="L92" s="31" t="str">
        <f>INDEX(Tbl_MeasureList[],MATCH(Tbl_ROF_MeasureSummary[[#This Row],[Measure ID]:[Measure ID]],Tbl_MeasureList[[Measure ID]:[Measure ID]],0),MATCH(Tbl_ROF_MeasureSummary[[#Headers],[Keep Existing Heating Equipment?]],Tbl_MeasureList[#Headers],0))</f>
        <v>No</v>
      </c>
      <c r="M92" s="298"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Oil</v>
      </c>
      <c r="N92" s="543"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Electric</v>
      </c>
      <c r="O92" s="528"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75% AFUE</v>
      </c>
      <c r="P92" s="545"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84% AFUE</v>
      </c>
      <c r="Q92" s="528"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2.45 UEF</v>
      </c>
      <c r="R92" s="547"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v>
      </c>
      <c r="S92" s="530">
        <f ca="1">INDEX(Tbl_MeasureList[],MATCH(Tbl_ROF_MeasureSummary[[#This Row],[Measure ID]:[Measure ID]],Tbl_MeasureList[[Measure ID]:[Measure ID]],0),MATCH(Tbl_ROF_MeasureSummary[[#Headers],[ROF Low Measure Energy Cost Savings (USD/yr)]],Tbl_MeasureList[#Headers],0))</f>
        <v>31.530543014482703</v>
      </c>
      <c r="T92" s="394">
        <f ca="1">INDEX(Tbl_MeasureList[],MATCH(Tbl_ROF_MeasureSummary[[#This Row],[Measure ID]:[Measure ID]],Tbl_MeasureList[[Measure ID]:[Measure ID]],0),MATCH(T$84,Tbl_MeasureList[#Headers],0))</f>
        <v>1510</v>
      </c>
      <c r="U92" s="532">
        <f ca="1">INDEX(Tbl_MeasureList[],MATCH(Tbl_ROF_MeasureSummary[[#This Row],[Measure ID]:[Measure ID]],Tbl_MeasureList[[Measure ID]:[Measure ID]],0),MATCH(Tbl_ROF_MeasureSummary[[#Headers],[ROF Low Measure Electric Annual Consumption Savings (kWh/yr)]],Tbl_MeasureList[#Headers],0))</f>
        <v>-1662.7987654616359</v>
      </c>
      <c r="V92" s="396">
        <f ca="1">INDEX(Tbl_MeasureList[],MATCH(Tbl_ROF_MeasureSummary[[#This Row],[Measure ID]:[Measure ID]],Tbl_MeasureList[[Measure ID]:[Measure ID]],0),MATCH(Tbl_ROF_MeasureSummary[[#Headers],[ROF Low Measure Electric Winter Peak Demand Savings (kW)]],Tbl_MeasureList[#Headers],0))</f>
        <v>-0.65645430930186965</v>
      </c>
      <c r="W92" s="534">
        <f ca="1">INDEX(Tbl_MeasureList[],MATCH(Tbl_ROF_MeasureSummary[[#This Row],[Measure ID]:[Measure ID]],Tbl_MeasureList[[Measure ID]:[Measure ID]],0),MATCH(Tbl_ROF_MeasureSummary[[#Headers],[ROF Low Measure Electric Summer Peak Demand Savings (kW)]],Tbl_MeasureList[#Headers],0))</f>
        <v>-0.30853352537187873</v>
      </c>
      <c r="X92" s="656">
        <f ca="1">INDEX(Tbl_MeasureList[],MATCH(Tbl_ROF_MeasureSummary[[#This Row],[Measure ID]:[Measure ID]],Tbl_MeasureList[[Measure ID]:[Measure ID]],0),MATCH(Tbl_ROF_MeasureSummary[[#Headers],[ROF Low Measure Natural Gas Annual Consumption Savings (therms/yr)]],Tbl_MeasureList[#Headers],0))</f>
        <v>0</v>
      </c>
      <c r="Y92" s="536">
        <f ca="1">INDEX(Tbl_MeasureList[],MATCH(Tbl_ROF_MeasureSummary[[#This Row],[Measure ID]:[Measure ID]],Tbl_MeasureList[[Measure ID]:[Measure ID]],0),MATCH(Tbl_ROF_MeasureSummary[[#Headers],[ROF Low Measure Propane Annual Consumption Savings (MMBtu/yr)]],Tbl_MeasureList[#Headers],0))</f>
        <v>0</v>
      </c>
      <c r="Z92" s="656">
        <f ca="1">INDEX(Tbl_MeasureList[],MATCH(Tbl_ROF_MeasureSummary[[#This Row],[Measure ID]:[Measure ID]],Tbl_MeasureList[[Measure ID]:[Measure ID]],0),MATCH(Tbl_ROF_MeasureSummary[[#Headers],[ROF Low Measure Oil Annual Consumption Savings (MMBtu/yr)]],Tbl_MeasureList[#Headers],0))</f>
        <v>16.047619047619047</v>
      </c>
      <c r="AA92" s="661">
        <f ca="1">INDEX(Tbl_MeasureList[],MATCH(Tbl_ROF_MeasureSummary[[#This Row],[Measure ID]:[Measure ID]],Tbl_MeasureList[[Measure ID]:[Measure ID]],0),MATCH(Tbl_ROF_MeasureSummary[[#Headers],[ROF Low Measure Annual Energy Savings on MMBtu Basis (MMBtu/yr)]],Tbl_MeasureList[#Headers],0))</f>
        <v>10.374149659863946</v>
      </c>
      <c r="AB92" s="656">
        <f ca="1">INDEX(Tbl_MeasureList[],MATCH(Tbl_ROF_MeasureSummary[[#This Row],[Measure ID]:[Measure ID]],Tbl_MeasureList[[Measure ID]:[Measure ID]],0),MATCH(Tbl_ROF_MeasureSummary[[#Headers],[ROF Low Measure Carbon Emissions Reduction, Site (tons CO2/yr)]],Tbl_MeasureList[#Headers],0))</f>
        <v>1.2942404761904764</v>
      </c>
      <c r="AC92" s="540">
        <f ca="1">INDEX(Tbl_MeasureList[],MATCH(Tbl_ROF_MeasureSummary[[#This Row],[Measure ID]:[Measure ID]],Tbl_MeasureList[[Measure ID]:[Measure ID]],0),MATCH(Tbl_ROF_MeasureSummary[[#Headers],[ROF Low Measure Carbon Emissions Reduction, Source (tons CO2/yr)]],Tbl_MeasureList[#Headers],0))</f>
        <v>0.70700646418004498</v>
      </c>
      <c r="AD92" s="530" t="str">
        <f>INDEX(Tbl_MeasureList[],MATCH(Tbl_ROF_MeasureSummary[[#This Row],[Measure ID]:[Measure ID]],Tbl_MeasureList[[Measure ID]:[Measure ID]],0),MATCH(Tbl_ROF_MeasureSummary[[#Headers],[ROF High Measure Energy Cost Savings (USD/yr)]],Tbl_MeasureList[#Headers],0))</f>
        <v>-</v>
      </c>
      <c r="AE92" s="394" t="str">
        <f>INDEX(Tbl_MeasureList[],MATCH(Tbl_ROF_MeasureSummary[[#This Row],[Measure ID]:[Measure ID]],Tbl_MeasureList[[Measure ID]:[Measure ID]],0),MATCH(AE$84,Tbl_MeasureList[#Headers],0))</f>
        <v>-</v>
      </c>
      <c r="AF92" s="532" t="str">
        <f>INDEX(Tbl_MeasureList[],MATCH(Tbl_ROF_MeasureSummary[[#This Row],[Measure ID]:[Measure ID]],Tbl_MeasureList[[Measure ID]:[Measure ID]],0),MATCH(Tbl_ROF_MeasureSummary[[#Headers],[ROF High Measure Electric Annual Consumption Savings (kWh/yr)]],Tbl_MeasureList[#Headers],0))</f>
        <v>-</v>
      </c>
      <c r="AG92" s="396" t="str">
        <f>INDEX(Tbl_MeasureList[],MATCH(Tbl_ROF_MeasureSummary[[#This Row],[Measure ID]:[Measure ID]],Tbl_MeasureList[[Measure ID]:[Measure ID]],0),MATCH(Tbl_ROF_MeasureSummary[[#Headers],[ROF High Measure Electric Winter Peak Demand Savings (kW)]],Tbl_MeasureList[#Headers],0))</f>
        <v>-</v>
      </c>
      <c r="AH92" s="534" t="str">
        <f>INDEX(Tbl_MeasureList[],MATCH(Tbl_ROF_MeasureSummary[[#This Row],[Measure ID]:[Measure ID]],Tbl_MeasureList[[Measure ID]:[Measure ID]],0),MATCH(Tbl_ROF_MeasureSummary[[#Headers],[ROF High Measure Electric Summer Peak Demand Savings (kW)]],Tbl_MeasureList[#Headers],0))</f>
        <v>-</v>
      </c>
      <c r="AI92" s="656" t="str">
        <f>INDEX(Tbl_MeasureList[],MATCH(Tbl_ROF_MeasureSummary[[#This Row],[Measure ID]:[Measure ID]],Tbl_MeasureList[[Measure ID]:[Measure ID]],0),MATCH(Tbl_ROF_MeasureSummary[[#Headers],[ROF High Measure Natural Gas Annual Consumption Savings (therms/yr)]],Tbl_MeasureList[#Headers],0))</f>
        <v>-</v>
      </c>
      <c r="AJ92" s="536" t="str">
        <f>INDEX(Tbl_MeasureList[],MATCH(Tbl_ROF_MeasureSummary[[#This Row],[Measure ID]:[Measure ID]],Tbl_MeasureList[[Measure ID]:[Measure ID]],0),MATCH(Tbl_ROF_MeasureSummary[[#Headers],[ROF High Measure Propane Annual Consumption Savings (MMBtu/yr)]],Tbl_MeasureList[#Headers],0))</f>
        <v>-</v>
      </c>
      <c r="AK92" s="656" t="str">
        <f>INDEX(Tbl_MeasureList[],MATCH(Tbl_ROF_MeasureSummary[[#This Row],[Measure ID]:[Measure ID]],Tbl_MeasureList[[Measure ID]:[Measure ID]],0),MATCH(Tbl_ROF_MeasureSummary[[#Headers],[ROF High Measure Oil Annual Consumption Savings (MMBtu/yr)]],Tbl_MeasureList[#Headers],0))</f>
        <v>-</v>
      </c>
      <c r="AL92" s="536" t="str">
        <f>INDEX(Tbl_MeasureList[],MATCH(Tbl_ROF_MeasureSummary[[#This Row],[Measure ID]:[Measure ID]],Tbl_MeasureList[[Measure ID]:[Measure ID]],0),MATCH(Tbl_ROF_MeasureSummary[[#Headers],[ROF High Measure Annual Energy Savings on MMBtu Basis (MMBtu/yr)]],Tbl_MeasureList[#Headers],0))</f>
        <v>-</v>
      </c>
      <c r="AM92" s="656" t="str">
        <f>INDEX(Tbl_MeasureList[],MATCH(Tbl_ROF_MeasureSummary[[#This Row],[Measure ID]:[Measure ID]],Tbl_MeasureList[[Measure ID]:[Measure ID]],0),MATCH(Tbl_ROF_MeasureSummary[[#Headers],[ROF High Measure Carbon Emissions Reduction, Site (tons CO2/yr)]],Tbl_MeasureList[#Headers],0))</f>
        <v>-</v>
      </c>
      <c r="AN92" s="540" t="str">
        <f>INDEX(Tbl_MeasureList[],MATCH(Tbl_ROF_MeasureSummary[[#This Row],[Measure ID]:[Measure ID]],Tbl_MeasureList[[Measure ID]:[Measure ID]],0),MATCH(Tbl_ROF_MeasureSummary[[#Headers],[ROF High Measure Carbon Emissions Reduction, Source (tons CO2/yr)]],Tbl_MeasureList[#Headers],0))</f>
        <v>-</v>
      </c>
      <c r="AO92" s="538">
        <f ca="1">INDEX(Tbl_MeasureList[],MATCH(Tbl_ROF_MeasureSummary[[#This Row],[Measure ID]:[Measure ID]],Tbl_MeasureList[[Measure ID]:[Measure ID]],0),MATCH(Tbl_ROF_MeasureSummary[[#Headers],[Current ROF Low Measure Coal Source Fuel Savings (lbs coal/year)]],Tbl_MeasureList[#Headers],0))</f>
        <v>-16.055175957306847</v>
      </c>
      <c r="AP92" s="397">
        <f ca="1">INDEX(Tbl_MeasureList[],MATCH(Tbl_ROF_MeasureSummary[[#This Row],[Measure ID]:[Measure ID]],Tbl_MeasureList[[Measure ID]:[Measure ID]],0),MATCH(Tbl_ROF_MeasureSummary[[#Headers],[Current ROF Low Measure Oil Total Fuel Savings (gallons oil/year)]],Tbl_MeasureList[#Headers],0))</f>
        <v>114.80602477643502</v>
      </c>
      <c r="AQ92" s="540">
        <f ca="1">INDEX(Tbl_MeasureList[],MATCH(Tbl_ROF_MeasureSummary[[#This Row],[Measure ID]:[Measure ID]],Tbl_MeasureList[[Measure ID]:[Measure ID]],0),MATCH(Tbl_ROF_MeasureSummary[[#Headers],[Current ROF Low Measure Gas Total Fuel Savings (1,000 cu.ft. gas/year)]],Tbl_MeasureList[#Headers],0))</f>
        <v>-6.612624056410028</v>
      </c>
      <c r="AR92" s="517" t="str">
        <f>INDEX(Tbl_MeasureList[],MATCH(Tbl_ROF_MeasureSummary[[#This Row],[Measure ID]:[Measure ID]],Tbl_MeasureList[[Measure ID]:[Measure ID]],0),MATCH(Tbl_ROF_MeasureSummary[[#Headers],[Current ROF High Measure Coal Source Fuel Savings (lbs coal/year)]],Tbl_MeasureList[#Headers],0))</f>
        <v>-</v>
      </c>
      <c r="AS92" s="536" t="str">
        <f>INDEX(Tbl_MeasureList[],MATCH(Tbl_ROF_MeasureSummary[[#This Row],[Measure ID]:[Measure ID]],Tbl_MeasureList[[Measure ID]:[Measure ID]],0),MATCH(Tbl_ROF_MeasureSummary[[#Headers],[Current ROF High Measure Oil Total Fuel Savings (gallons oil/year)]],Tbl_MeasureList[#Headers],0))</f>
        <v>-</v>
      </c>
      <c r="AT92" s="397" t="str">
        <f>INDEX(Tbl_MeasureList[],MATCH(Tbl_ROF_MeasureSummary[[#This Row],[Measure ID]:[Measure ID]],Tbl_MeasureList[[Measure ID]:[Measure ID]],0),MATCH(Tbl_ROF_MeasureSummary[[#Headers],[Current ROF High Measure Gas Total Fuel Savings (1,000 cu.ft. gas/year)]],Tbl_MeasureList[#Headers],0))</f>
        <v>-</v>
      </c>
    </row>
    <row r="93" spans="2:46" x14ac:dyDescent="0.2">
      <c r="B93" s="16"/>
      <c r="C93" s="44" t="s">
        <v>94</v>
      </c>
      <c r="D93" s="31" t="str">
        <f>INDEX(Tbl_MeasureList[],MATCH(Tbl_ROF_MeasureSummary[[#This Row],[Measure ID]:[Measure ID]],Tbl_MeasureList[[Measure ID]:[Measure ID]],0),MATCH(Tbl_ROF_MeasureSummary[[#Headers],[Baseline Equipment ID]],Tbl_MeasureList[#Headers],0))</f>
        <v>EQUI008</v>
      </c>
      <c r="E93" s="525" t="str">
        <f>INDEX(Tbl_MeasureList[],MATCH(Tbl_ROF_MeasureSummary[[#This Row],[Measure ID]:[Measure ID]],Tbl_MeasureList[[Measure ID]:[Measure ID]],0),MATCH(Tbl_ROF_MeasureSummary[[#Headers],[Replacement ID]],Tbl_MeasureList[#Headers],0))</f>
        <v>EQUI016</v>
      </c>
      <c r="F93" s="31" t="str">
        <f>INDEX(Tbl_MeasureList[],MATCH(Tbl_ROF_MeasureSummary[[#This Row],[Measure ID]:[Measure ID]],Tbl_MeasureList[[Measure ID]:[Measure ID]],0),MATCH(Tbl_ROF_MeasureSummary[[#Headers],[Baseline Name]],Tbl_MeasureList[#Headers],0))</f>
        <v>Oil Boiler</v>
      </c>
      <c r="G93" s="525" t="str">
        <f>INDEX(Tbl_MeasureList[],MATCH(Tbl_ROF_MeasureSummary[[#This Row],[Measure ID]:[Measure ID]],Tbl_MeasureList[[Measure ID]:[Measure ID]],0),MATCH(Tbl_ROF_MeasureSummary[[#Headers],[Replacement Name]],Tbl_MeasureList[#Headers],0))</f>
        <v>Gas Boiler</v>
      </c>
      <c r="H93" s="31"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Oil Boiler to Gas Boiler</v>
      </c>
      <c r="I93" s="525">
        <f>INDEX(Tbl_MeasureList[],MATCH(Tbl_ROF_MeasureSummary[[#This Row],[Measure ID]:[Measure ID]],Tbl_MeasureList[[Measure ID]:[Measure ID]],0),MATCH(Tbl_ROF_MeasureSummary[[#Headers],[New Unit Equipment Life (years)]],Tbl_MeasureList[#Headers],0))</f>
        <v>20</v>
      </c>
      <c r="J93" s="31" t="str">
        <f>INDEX(Tbl_MeasureList[],MATCH(Tbl_ROF_MeasureSummary[[#This Row],[Measure ID]:[Measure ID]],Tbl_MeasureList[[Measure ID]:[Measure ID]],0),MATCH(Tbl_ROF_MeasureSummary[[#Headers],[Baseline Function]],Tbl_MeasureList[#Headers],0))</f>
        <v>Heat</v>
      </c>
      <c r="K93" s="525" t="str">
        <f>INDEX(Tbl_MeasureList[],MATCH(Tbl_ROF_MeasureSummary[[#This Row],[Measure ID]:[Measure ID]],Tbl_MeasureList[[Measure ID]:[Measure ID]],0),MATCH(Tbl_ROF_MeasureSummary[[#Headers],[Replacement Function]],Tbl_MeasureList[#Headers],0))</f>
        <v>Heat</v>
      </c>
      <c r="L93" s="31" t="str">
        <f>INDEX(Tbl_MeasureList[],MATCH(Tbl_ROF_MeasureSummary[[#This Row],[Measure ID]:[Measure ID]],Tbl_MeasureList[[Measure ID]:[Measure ID]],0),MATCH(Tbl_ROF_MeasureSummary[[#Headers],[Keep Existing Heating Equipment?]],Tbl_MeasureList[#Headers],0))</f>
        <v>No</v>
      </c>
      <c r="M93" s="298"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Oil</v>
      </c>
      <c r="N93" s="543"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Natural Gas</v>
      </c>
      <c r="O93" s="528"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75% AFUE</v>
      </c>
      <c r="P93" s="545"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84% AFUE</v>
      </c>
      <c r="Q93" s="528"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90% AFUE (87.2% actual)</v>
      </c>
      <c r="R93" s="547"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95% AFUE (89.4% actual)</v>
      </c>
      <c r="S93" s="530">
        <f ca="1">INDEX(Tbl_MeasureList[],MATCH(Tbl_ROF_MeasureSummary[[#This Row],[Measure ID]:[Measure ID]],Tbl_MeasureList[[Measure ID]:[Measure ID]],0),MATCH(Tbl_ROF_MeasureSummary[[#Headers],[ROF Low Measure Energy Cost Savings (USD/yr)]],Tbl_MeasureList[#Headers],0))</f>
        <v>612.47050138581608</v>
      </c>
      <c r="T93" s="394">
        <f ca="1">INDEX(Tbl_MeasureList[],MATCH(Tbl_ROF_MeasureSummary[[#This Row],[Measure ID]:[Measure ID]],Tbl_MeasureList[[Measure ID]:[Measure ID]],0),MATCH(T$84,Tbl_MeasureList[#Headers],0))</f>
        <v>7944</v>
      </c>
      <c r="U93" s="532">
        <f ca="1">INDEX(Tbl_MeasureList[],MATCH(Tbl_ROF_MeasureSummary[[#This Row],[Measure ID]:[Measure ID]],Tbl_MeasureList[[Measure ID]:[Measure ID]],0),MATCH(Tbl_ROF_MeasureSummary[[#Headers],[ROF Low Measure Electric Annual Consumption Savings (kWh/yr)]],Tbl_MeasureList[#Headers],0))</f>
        <v>-99</v>
      </c>
      <c r="V93" s="396">
        <f ca="1">INDEX(Tbl_MeasureList[],MATCH(Tbl_ROF_MeasureSummary[[#This Row],[Measure ID]:[Measure ID]],Tbl_MeasureList[[Measure ID]:[Measure ID]],0),MATCH(Tbl_ROF_MeasureSummary[[#Headers],[ROF Low Measure Electric Winter Peak Demand Savings (kW)]],Tbl_MeasureList[#Headers],0))</f>
        <v>-1.5186960690316387E-2</v>
      </c>
      <c r="W93" s="534">
        <f ca="1">INDEX(Tbl_MeasureList[],MATCH(Tbl_ROF_MeasureSummary[[#This Row],[Measure ID]:[Measure ID]],Tbl_MeasureList[[Measure ID]:[Measure ID]],0),MATCH(Tbl_ROF_MeasureSummary[[#Headers],[ROF Low Measure Electric Summer Peak Demand Savings (kW)]],Tbl_MeasureList[#Headers],0))</f>
        <v>0</v>
      </c>
      <c r="X93" s="656">
        <f ca="1">INDEX(Tbl_MeasureList[],MATCH(Tbl_ROF_MeasureSummary[[#This Row],[Measure ID]:[Measure ID]],Tbl_MeasureList[[Measure ID]:[Measure ID]],0),MATCH(Tbl_ROF_MeasureSummary[[#Headers],[ROF Low Measure Natural Gas Annual Consumption Savings (therms/yr)]],Tbl_MeasureList[#Headers],0))</f>
        <v>-879.58715596330273</v>
      </c>
      <c r="Y93" s="536">
        <f ca="1">INDEX(Tbl_MeasureList[],MATCH(Tbl_ROF_MeasureSummary[[#This Row],[Measure ID]:[Measure ID]],Tbl_MeasureList[[Measure ID]:[Measure ID]],0),MATCH(Tbl_ROF_MeasureSummary[[#Headers],[ROF Low Measure Propane Annual Consumption Savings (MMBtu/yr)]],Tbl_MeasureList[#Headers],0))</f>
        <v>0</v>
      </c>
      <c r="Z93" s="656">
        <f ca="1">INDEX(Tbl_MeasureList[],MATCH(Tbl_ROF_MeasureSummary[[#This Row],[Measure ID]:[Measure ID]],Tbl_MeasureList[[Measure ID]:[Measure ID]],0),MATCH(Tbl_ROF_MeasureSummary[[#Headers],[ROF Low Measure Oil Annual Consumption Savings (MMBtu/yr)]],Tbl_MeasureList[#Headers],0))</f>
        <v>91.30952380952381</v>
      </c>
      <c r="AA93" s="661">
        <f ca="1">INDEX(Tbl_MeasureList[],MATCH(Tbl_ROF_MeasureSummary[[#This Row],[Measure ID]:[Measure ID]],Tbl_MeasureList[[Measure ID]:[Measure ID]],0),MATCH(Tbl_ROF_MeasureSummary[[#Headers],[ROF Low Measure Annual Energy Savings on MMBtu Basis (MMBtu/yr)]],Tbl_MeasureList[#Headers],0))</f>
        <v>3.0130202131935278</v>
      </c>
      <c r="AB93" s="656">
        <f ca="1">INDEX(Tbl_MeasureList[],MATCH(Tbl_ROF_MeasureSummary[[#This Row],[Measure ID]:[Measure ID]],Tbl_MeasureList[[Measure ID]:[Measure ID]],0),MATCH(Tbl_ROF_MeasureSummary[[#Headers],[ROF Low Measure Carbon Emissions Reduction, Site (tons CO2/yr)]],Tbl_MeasureList[#Headers],0))</f>
        <v>2.2185282328527745</v>
      </c>
      <c r="AC93" s="540">
        <f ca="1">INDEX(Tbl_MeasureList[],MATCH(Tbl_ROF_MeasureSummary[[#This Row],[Measure ID]:[Measure ID]],Tbl_MeasureList[[Measure ID]:[Measure ID]],0),MATCH(Tbl_ROF_MeasureSummary[[#Headers],[ROF Low Measure Carbon Emissions Reduction, Source (tons CO2/yr)]],Tbl_MeasureList[#Headers],0))</f>
        <v>2.183565392852775</v>
      </c>
      <c r="AD93" s="530">
        <f ca="1">INDEX(Tbl_MeasureList[],MATCH(Tbl_ROF_MeasureSummary[[#This Row],[Measure ID]:[Measure ID]],Tbl_MeasureList[[Measure ID]:[Measure ID]],0),MATCH(Tbl_ROF_MeasureSummary[[#Headers],[ROF High Measure Energy Cost Savings (USD/yr)]],Tbl_MeasureList[#Headers],0))</f>
        <v>650.74700498370612</v>
      </c>
      <c r="AE93" s="394">
        <f ca="1">INDEX(Tbl_MeasureList[],MATCH(Tbl_ROF_MeasureSummary[[#This Row],[Measure ID]:[Measure ID]],Tbl_MeasureList[[Measure ID]:[Measure ID]],0),MATCH(AE$84,Tbl_MeasureList[#Headers],0))</f>
        <v>8205</v>
      </c>
      <c r="AF93" s="532">
        <f ca="1">INDEX(Tbl_MeasureList[],MATCH(Tbl_ROF_MeasureSummary[[#This Row],[Measure ID]:[Measure ID]],Tbl_MeasureList[[Measure ID]:[Measure ID]],0),MATCH(Tbl_ROF_MeasureSummary[[#Headers],[ROF High Measure Electric Annual Consumption Savings (kWh/yr)]],Tbl_MeasureList[#Headers],0))</f>
        <v>-82</v>
      </c>
      <c r="AG93" s="396">
        <f ca="1">INDEX(Tbl_MeasureList[],MATCH(Tbl_ROF_MeasureSummary[[#This Row],[Measure ID]:[Measure ID]],Tbl_MeasureList[[Measure ID]:[Measure ID]],0),MATCH(Tbl_ROF_MeasureSummary[[#Headers],[ROF High Measure Electric Winter Peak Demand Savings (kW)]],Tbl_MeasureList[#Headers],0))</f>
        <v>-1.2579098753595391E-2</v>
      </c>
      <c r="AH93" s="534">
        <f ca="1">INDEX(Tbl_MeasureList[],MATCH(Tbl_ROF_MeasureSummary[[#This Row],[Measure ID]:[Measure ID]],Tbl_MeasureList[[Measure ID]:[Measure ID]],0),MATCH(Tbl_ROF_MeasureSummary[[#Headers],[ROF High Measure Electric Summer Peak Demand Savings (kW)]],Tbl_MeasureList[#Headers],0))</f>
        <v>0</v>
      </c>
      <c r="AI93" s="656">
        <f ca="1">INDEX(Tbl_MeasureList[],MATCH(Tbl_ROF_MeasureSummary[[#This Row],[Measure ID]:[Measure ID]],Tbl_MeasureList[[Measure ID]:[Measure ID]],0),MATCH(Tbl_ROF_MeasureSummary[[#Headers],[ROF High Measure Natural Gas Annual Consumption Savings (therms/yr)]],Tbl_MeasureList[#Headers],0))</f>
        <v>-857.94183445190151</v>
      </c>
      <c r="AJ93" s="536">
        <f ca="1">INDEX(Tbl_MeasureList[],MATCH(Tbl_ROF_MeasureSummary[[#This Row],[Measure ID]:[Measure ID]],Tbl_MeasureList[[Measure ID]:[Measure ID]],0),MATCH(Tbl_ROF_MeasureSummary[[#Headers],[ROF High Measure Propane Annual Consumption Savings (MMBtu/yr)]],Tbl_MeasureList[#Headers],0))</f>
        <v>0</v>
      </c>
      <c r="AK93" s="656">
        <f ca="1">INDEX(Tbl_MeasureList[],MATCH(Tbl_ROF_MeasureSummary[[#This Row],[Measure ID]:[Measure ID]],Tbl_MeasureList[[Measure ID]:[Measure ID]],0),MATCH(Tbl_ROF_MeasureSummary[[#Headers],[ROF High Measure Oil Annual Consumption Savings (MMBtu/yr)]],Tbl_MeasureList[#Headers],0))</f>
        <v>91.30952380952381</v>
      </c>
      <c r="AL93" s="536">
        <f ca="1">INDEX(Tbl_MeasureList[],MATCH(Tbl_ROF_MeasureSummary[[#This Row],[Measure ID]:[Measure ID]],Tbl_MeasureList[[Measure ID]:[Measure ID]],0),MATCH(Tbl_ROF_MeasureSummary[[#Headers],[ROF High Measure Annual Energy Savings on MMBtu Basis (MMBtu/yr)]],Tbl_MeasureList[#Headers],0))</f>
        <v>5.2355563643336467</v>
      </c>
      <c r="AM93" s="656">
        <f ca="1">INDEX(Tbl_MeasureList[],MATCH(Tbl_ROF_MeasureSummary[[#This Row],[Measure ID]:[Measure ID]],Tbl_MeasureList[[Measure ID]:[Measure ID]],0),MATCH(Tbl_ROF_MeasureSummary[[#Headers],[ROF High Measure Carbon Emissions Reduction, Site (tons CO2/yr)]],Tbl_MeasureList[#Headers],0))</f>
        <v>2.3451533636944708</v>
      </c>
      <c r="AN93" s="540">
        <f ca="1">INDEX(Tbl_MeasureList[],MATCH(Tbl_ROF_MeasureSummary[[#This Row],[Measure ID]:[Measure ID]],Tbl_MeasureList[[Measure ID]:[Measure ID]],0),MATCH(Tbl_ROF_MeasureSummary[[#Headers],[ROF High Measure Carbon Emissions Reduction, Source (tons CO2/yr)]],Tbl_MeasureList[#Headers],0))</f>
        <v>2.316194243694472</v>
      </c>
      <c r="AO93" s="538">
        <f ca="1">INDEX(Tbl_MeasureList[],MATCH(Tbl_ROF_MeasureSummary[[#This Row],[Measure ID]:[Measure ID]],Tbl_MeasureList[[Measure ID]:[Measure ID]],0),MATCH(Tbl_ROF_MeasureSummary[[#Headers],[Current ROF Low Measure Coal Source Fuel Savings (lbs coal/year)]],Tbl_MeasureList[#Headers],0))</f>
        <v>-0.9558958382628473</v>
      </c>
      <c r="AP93" s="397">
        <f ca="1">INDEX(Tbl_MeasureList[],MATCH(Tbl_ROF_MeasureSummary[[#This Row],[Measure ID]:[Measure ID]],Tbl_MeasureList[[Measure ID]:[Measure ID]],0),MATCH(Tbl_ROF_MeasureSummary[[#Headers],[Current ROF Low Measure Oil Total Fuel Savings (gallons oil/year)]],Tbl_MeasureList[#Headers],0))</f>
        <v>661.83608684518492</v>
      </c>
      <c r="AQ93" s="541">
        <f ca="1">INDEX(Tbl_MeasureList[],MATCH(Tbl_ROF_MeasureSummary[[#This Row],[Measure ID]:[Measure ID]],Tbl_MeasureList[[Measure ID]:[Measure ID]],0),MATCH(Tbl_ROF_MeasureSummary[[#Headers],[Current ROF Low Measure Gas Total Fuel Savings (1,000 cu.ft. gas/year)]],Tbl_MeasureList[#Headers],0))</f>
        <v>-85.873504909796495</v>
      </c>
      <c r="AR93" s="517">
        <f ca="1">INDEX(Tbl_MeasureList[],MATCH(Tbl_ROF_MeasureSummary[[#This Row],[Measure ID]:[Measure ID]],Tbl_MeasureList[[Measure ID]:[Measure ID]],0),MATCH(Tbl_ROF_MeasureSummary[[#Headers],[Current ROF High Measure Coal Source Fuel Savings (lbs coal/year)]],Tbl_MeasureList[#Headers],0))</f>
        <v>-0.79175210846013611</v>
      </c>
      <c r="AS93" s="536">
        <f ca="1">INDEX(Tbl_MeasureList[],MATCH(Tbl_ROF_MeasureSummary[[#This Row],[Measure ID]:[Measure ID]],Tbl_MeasureList[[Measure ID]:[Measure ID]],0),MATCH(Tbl_ROF_MeasureSummary[[#Headers],[Current ROF High Measure Oil Total Fuel Savings (gallons oil/year)]],Tbl_MeasureList[#Headers],0))</f>
        <v>661.85170291851387</v>
      </c>
      <c r="AT93" s="398">
        <f ca="1">INDEX(Tbl_MeasureList[],MATCH(Tbl_ROF_MeasureSummary[[#This Row],[Measure ID]:[Measure ID]],Tbl_MeasureList[[Measure ID]:[Measure ID]],0),MATCH(Tbl_ROF_MeasureSummary[[#Headers],[Current ROF High Measure Gas Total Fuel Savings (1,000 cu.ft. gas/year)]],Tbl_MeasureList[#Headers],0))</f>
        <v>-83.702369461903317</v>
      </c>
    </row>
    <row r="94" spans="2:46" x14ac:dyDescent="0.2">
      <c r="B94" s="16"/>
      <c r="C94" s="44" t="s">
        <v>95</v>
      </c>
      <c r="D94" s="31" t="str">
        <f>INDEX(Tbl_MeasureList[],MATCH(Tbl_ROF_MeasureSummary[[#This Row],[Measure ID]:[Measure ID]],Tbl_MeasureList[[Measure ID]:[Measure ID]],0),MATCH(Tbl_ROF_MeasureSummary[[#Headers],[Baseline Equipment ID]],Tbl_MeasureList[#Headers],0))</f>
        <v>EQUI009</v>
      </c>
      <c r="E94" s="525" t="str">
        <f>INDEX(Tbl_MeasureList[],MATCH(Tbl_ROF_MeasureSummary[[#This Row],[Measure ID]:[Measure ID]],Tbl_MeasureList[[Measure ID]:[Measure ID]],0),MATCH(Tbl_ROF_MeasureSummary[[#Headers],[Replacement ID]],Tbl_MeasureList[#Headers],0))</f>
        <v>EQUI016</v>
      </c>
      <c r="F94" s="31" t="str">
        <f>INDEX(Tbl_MeasureList[],MATCH(Tbl_ROF_MeasureSummary[[#This Row],[Measure ID]:[Measure ID]],Tbl_MeasureList[[Measure ID]:[Measure ID]],0),MATCH(Tbl_ROF_MeasureSummary[[#Headers],[Baseline Name]],Tbl_MeasureList[#Headers],0))</f>
        <v>Propane Boiler</v>
      </c>
      <c r="G94" s="525" t="str">
        <f>INDEX(Tbl_MeasureList[],MATCH(Tbl_ROF_MeasureSummary[[#This Row],[Measure ID]:[Measure ID]],Tbl_MeasureList[[Measure ID]:[Measure ID]],0),MATCH(Tbl_ROF_MeasureSummary[[#Headers],[Replacement Name]],Tbl_MeasureList[#Headers],0))</f>
        <v>Gas Boiler</v>
      </c>
      <c r="H94" s="31"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Propane Boiler to Gas Boiler</v>
      </c>
      <c r="I94" s="525">
        <f>INDEX(Tbl_MeasureList[],MATCH(Tbl_ROF_MeasureSummary[[#This Row],[Measure ID]:[Measure ID]],Tbl_MeasureList[[Measure ID]:[Measure ID]],0),MATCH(Tbl_ROF_MeasureSummary[[#Headers],[New Unit Equipment Life (years)]],Tbl_MeasureList[#Headers],0))</f>
        <v>20</v>
      </c>
      <c r="J94" s="31" t="str">
        <f>INDEX(Tbl_MeasureList[],MATCH(Tbl_ROF_MeasureSummary[[#This Row],[Measure ID]:[Measure ID]],Tbl_MeasureList[[Measure ID]:[Measure ID]],0),MATCH(Tbl_ROF_MeasureSummary[[#Headers],[Baseline Function]],Tbl_MeasureList[#Headers],0))</f>
        <v>Heat</v>
      </c>
      <c r="K94" s="525" t="str">
        <f>INDEX(Tbl_MeasureList[],MATCH(Tbl_ROF_MeasureSummary[[#This Row],[Measure ID]:[Measure ID]],Tbl_MeasureList[[Measure ID]:[Measure ID]],0),MATCH(Tbl_ROF_MeasureSummary[[#Headers],[Replacement Function]],Tbl_MeasureList[#Headers],0))</f>
        <v>Heat</v>
      </c>
      <c r="L94" s="31" t="str">
        <f>INDEX(Tbl_MeasureList[],MATCH(Tbl_ROF_MeasureSummary[[#This Row],[Measure ID]:[Measure ID]],Tbl_MeasureList[[Measure ID]:[Measure ID]],0),MATCH(Tbl_ROF_MeasureSummary[[#Headers],[Keep Existing Heating Equipment?]],Tbl_MeasureList[#Headers],0))</f>
        <v>No</v>
      </c>
      <c r="M94" s="298"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Propane</v>
      </c>
      <c r="N94" s="543"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Natural Gas</v>
      </c>
      <c r="O94" s="528"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75% AFUE</v>
      </c>
      <c r="P94" s="545"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82% AFUE (79.3% actual)</v>
      </c>
      <c r="Q94" s="528"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90% AFUE (87.2% actual)</v>
      </c>
      <c r="R94" s="547"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95% AFUE (89.4% actual)</v>
      </c>
      <c r="S94" s="530">
        <f ca="1">INDEX(Tbl_MeasureList[],MATCH(Tbl_ROF_MeasureSummary[[#This Row],[Measure ID]:[Measure ID]],Tbl_MeasureList[[Measure ID]:[Measure ID]],0),MATCH(Tbl_ROF_MeasureSummary[[#Headers],[ROF Low Measure Energy Cost Savings (USD/yr)]],Tbl_MeasureList[#Headers],0))</f>
        <v>2031.8012568700647</v>
      </c>
      <c r="T94" s="394">
        <f ca="1">INDEX(Tbl_MeasureList[],MATCH(Tbl_ROF_MeasureSummary[[#This Row],[Measure ID]:[Measure ID]],Tbl_MeasureList[[Measure ID]:[Measure ID]],0),MATCH(T$84,Tbl_MeasureList[#Headers],0))</f>
        <v>8215</v>
      </c>
      <c r="U94" s="532">
        <f ca="1">INDEX(Tbl_MeasureList[],MATCH(Tbl_ROF_MeasureSummary[[#This Row],[Measure ID]:[Measure ID]],Tbl_MeasureList[[Measure ID]:[Measure ID]],0),MATCH(Tbl_ROF_MeasureSummary[[#Headers],[ROF Low Measure Electric Annual Consumption Savings (kWh/yr)]],Tbl_MeasureList[#Headers],0))</f>
        <v>-132</v>
      </c>
      <c r="V94" s="396">
        <f ca="1">INDEX(Tbl_MeasureList[],MATCH(Tbl_ROF_MeasureSummary[[#This Row],[Measure ID]:[Measure ID]],Tbl_MeasureList[[Measure ID]:[Measure ID]],0),MATCH(Tbl_ROF_MeasureSummary[[#Headers],[ROF Low Measure Electric Winter Peak Demand Savings (kW)]],Tbl_MeasureList[#Headers],0))</f>
        <v>-2.0249280920421858E-2</v>
      </c>
      <c r="W94" s="534">
        <f ca="1">INDEX(Tbl_MeasureList[],MATCH(Tbl_ROF_MeasureSummary[[#This Row],[Measure ID]:[Measure ID]],Tbl_MeasureList[[Measure ID]:[Measure ID]],0),MATCH(Tbl_ROF_MeasureSummary[[#Headers],[ROF Low Measure Electric Summer Peak Demand Savings (kW)]],Tbl_MeasureList[#Headers],0))</f>
        <v>0</v>
      </c>
      <c r="X94" s="656">
        <f ca="1">INDEX(Tbl_MeasureList[],MATCH(Tbl_ROF_MeasureSummary[[#This Row],[Measure ID]:[Measure ID]],Tbl_MeasureList[[Measure ID]:[Measure ID]],0),MATCH(Tbl_ROF_MeasureSummary[[#Headers],[ROF Low Measure Natural Gas Annual Consumption Savings (therms/yr)]],Tbl_MeasureList[#Headers],0))</f>
        <v>-879.58715596330273</v>
      </c>
      <c r="Y94" s="536">
        <f ca="1">INDEX(Tbl_MeasureList[],MATCH(Tbl_ROF_MeasureSummary[[#This Row],[Measure ID]:[Measure ID]],Tbl_MeasureList[[Measure ID]:[Measure ID]],0),MATCH(Tbl_ROF_MeasureSummary[[#Headers],[ROF Low Measure Propane Annual Consumption Savings (MMBtu/yr)]],Tbl_MeasureList[#Headers],0))</f>
        <v>96.721311475409834</v>
      </c>
      <c r="Z94" s="656">
        <f ca="1">INDEX(Tbl_MeasureList[],MATCH(Tbl_ROF_MeasureSummary[[#This Row],[Measure ID]:[Measure ID]],Tbl_MeasureList[[Measure ID]:[Measure ID]],0),MATCH(Tbl_ROF_MeasureSummary[[#Headers],[ROF Low Measure Oil Annual Consumption Savings (MMBtu/yr)]],Tbl_MeasureList[#Headers],0))</f>
        <v>0</v>
      </c>
      <c r="AA94" s="661">
        <f ca="1">INDEX(Tbl_MeasureList[],MATCH(Tbl_ROF_MeasureSummary[[#This Row],[Measure ID]:[Measure ID]],Tbl_MeasureList[[Measure ID]:[Measure ID]],0),MATCH(Tbl_ROF_MeasureSummary[[#Headers],[ROF Low Measure Annual Energy Savings on MMBtu Basis (MMBtu/yr)]],Tbl_MeasureList[#Headers],0))</f>
        <v>8.3122118790795554</v>
      </c>
      <c r="AB94" s="656">
        <f ca="1">INDEX(Tbl_MeasureList[],MATCH(Tbl_ROF_MeasureSummary[[#This Row],[Measure ID]:[Measure ID]],Tbl_MeasureList[[Measure ID]:[Measure ID]],0),MATCH(Tbl_ROF_MeasureSummary[[#Headers],[ROF Low Measure Carbon Emissions Reduction, Site (tons CO2/yr)]],Tbl_MeasureList[#Headers],0))</f>
        <v>1.5765462851556631</v>
      </c>
      <c r="AC94" s="540">
        <f ca="1">INDEX(Tbl_MeasureList[],MATCH(Tbl_ROF_MeasureSummary[[#This Row],[Measure ID]:[Measure ID]],Tbl_MeasureList[[Measure ID]:[Measure ID]],0),MATCH(Tbl_ROF_MeasureSummary[[#Headers],[ROF Low Measure Carbon Emissions Reduction, Source (tons CO2/yr)]],Tbl_MeasureList[#Headers],0))</f>
        <v>1.5299291651556626</v>
      </c>
      <c r="AD94" s="530">
        <f ca="1">INDEX(Tbl_MeasureList[],MATCH(Tbl_ROF_MeasureSummary[[#This Row],[Measure ID]:[Measure ID]],Tbl_MeasureList[[Measure ID]:[Measure ID]],0),MATCH(Tbl_ROF_MeasureSummary[[#Headers],[ROF High Measure Energy Cost Savings (USD/yr)]],Tbl_MeasureList[#Headers],0))</f>
        <v>2070.0777604679547</v>
      </c>
      <c r="AE94" s="394">
        <f ca="1">INDEX(Tbl_MeasureList[],MATCH(Tbl_ROF_MeasureSummary[[#This Row],[Measure ID]:[Measure ID]],Tbl_MeasureList[[Measure ID]:[Measure ID]],0),MATCH(AE$84,Tbl_MeasureList[#Headers],0))</f>
        <v>8476</v>
      </c>
      <c r="AF94" s="532">
        <f ca="1">INDEX(Tbl_MeasureList[],MATCH(Tbl_ROF_MeasureSummary[[#This Row],[Measure ID]:[Measure ID]],Tbl_MeasureList[[Measure ID]:[Measure ID]],0),MATCH(Tbl_ROF_MeasureSummary[[#Headers],[ROF High Measure Electric Annual Consumption Savings (kWh/yr)]],Tbl_MeasureList[#Headers],0))</f>
        <v>-115</v>
      </c>
      <c r="AG94" s="396">
        <f ca="1">INDEX(Tbl_MeasureList[],MATCH(Tbl_ROF_MeasureSummary[[#This Row],[Measure ID]:[Measure ID]],Tbl_MeasureList[[Measure ID]:[Measure ID]],0),MATCH(Tbl_ROF_MeasureSummary[[#Headers],[ROF High Measure Electric Winter Peak Demand Savings (kW)]],Tbl_MeasureList[#Headers],0))</f>
        <v>-1.7641418983700863E-2</v>
      </c>
      <c r="AH94" s="534">
        <f ca="1">INDEX(Tbl_MeasureList[],MATCH(Tbl_ROF_MeasureSummary[[#This Row],[Measure ID]:[Measure ID]],Tbl_MeasureList[[Measure ID]:[Measure ID]],0),MATCH(Tbl_ROF_MeasureSummary[[#Headers],[ROF High Measure Electric Summer Peak Demand Savings (kW)]],Tbl_MeasureList[#Headers],0))</f>
        <v>0</v>
      </c>
      <c r="AI94" s="656">
        <f ca="1">INDEX(Tbl_MeasureList[],MATCH(Tbl_ROF_MeasureSummary[[#This Row],[Measure ID]:[Measure ID]],Tbl_MeasureList[[Measure ID]:[Measure ID]],0),MATCH(Tbl_ROF_MeasureSummary[[#Headers],[ROF High Measure Natural Gas Annual Consumption Savings (therms/yr)]],Tbl_MeasureList[#Headers],0))</f>
        <v>-857.94183445190151</v>
      </c>
      <c r="AJ94" s="536">
        <f ca="1">INDEX(Tbl_MeasureList[],MATCH(Tbl_ROF_MeasureSummary[[#This Row],[Measure ID]:[Measure ID]],Tbl_MeasureList[[Measure ID]:[Measure ID]],0),MATCH(Tbl_ROF_MeasureSummary[[#Headers],[ROF High Measure Propane Annual Consumption Savings (MMBtu/yr)]],Tbl_MeasureList[#Headers],0))</f>
        <v>96.721311475409834</v>
      </c>
      <c r="AK94" s="656">
        <f ca="1">INDEX(Tbl_MeasureList[],MATCH(Tbl_ROF_MeasureSummary[[#This Row],[Measure ID]:[Measure ID]],Tbl_MeasureList[[Measure ID]:[Measure ID]],0),MATCH(Tbl_ROF_MeasureSummary[[#Headers],[ROF High Measure Oil Annual Consumption Savings (MMBtu/yr)]],Tbl_MeasureList[#Headers],0))</f>
        <v>0</v>
      </c>
      <c r="AL94" s="536">
        <f ca="1">INDEX(Tbl_MeasureList[],MATCH(Tbl_ROF_MeasureSummary[[#This Row],[Measure ID]:[Measure ID]],Tbl_MeasureList[[Measure ID]:[Measure ID]],0),MATCH(Tbl_ROF_MeasureSummary[[#Headers],[ROF High Measure Annual Energy Savings on MMBtu Basis (MMBtu/yr)]],Tbl_MeasureList[#Headers],0))</f>
        <v>10.534748030219674</v>
      </c>
      <c r="AM94" s="656">
        <f ca="1">INDEX(Tbl_MeasureList[],MATCH(Tbl_ROF_MeasureSummary[[#This Row],[Measure ID]:[Measure ID]],Tbl_MeasureList[[Measure ID]:[Measure ID]],0),MATCH(Tbl_ROF_MeasureSummary[[#Headers],[ROF High Measure Carbon Emissions Reduction, Site (tons CO2/yr)]],Tbl_MeasureList[#Headers],0))</f>
        <v>1.7031714159973594</v>
      </c>
      <c r="AN94" s="540">
        <f ca="1">INDEX(Tbl_MeasureList[],MATCH(Tbl_ROF_MeasureSummary[[#This Row],[Measure ID]:[Measure ID]],Tbl_MeasureList[[Measure ID]:[Measure ID]],0),MATCH(Tbl_ROF_MeasureSummary[[#Headers],[ROF High Measure Carbon Emissions Reduction, Source (tons CO2/yr)]],Tbl_MeasureList[#Headers],0))</f>
        <v>1.6625580159973596</v>
      </c>
      <c r="AO94" s="538">
        <f ca="1">INDEX(Tbl_MeasureList[],MATCH(Tbl_ROF_MeasureSummary[[#This Row],[Measure ID]:[Measure ID]],Tbl_MeasureList[[Measure ID]:[Measure ID]],0),MATCH(Tbl_ROF_MeasureSummary[[#Headers],[Current ROF Low Measure Coal Source Fuel Savings (lbs coal/year)]],Tbl_MeasureList[#Headers],0))</f>
        <v>-1.274527784350463</v>
      </c>
      <c r="AP94" s="397">
        <f ca="1">INDEX(Tbl_MeasureList[],MATCH(Tbl_ROF_MeasureSummary[[#This Row],[Measure ID]:[Measure ID]],Tbl_MeasureList[[Measure ID]:[Measure ID]],0),MATCH(Tbl_ROF_MeasureSummary[[#Headers],[Current ROF Low Measure Oil Total Fuel Savings (gallons oil/year)]],Tbl_MeasureList[#Headers],0))</f>
        <v>-0.12125421643673746</v>
      </c>
      <c r="AQ94" s="540">
        <f ca="1">INDEX(Tbl_MeasureList[],MATCH(Tbl_ROF_MeasureSummary[[#This Row],[Measure ID]:[Measure ID]],Tbl_MeasureList[[Measure ID]:[Measure ID]],0),MATCH(Tbl_ROF_MeasureSummary[[#Headers],[Current ROF Low Measure Gas Total Fuel Savings (1,000 cu.ft. gas/year)]],Tbl_MeasureList[#Headers],0))</f>
        <v>-86.004739427402683</v>
      </c>
      <c r="AR94" s="517">
        <f ca="1">INDEX(Tbl_MeasureList[],MATCH(Tbl_ROF_MeasureSummary[[#This Row],[Measure ID]:[Measure ID]],Tbl_MeasureList[[Measure ID]:[Measure ID]],0),MATCH(Tbl_ROF_MeasureSummary[[#Headers],[Current ROF High Measure Coal Source Fuel Savings (lbs coal/year)]],Tbl_MeasureList[#Headers],0))</f>
        <v>-1.1103840545477519</v>
      </c>
      <c r="AS94" s="536">
        <f ca="1">INDEX(Tbl_MeasureList[],MATCH(Tbl_ROF_MeasureSummary[[#This Row],[Measure ID]:[Measure ID]],Tbl_MeasureList[[Measure ID]:[Measure ID]],0),MATCH(Tbl_ROF_MeasureSummary[[#Headers],[Current ROF High Measure Oil Total Fuel Savings (gallons oil/year)]],Tbl_MeasureList[#Headers],0))</f>
        <v>-0.1056381431077637</v>
      </c>
      <c r="AT94" s="397">
        <f ca="1">INDEX(Tbl_MeasureList[],MATCH(Tbl_ROF_MeasureSummary[[#This Row],[Measure ID]:[Measure ID]],Tbl_MeasureList[[Measure ID]:[Measure ID]],0),MATCH(Tbl_ROF_MeasureSummary[[#Headers],[Current ROF High Measure Gas Total Fuel Savings (1,000 cu.ft. gas/year)]],Tbl_MeasureList[#Headers],0))</f>
        <v>-83.833603979509505</v>
      </c>
    </row>
    <row r="95" spans="2:46" x14ac:dyDescent="0.2">
      <c r="B95" s="16"/>
      <c r="C95" s="44" t="s">
        <v>96</v>
      </c>
      <c r="D95" s="31" t="str">
        <f>INDEX(Tbl_MeasureList[],MATCH(Tbl_ROF_MeasureSummary[[#This Row],[Measure ID]:[Measure ID]],Tbl_MeasureList[[Measure ID]:[Measure ID]],0),MATCH(Tbl_ROF_MeasureSummary[[#Headers],[Baseline Equipment ID]],Tbl_MeasureList[#Headers],0))</f>
        <v>EQUI017</v>
      </c>
      <c r="E95" s="525" t="str">
        <f>INDEX(Tbl_MeasureList[],MATCH(Tbl_ROF_MeasureSummary[[#This Row],[Measure ID]:[Measure ID]],Tbl_MeasureList[[Measure ID]:[Measure ID]],0),MATCH(Tbl_ROF_MeasureSummary[[#Headers],[Replacement ID]],Tbl_MeasureList[#Headers],0))</f>
        <v>EQUI019</v>
      </c>
      <c r="F95" s="31" t="str">
        <f>INDEX(Tbl_MeasureList[],MATCH(Tbl_ROF_MeasureSummary[[#This Row],[Measure ID]:[Measure ID]],Tbl_MeasureList[[Measure ID]:[Measure ID]],0),MATCH(Tbl_ROF_MeasureSummary[[#Headers],[Baseline Name]],Tbl_MeasureList[#Headers],0))</f>
        <v>Oil Boiler+Indirect WH</v>
      </c>
      <c r="G95" s="525" t="str">
        <f>INDEX(Tbl_MeasureList[],MATCH(Tbl_ROF_MeasureSummary[[#This Row],[Measure ID]:[Measure ID]],Tbl_MeasureList[[Measure ID]:[Measure ID]],0),MATCH(Tbl_ROF_MeasureSummary[[#Headers],[Replacement Name]],Tbl_MeasureList[#Headers],0))</f>
        <v>Gas Boiler+Indirect WH</v>
      </c>
      <c r="H95" s="31"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Oil Boiler+Indirect WH to Gas Boiler+Indirect WH</v>
      </c>
      <c r="I95" s="525">
        <f>INDEX(Tbl_MeasureList[],MATCH(Tbl_ROF_MeasureSummary[[#This Row],[Measure ID]:[Measure ID]],Tbl_MeasureList[[Measure ID]:[Measure ID]],0),MATCH(Tbl_ROF_MeasureSummary[[#Headers],[New Unit Equipment Life (years)]],Tbl_MeasureList[#Headers],0))</f>
        <v>20</v>
      </c>
      <c r="J95" s="31" t="str">
        <f>INDEX(Tbl_MeasureList[],MATCH(Tbl_ROF_MeasureSummary[[#This Row],[Measure ID]:[Measure ID]],Tbl_MeasureList[[Measure ID]:[Measure ID]],0),MATCH(Tbl_ROF_MeasureSummary[[#Headers],[Baseline Function]],Tbl_MeasureList[#Headers],0))</f>
        <v>Heat+HW</v>
      </c>
      <c r="K95" s="525" t="str">
        <f>INDEX(Tbl_MeasureList[],MATCH(Tbl_ROF_MeasureSummary[[#This Row],[Measure ID]:[Measure ID]],Tbl_MeasureList[[Measure ID]:[Measure ID]],0),MATCH(Tbl_ROF_MeasureSummary[[#Headers],[Replacement Function]],Tbl_MeasureList[#Headers],0))</f>
        <v>Heat+HW</v>
      </c>
      <c r="L95" s="31" t="str">
        <f>INDEX(Tbl_MeasureList[],MATCH(Tbl_ROF_MeasureSummary[[#This Row],[Measure ID]:[Measure ID]],Tbl_MeasureList[[Measure ID]:[Measure ID]],0),MATCH(Tbl_ROF_MeasureSummary[[#Headers],[Keep Existing Heating Equipment?]],Tbl_MeasureList[#Headers],0))</f>
        <v>No</v>
      </c>
      <c r="M95" s="298"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Oil</v>
      </c>
      <c r="N95" s="543"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Natural Gas</v>
      </c>
      <c r="O95" s="528"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75% AFUE, UA 4.1 Btu/hr-F</v>
      </c>
      <c r="P95" s="545"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84% AFUE, UA 4.1 Btu/hr-F</v>
      </c>
      <c r="Q95" s="528"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90% AFUE (87.2% actual)</v>
      </c>
      <c r="R95" s="547"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95% AFUE (89.4% actual)</v>
      </c>
      <c r="S95" s="530">
        <f ca="1">INDEX(Tbl_MeasureList[],MATCH(Tbl_ROF_MeasureSummary[[#This Row],[Measure ID]:[Measure ID]],Tbl_MeasureList[[Measure ID]:[Measure ID]],0),MATCH(Tbl_ROF_MeasureSummary[[#Headers],[ROF Low Measure Energy Cost Savings (USD/yr)]],Tbl_MeasureList[#Headers],0))</f>
        <v>696.31904102612225</v>
      </c>
      <c r="T95" s="394">
        <f ca="1">INDEX(Tbl_MeasureList[],MATCH(Tbl_ROF_MeasureSummary[[#This Row],[Measure ID]:[Measure ID]],Tbl_MeasureList[[Measure ID]:[Measure ID]],0),MATCH(T$84,Tbl_MeasureList[#Headers],0))</f>
        <v>7944</v>
      </c>
      <c r="U95" s="532">
        <f ca="1">INDEX(Tbl_MeasureList[],MATCH(Tbl_ROF_MeasureSummary[[#This Row],[Measure ID]:[Measure ID]],Tbl_MeasureList[[Measure ID]:[Measure ID]],0),MATCH(Tbl_ROF_MeasureSummary[[#Headers],[ROF Low Measure Electric Annual Consumption Savings (kWh/yr)]],Tbl_MeasureList[#Headers],0))</f>
        <v>-99</v>
      </c>
      <c r="V95" s="396">
        <f ca="1">INDEX(Tbl_MeasureList[],MATCH(Tbl_ROF_MeasureSummary[[#This Row],[Measure ID]:[Measure ID]],Tbl_MeasureList[[Measure ID]:[Measure ID]],0),MATCH(Tbl_ROF_MeasureSummary[[#Headers],[ROF Low Measure Electric Winter Peak Demand Savings (kW)]],Tbl_MeasureList[#Headers],0))</f>
        <v>-1.5186960690316387E-2</v>
      </c>
      <c r="W95" s="534">
        <f ca="1">INDEX(Tbl_MeasureList[],MATCH(Tbl_ROF_MeasureSummary[[#This Row],[Measure ID]:[Measure ID]],Tbl_MeasureList[[Measure ID]:[Measure ID]],0),MATCH(Tbl_ROF_MeasureSummary[[#Headers],[ROF Low Measure Electric Summer Peak Demand Savings (kW)]],Tbl_MeasureList[#Headers],0))</f>
        <v>0</v>
      </c>
      <c r="X95" s="656">
        <f ca="1">INDEX(Tbl_MeasureList[],MATCH(Tbl_ROF_MeasureSummary[[#This Row],[Measure ID]:[Measure ID]],Tbl_MeasureList[[Measure ID]:[Measure ID]],0),MATCH(Tbl_ROF_MeasureSummary[[#Headers],[ROF Low Measure Natural Gas Annual Consumption Savings (therms/yr)]],Tbl_MeasureList[#Headers],0))</f>
        <v>-1059.5848623853212</v>
      </c>
      <c r="Y95" s="536">
        <f ca="1">INDEX(Tbl_MeasureList[],MATCH(Tbl_ROF_MeasureSummary[[#This Row],[Measure ID]:[Measure ID]],Tbl_MeasureList[[Measure ID]:[Measure ID]],0),MATCH(Tbl_ROF_MeasureSummary[[#Headers],[ROF Low Measure Propane Annual Consumption Savings (MMBtu/yr)]],Tbl_MeasureList[#Headers],0))</f>
        <v>0</v>
      </c>
      <c r="Z95" s="656">
        <f ca="1">INDEX(Tbl_MeasureList[],MATCH(Tbl_ROF_MeasureSummary[[#This Row],[Measure ID]:[Measure ID]],Tbl_MeasureList[[Measure ID]:[Measure ID]],0),MATCH(Tbl_ROF_MeasureSummary[[#Headers],[ROF Low Measure Oil Annual Consumption Savings (MMBtu/yr)]],Tbl_MeasureList[#Headers],0))</f>
        <v>109.99500000000002</v>
      </c>
      <c r="AA95" s="661">
        <f ca="1">INDEX(Tbl_MeasureList[],MATCH(Tbl_ROF_MeasureSummary[[#This Row],[Measure ID]:[Measure ID]],Tbl_MeasureList[[Measure ID]:[Measure ID]],0),MATCH(Tbl_ROF_MeasureSummary[[#Headers],[ROF Low Measure Annual Energy Savings on MMBtu Basis (MMBtu/yr)]],Tbl_MeasureList[#Headers],0))</f>
        <v>3.6987257614678981</v>
      </c>
      <c r="AB95" s="656">
        <f ca="1">INDEX(Tbl_MeasureList[],MATCH(Tbl_ROF_MeasureSummary[[#This Row],[Measure ID]:[Measure ID]],Tbl_MeasureList[[Measure ID]:[Measure ID]],0),MATCH(Tbl_ROF_MeasureSummary[[#Headers],[ROF Low Measure Carbon Emissions Reduction, Site (tons CO2/yr)]],Tbl_MeasureList[#Headers],0))</f>
        <v>2.6725253050458742</v>
      </c>
      <c r="AC95" s="540">
        <f ca="1">INDEX(Tbl_MeasureList[],MATCH(Tbl_ROF_MeasureSummary[[#This Row],[Measure ID]:[Measure ID]],Tbl_MeasureList[[Measure ID]:[Measure ID]],0),MATCH(Tbl_ROF_MeasureSummary[[#Headers],[ROF Low Measure Carbon Emissions Reduction, Source (tons CO2/yr)]],Tbl_MeasureList[#Headers],0))</f>
        <v>2.6375624650458738</v>
      </c>
      <c r="AD95" s="530">
        <f ca="1">INDEX(Tbl_MeasureList[],MATCH(Tbl_ROF_MeasureSummary[[#This Row],[Measure ID]:[Measure ID]],Tbl_MeasureList[[Measure ID]:[Measure ID]],0),MATCH(Tbl_ROF_MeasureSummary[[#Headers],[ROF High Measure Energy Cost Savings (USD/yr)]],Tbl_MeasureList[#Headers],0))</f>
        <v>741.74028579861169</v>
      </c>
      <c r="AE95" s="394">
        <f ca="1">INDEX(Tbl_MeasureList[],MATCH(Tbl_ROF_MeasureSummary[[#This Row],[Measure ID]:[Measure ID]],Tbl_MeasureList[[Measure ID]:[Measure ID]],0),MATCH(AE$84,Tbl_MeasureList[#Headers],0))</f>
        <v>8205</v>
      </c>
      <c r="AF95" s="532">
        <f ca="1">INDEX(Tbl_MeasureList[],MATCH(Tbl_ROF_MeasureSummary[[#This Row],[Measure ID]:[Measure ID]],Tbl_MeasureList[[Measure ID]:[Measure ID]],0),MATCH(Tbl_ROF_MeasureSummary[[#Headers],[ROF High Measure Electric Annual Consumption Savings (kWh/yr)]],Tbl_MeasureList[#Headers],0))</f>
        <v>-82</v>
      </c>
      <c r="AG95" s="396">
        <f ca="1">INDEX(Tbl_MeasureList[],MATCH(Tbl_ROF_MeasureSummary[[#This Row],[Measure ID]:[Measure ID]],Tbl_MeasureList[[Measure ID]:[Measure ID]],0),MATCH(Tbl_ROF_MeasureSummary[[#Headers],[ROF High Measure Electric Winter Peak Demand Savings (kW)]],Tbl_MeasureList[#Headers],0))</f>
        <v>-1.2579098753595391E-2</v>
      </c>
      <c r="AH95" s="534">
        <f ca="1">INDEX(Tbl_MeasureList[],MATCH(Tbl_ROF_MeasureSummary[[#This Row],[Measure ID]:[Measure ID]],Tbl_MeasureList[[Measure ID]:[Measure ID]],0),MATCH(Tbl_ROF_MeasureSummary[[#Headers],[ROF High Measure Electric Summer Peak Demand Savings (kW)]],Tbl_MeasureList[#Headers],0))</f>
        <v>0</v>
      </c>
      <c r="AI95" s="656">
        <f ca="1">INDEX(Tbl_MeasureList[],MATCH(Tbl_ROF_MeasureSummary[[#This Row],[Measure ID]:[Measure ID]],Tbl_MeasureList[[Measure ID]:[Measure ID]],0),MATCH(Tbl_ROF_MeasureSummary[[#Headers],[ROF High Measure Natural Gas Annual Consumption Savings (therms/yr)]],Tbl_MeasureList[#Headers],0))</f>
        <v>-1033.510067114094</v>
      </c>
      <c r="AJ95" s="536">
        <f ca="1">INDEX(Tbl_MeasureList[],MATCH(Tbl_ROF_MeasureSummary[[#This Row],[Measure ID]:[Measure ID]],Tbl_MeasureList[[Measure ID]:[Measure ID]],0),MATCH(Tbl_ROF_MeasureSummary[[#Headers],[ROF High Measure Propane Annual Consumption Savings (MMBtu/yr)]],Tbl_MeasureList[#Headers],0))</f>
        <v>0</v>
      </c>
      <c r="AK95" s="656">
        <f ca="1">INDEX(Tbl_MeasureList[],MATCH(Tbl_ROF_MeasureSummary[[#This Row],[Measure ID]:[Measure ID]],Tbl_MeasureList[[Measure ID]:[Measure ID]],0),MATCH(Tbl_ROF_MeasureSummary[[#Headers],[ROF High Measure Oil Annual Consumption Savings (MMBtu/yr)]],Tbl_MeasureList[#Headers],0))</f>
        <v>109.99500000000002</v>
      </c>
      <c r="AL95" s="536">
        <f ca="1">INDEX(Tbl_MeasureList[],MATCH(Tbl_ROF_MeasureSummary[[#This Row],[Measure ID]:[Measure ID]],Tbl_MeasureList[[Measure ID]:[Measure ID]],0),MATCH(Tbl_ROF_MeasureSummary[[#Headers],[ROF High Measure Annual Energy Savings on MMBtu Basis (MMBtu/yr)]],Tbl_MeasureList[#Headers],0))</f>
        <v>6.3642092885906152</v>
      </c>
      <c r="AM95" s="656">
        <f ca="1">INDEX(Tbl_MeasureList[],MATCH(Tbl_ROF_MeasureSummary[[#This Row],[Measure ID]:[Measure ID]],Tbl_MeasureList[[Measure ID]:[Measure ID]],0),MATCH(Tbl_ROF_MeasureSummary[[#Headers],[ROF High Measure Carbon Emissions Reduction, Site (tons CO2/yr)]],Tbl_MeasureList[#Headers],0))</f>
        <v>2.8250628573825534</v>
      </c>
      <c r="AN95" s="540">
        <f ca="1">INDEX(Tbl_MeasureList[],MATCH(Tbl_ROF_MeasureSummary[[#This Row],[Measure ID]:[Measure ID]],Tbl_MeasureList[[Measure ID]:[Measure ID]],0),MATCH(Tbl_ROF_MeasureSummary[[#Headers],[ROF High Measure Carbon Emissions Reduction, Source (tons CO2/yr)]],Tbl_MeasureList[#Headers],0))</f>
        <v>2.7961037373825528</v>
      </c>
      <c r="AO95" s="538">
        <f ca="1">INDEX(Tbl_MeasureList[],MATCH(Tbl_ROF_MeasureSummary[[#This Row],[Measure ID]:[Measure ID]],Tbl_MeasureList[[Measure ID]:[Measure ID]],0),MATCH(Tbl_ROF_MeasureSummary[[#Headers],[Current ROF Low Measure Coal Source Fuel Savings (lbs coal/year)]],Tbl_MeasureList[#Headers],0))</f>
        <v>-0.9558958382628473</v>
      </c>
      <c r="AP95" s="397">
        <f ca="1">INDEX(Tbl_MeasureList[],MATCH(Tbl_ROF_MeasureSummary[[#This Row],[Measure ID]:[Measure ID]],Tbl_MeasureList[[Measure ID]:[Measure ID]],0),MATCH(Tbl_ROF_MeasureSummary[[#Headers],[Current ROF Low Measure Oil Total Fuel Savings (gallons oil/year)]],Tbl_MeasureList[#Headers],0))</f>
        <v>797.29207430740689</v>
      </c>
      <c r="AQ95" s="540">
        <f ca="1">INDEX(Tbl_MeasureList[],MATCH(Tbl_ROF_MeasureSummary[[#This Row],[Measure ID]:[Measure ID]],Tbl_MeasureList[[Measure ID]:[Measure ID]],0),MATCH(Tbl_ROF_MeasureSummary[[#Headers],[Current ROF Low Measure Gas Total Fuel Savings (1,000 cu.ft. gas/year)]],Tbl_MeasureList[#Headers],0))</f>
        <v>-103.36599338618313</v>
      </c>
      <c r="AR95" s="517">
        <f ca="1">INDEX(Tbl_MeasureList[],MATCH(Tbl_ROF_MeasureSummary[[#This Row],[Measure ID]:[Measure ID]],Tbl_MeasureList[[Measure ID]:[Measure ID]],0),MATCH(Tbl_ROF_MeasureSummary[[#Headers],[Current ROF High Measure Coal Source Fuel Savings (lbs coal/year)]],Tbl_MeasureList[#Headers],0))</f>
        <v>-0.79175210846013611</v>
      </c>
      <c r="AS95" s="536">
        <f ca="1">INDEX(Tbl_MeasureList[],MATCH(Tbl_ROF_MeasureSummary[[#This Row],[Measure ID]:[Measure ID]],Tbl_MeasureList[[Measure ID]:[Measure ID]],0),MATCH(Tbl_ROF_MeasureSummary[[#Headers],[Current ROF High Measure Oil Total Fuel Savings (gallons oil/year)]],Tbl_MeasureList[#Headers],0))</f>
        <v>797.30769038073583</v>
      </c>
      <c r="AT95" s="397">
        <f ca="1">INDEX(Tbl_MeasureList[],MATCH(Tbl_ROF_MeasureSummary[[#This Row],[Measure ID]:[Measure ID]],Tbl_MeasureList[[Measure ID]:[Measure ID]],0),MATCH(Tbl_ROF_MeasureSummary[[#Headers],[Current ROF High Measure Gas Total Fuel Savings (1,000 cu.ft. gas/year)]],Tbl_MeasureList[#Headers],0))</f>
        <v>-100.76439401605224</v>
      </c>
    </row>
    <row r="96" spans="2:46" x14ac:dyDescent="0.2">
      <c r="B96" s="16"/>
      <c r="C96" s="44" t="s">
        <v>97</v>
      </c>
      <c r="D96" s="31" t="str">
        <f>INDEX(Tbl_MeasureList[],MATCH(Tbl_ROF_MeasureSummary[[#This Row],[Measure ID]:[Measure ID]],Tbl_MeasureList[[Measure ID]:[Measure ID]],0),MATCH(Tbl_ROF_MeasureSummary[[#Headers],[Baseline Equipment ID]],Tbl_MeasureList[#Headers],0))</f>
        <v>EQUI018</v>
      </c>
      <c r="E96" s="525" t="str">
        <f>INDEX(Tbl_MeasureList[],MATCH(Tbl_ROF_MeasureSummary[[#This Row],[Measure ID]:[Measure ID]],Tbl_MeasureList[[Measure ID]:[Measure ID]],0),MATCH(Tbl_ROF_MeasureSummary[[#Headers],[Replacement ID]],Tbl_MeasureList[#Headers],0))</f>
        <v>EQUI019</v>
      </c>
      <c r="F96" s="31" t="str">
        <f>INDEX(Tbl_MeasureList[],MATCH(Tbl_ROF_MeasureSummary[[#This Row],[Measure ID]:[Measure ID]],Tbl_MeasureList[[Measure ID]:[Measure ID]],0),MATCH(Tbl_ROF_MeasureSummary[[#Headers],[Baseline Name]],Tbl_MeasureList[#Headers],0))</f>
        <v>Propane Boiler+Indirect WH</v>
      </c>
      <c r="G96" s="525" t="str">
        <f>INDEX(Tbl_MeasureList[],MATCH(Tbl_ROF_MeasureSummary[[#This Row],[Measure ID]:[Measure ID]],Tbl_MeasureList[[Measure ID]:[Measure ID]],0),MATCH(Tbl_ROF_MeasureSummary[[#Headers],[Replacement Name]],Tbl_MeasureList[#Headers],0))</f>
        <v>Gas Boiler+Indirect WH</v>
      </c>
      <c r="H96" s="31"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Propane Boiler+Indirect WH to Gas Boiler+Indirect WH</v>
      </c>
      <c r="I96" s="525">
        <f>INDEX(Tbl_MeasureList[],MATCH(Tbl_ROF_MeasureSummary[[#This Row],[Measure ID]:[Measure ID]],Tbl_MeasureList[[Measure ID]:[Measure ID]],0),MATCH(Tbl_ROF_MeasureSummary[[#Headers],[New Unit Equipment Life (years)]],Tbl_MeasureList[#Headers],0))</f>
        <v>20</v>
      </c>
      <c r="J96" s="31" t="str">
        <f>INDEX(Tbl_MeasureList[],MATCH(Tbl_ROF_MeasureSummary[[#This Row],[Measure ID]:[Measure ID]],Tbl_MeasureList[[Measure ID]:[Measure ID]],0),MATCH(Tbl_ROF_MeasureSummary[[#Headers],[Baseline Function]],Tbl_MeasureList[#Headers],0))</f>
        <v>Heat+HW</v>
      </c>
      <c r="K96" s="525" t="str">
        <f>INDEX(Tbl_MeasureList[],MATCH(Tbl_ROF_MeasureSummary[[#This Row],[Measure ID]:[Measure ID]],Tbl_MeasureList[[Measure ID]:[Measure ID]],0),MATCH(Tbl_ROF_MeasureSummary[[#Headers],[Replacement Function]],Tbl_MeasureList[#Headers],0))</f>
        <v>Heat+HW</v>
      </c>
      <c r="L96" s="31" t="str">
        <f>INDEX(Tbl_MeasureList[],MATCH(Tbl_ROF_MeasureSummary[[#This Row],[Measure ID]:[Measure ID]],Tbl_MeasureList[[Measure ID]:[Measure ID]],0),MATCH(Tbl_ROF_MeasureSummary[[#Headers],[Keep Existing Heating Equipment?]],Tbl_MeasureList[#Headers],0))</f>
        <v>No</v>
      </c>
      <c r="M96" s="298"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Propane</v>
      </c>
      <c r="N96" s="543"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Natural Gas</v>
      </c>
      <c r="O96" s="528"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75% AFUE, UA 4.1 Btu/hr-F</v>
      </c>
      <c r="P96" s="545"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82% AFUE (79.3% actual), UA 4.1 Btu/hr-F</v>
      </c>
      <c r="Q96" s="528"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90% AFUE (87.2% actual)</v>
      </c>
      <c r="R96" s="547"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95% AFUE (89.4% actual)</v>
      </c>
      <c r="S96" s="530">
        <f ca="1">INDEX(Tbl_MeasureList[],MATCH(Tbl_ROF_MeasureSummary[[#This Row],[Measure ID]:[Measure ID]],Tbl_MeasureList[[Measure ID]:[Measure ID]],0),MATCH(Tbl_ROF_MeasureSummary[[#Headers],[ROF Low Measure Energy Cost Savings (USD/yr)]],Tbl_MeasureList[#Headers],0))</f>
        <v>2210.1815410150675</v>
      </c>
      <c r="T96" s="394">
        <f ca="1">INDEX(Tbl_MeasureList[],MATCH(Tbl_ROF_MeasureSummary[[#This Row],[Measure ID]:[Measure ID]],Tbl_MeasureList[[Measure ID]:[Measure ID]],0),MATCH(T$84,Tbl_MeasureList[#Headers],0))</f>
        <v>8215</v>
      </c>
      <c r="U96" s="532">
        <f ca="1">INDEX(Tbl_MeasureList[],MATCH(Tbl_ROF_MeasureSummary[[#This Row],[Measure ID]:[Measure ID]],Tbl_MeasureList[[Measure ID]:[Measure ID]],0),MATCH(Tbl_ROF_MeasureSummary[[#Headers],[ROF Low Measure Electric Annual Consumption Savings (kWh/yr)]],Tbl_MeasureList[#Headers],0))</f>
        <v>-132</v>
      </c>
      <c r="V96" s="396">
        <f ca="1">INDEX(Tbl_MeasureList[],MATCH(Tbl_ROF_MeasureSummary[[#This Row],[Measure ID]:[Measure ID]],Tbl_MeasureList[[Measure ID]:[Measure ID]],0),MATCH(Tbl_ROF_MeasureSummary[[#Headers],[ROF Low Measure Electric Winter Peak Demand Savings (kW)]],Tbl_MeasureList[#Headers],0))</f>
        <v>-1.3039309683604984E-2</v>
      </c>
      <c r="W96" s="534">
        <f ca="1">INDEX(Tbl_MeasureList[],MATCH(Tbl_ROF_MeasureSummary[[#This Row],[Measure ID]:[Measure ID]],Tbl_MeasureList[[Measure ID]:[Measure ID]],0),MATCH(Tbl_ROF_MeasureSummary[[#Headers],[ROF Low Measure Electric Summer Peak Demand Savings (kW)]],Tbl_MeasureList[#Headers],0))</f>
        <v>0</v>
      </c>
      <c r="X96" s="656">
        <f ca="1">INDEX(Tbl_MeasureList[],MATCH(Tbl_ROF_MeasureSummary[[#This Row],[Measure ID]:[Measure ID]],Tbl_MeasureList[[Measure ID]:[Measure ID]],0),MATCH(Tbl_ROF_MeasureSummary[[#Headers],[ROF Low Measure Natural Gas Annual Consumption Savings (therms/yr)]],Tbl_MeasureList[#Headers],0))</f>
        <v>-1029.7683486238532</v>
      </c>
      <c r="Y96" s="536">
        <f ca="1">INDEX(Tbl_MeasureList[],MATCH(Tbl_ROF_MeasureSummary[[#This Row],[Measure ID]:[Measure ID]],Tbl_MeasureList[[Measure ID]:[Measure ID]],0),MATCH(Tbl_ROF_MeasureSummary[[#Headers],[ROF Low Measure Propane Annual Consumption Savings (MMBtu/yr)]],Tbl_MeasureList[#Headers],0))</f>
        <v>109.50707317073172</v>
      </c>
      <c r="Z96" s="656">
        <f ca="1">INDEX(Tbl_MeasureList[],MATCH(Tbl_ROF_MeasureSummary[[#This Row],[Measure ID]:[Measure ID]],Tbl_MeasureList[[Measure ID]:[Measure ID]],0),MATCH(Tbl_ROF_MeasureSummary[[#Headers],[ROF Low Measure Oil Annual Consumption Savings (MMBtu/yr)]],Tbl_MeasureList[#Headers],0))</f>
        <v>0</v>
      </c>
      <c r="AA96" s="661">
        <f ca="1">INDEX(Tbl_MeasureList[],MATCH(Tbl_ROF_MeasureSummary[[#This Row],[Measure ID]:[Measure ID]],Tbl_MeasureList[[Measure ID]:[Measure ID]],0),MATCH(Tbl_ROF_MeasureSummary[[#Headers],[ROF Low Measure Annual Energy Savings on MMBtu Basis (MMBtu/yr)]],Tbl_MeasureList[#Headers],0))</f>
        <v>6.0798543083463983</v>
      </c>
      <c r="AB96" s="656">
        <f ca="1">INDEX(Tbl_MeasureList[],MATCH(Tbl_ROF_MeasureSummary[[#This Row],[Measure ID]:[Measure ID]],Tbl_MeasureList[[Measure ID]:[Measure ID]],0),MATCH(Tbl_ROF_MeasureSummary[[#Headers],[ROF Low Measure Carbon Emissions Reduction, Site (tons CO2/yr)]],Tbl_MeasureList[#Headers],0))</f>
        <v>1.5865967459163137</v>
      </c>
      <c r="AC96" s="540">
        <f ca="1">INDEX(Tbl_MeasureList[],MATCH(Tbl_ROF_MeasureSummary[[#This Row],[Measure ID]:[Measure ID]],Tbl_MeasureList[[Measure ID]:[Measure ID]],0),MATCH(Tbl_ROF_MeasureSummary[[#Headers],[ROF Low Measure Carbon Emissions Reduction, Source (tons CO2/yr)]],Tbl_MeasureList[#Headers],0))</f>
        <v>1.5399796259163132</v>
      </c>
      <c r="AD96" s="530">
        <f ca="1">INDEX(Tbl_MeasureList[],MATCH(Tbl_ROF_MeasureSummary[[#This Row],[Measure ID]:[Measure ID]],Tbl_MeasureList[[Measure ID]:[Measure ID]],0),MATCH(Tbl_ROF_MeasureSummary[[#Headers],[ROF High Measure Energy Cost Savings (USD/yr)]],Tbl_MeasureList[#Headers],0))</f>
        <v>2254.4192636316966</v>
      </c>
      <c r="AE96" s="394">
        <f ca="1">INDEX(Tbl_MeasureList[],MATCH(Tbl_ROF_MeasureSummary[[#This Row],[Measure ID]:[Measure ID]],Tbl_MeasureList[[Measure ID]:[Measure ID]],0),MATCH(AE$84,Tbl_MeasureList[#Headers],0))</f>
        <v>8476</v>
      </c>
      <c r="AF96" s="532">
        <f ca="1">INDEX(Tbl_MeasureList[],MATCH(Tbl_ROF_MeasureSummary[[#This Row],[Measure ID]:[Measure ID]],Tbl_MeasureList[[Measure ID]:[Measure ID]],0),MATCH(Tbl_ROF_MeasureSummary[[#Headers],[ROF High Measure Electric Annual Consumption Savings (kWh/yr)]],Tbl_MeasureList[#Headers],0))</f>
        <v>-115</v>
      </c>
      <c r="AG96" s="396">
        <f ca="1">INDEX(Tbl_MeasureList[],MATCH(Tbl_ROF_MeasureSummary[[#This Row],[Measure ID]:[Measure ID]],Tbl_MeasureList[[Measure ID]:[Measure ID]],0),MATCH(Tbl_ROF_MeasureSummary[[#Headers],[ROF High Measure Electric Winter Peak Demand Savings (kW)]],Tbl_MeasureList[#Headers],0))</f>
        <v>-1.0431447746883989E-2</v>
      </c>
      <c r="AH96" s="534">
        <f ca="1">INDEX(Tbl_MeasureList[],MATCH(Tbl_ROF_MeasureSummary[[#This Row],[Measure ID]:[Measure ID]],Tbl_MeasureList[[Measure ID]:[Measure ID]],0),MATCH(Tbl_ROF_MeasureSummary[[#Headers],[ROF High Measure Electric Summer Peak Demand Savings (kW)]],Tbl_MeasureList[#Headers],0))</f>
        <v>0</v>
      </c>
      <c r="AI96" s="656">
        <f ca="1">INDEX(Tbl_MeasureList[],MATCH(Tbl_ROF_MeasureSummary[[#This Row],[Measure ID]:[Measure ID]],Tbl_MeasureList[[Measure ID]:[Measure ID]],0),MATCH(Tbl_ROF_MeasureSummary[[#Headers],[ROF High Measure Natural Gas Annual Consumption Savings (therms/yr)]],Tbl_MeasureList[#Headers],0))</f>
        <v>-1004.4272930648769</v>
      </c>
      <c r="AJ96" s="536">
        <f ca="1">INDEX(Tbl_MeasureList[],MATCH(Tbl_ROF_MeasureSummary[[#This Row],[Measure ID]:[Measure ID]],Tbl_MeasureList[[Measure ID]:[Measure ID]],0),MATCH(Tbl_ROF_MeasureSummary[[#Headers],[ROF High Measure Propane Annual Consumption Savings (MMBtu/yr)]],Tbl_MeasureList[#Headers],0))</f>
        <v>109.50707317073172</v>
      </c>
      <c r="AK96" s="656">
        <f ca="1">INDEX(Tbl_MeasureList[],MATCH(Tbl_ROF_MeasureSummary[[#This Row],[Measure ID]:[Measure ID]],Tbl_MeasureList[[Measure ID]:[Measure ID]],0),MATCH(Tbl_ROF_MeasureSummary[[#Headers],[ROF High Measure Oil Annual Consumption Savings (MMBtu/yr)]],Tbl_MeasureList[#Headers],0))</f>
        <v>0</v>
      </c>
      <c r="AL96" s="536">
        <f ca="1">INDEX(Tbl_MeasureList[],MATCH(Tbl_ROF_MeasureSummary[[#This Row],[Measure ID]:[Measure ID]],Tbl_MeasureList[[Measure ID]:[Measure ID]],0),MATCH(Tbl_ROF_MeasureSummary[[#Headers],[ROF High Measure Annual Energy Savings on MMBtu Basis (MMBtu/yr)]],Tbl_MeasureList[#Headers],0))</f>
        <v>8.6719638642440202</v>
      </c>
      <c r="AM96" s="656">
        <f ca="1">INDEX(Tbl_MeasureList[],MATCH(Tbl_ROF_MeasureSummary[[#This Row],[Measure ID]:[Measure ID]],Tbl_MeasureList[[Measure ID]:[Measure ID]],0),MATCH(Tbl_ROF_MeasureSummary[[#Headers],[ROF High Measure Carbon Emissions Reduction, Site (tons CO2/yr)]],Tbl_MeasureList[#Headers],0))</f>
        <v>1.7348419209363248</v>
      </c>
      <c r="AN96" s="540">
        <f ca="1">INDEX(Tbl_MeasureList[],MATCH(Tbl_ROF_MeasureSummary[[#This Row],[Measure ID]:[Measure ID]],Tbl_MeasureList[[Measure ID]:[Measure ID]],0),MATCH(Tbl_ROF_MeasureSummary[[#Headers],[ROF High Measure Carbon Emissions Reduction, Source (tons CO2/yr)]],Tbl_MeasureList[#Headers],0))</f>
        <v>1.6942285209363241</v>
      </c>
      <c r="AO96" s="538">
        <f ca="1">INDEX(Tbl_MeasureList[],MATCH(Tbl_ROF_MeasureSummary[[#This Row],[Measure ID]:[Measure ID]],Tbl_MeasureList[[Measure ID]:[Measure ID]],0),MATCH(Tbl_ROF_MeasureSummary[[#Headers],[Current ROF Low Measure Coal Source Fuel Savings (lbs coal/year)]],Tbl_MeasureList[#Headers],0))</f>
        <v>-1.274527784350463</v>
      </c>
      <c r="AP96" s="397">
        <f ca="1">INDEX(Tbl_MeasureList[],MATCH(Tbl_ROF_MeasureSummary[[#This Row],[Measure ID]:[Measure ID]],Tbl_MeasureList[[Measure ID]:[Measure ID]],0),MATCH(Tbl_ROF_MeasureSummary[[#Headers],[Current ROF Low Measure Oil Total Fuel Savings (gallons oil/year)]],Tbl_MeasureList[#Headers],0))</f>
        <v>-0.12125421643673746</v>
      </c>
      <c r="AQ96" s="540">
        <f ca="1">INDEX(Tbl_MeasureList[],MATCH(Tbl_ROF_MeasureSummary[[#This Row],[Measure ID]:[Measure ID]],Tbl_MeasureList[[Measure ID]:[Measure ID]],0),MATCH(Tbl_ROF_MeasureSummary[[#Headers],[Current ROF Low Measure Gas Total Fuel Savings (1,000 cu.ft. gas/year)]],Tbl_MeasureList[#Headers],0))</f>
        <v>-100.59960751880701</v>
      </c>
      <c r="AR96" s="517">
        <f ca="1">INDEX(Tbl_MeasureList[],MATCH(Tbl_ROF_MeasureSummary[[#This Row],[Measure ID]:[Measure ID]],Tbl_MeasureList[[Measure ID]:[Measure ID]],0),MATCH(Tbl_ROF_MeasureSummary[[#Headers],[Current ROF High Measure Coal Source Fuel Savings (lbs coal/year)]],Tbl_MeasureList[#Headers],0))</f>
        <v>-1.1103840545477519</v>
      </c>
      <c r="AS96" s="536">
        <f ca="1">INDEX(Tbl_MeasureList[],MATCH(Tbl_ROF_MeasureSummary[[#This Row],[Measure ID]:[Measure ID]],Tbl_MeasureList[[Measure ID]:[Measure ID]],0),MATCH(Tbl_ROF_MeasureSummary[[#Headers],[Current ROF High Measure Oil Total Fuel Savings (gallons oil/year)]],Tbl_MeasureList[#Headers],0))</f>
        <v>-0.1056381431077637</v>
      </c>
      <c r="AT96" s="397">
        <f ca="1">INDEX(Tbl_MeasureList[],MATCH(Tbl_ROF_MeasureSummary[[#This Row],[Measure ID]:[Measure ID]],Tbl_MeasureList[[Measure ID]:[Measure ID]],0),MATCH(Tbl_ROF_MeasureSummary[[#Headers],[Current ROF High Measure Gas Total Fuel Savings (1,000 cu.ft. gas/year)]],Tbl_MeasureList[#Headers],0))</f>
        <v>-98.069314243161131</v>
      </c>
    </row>
    <row r="97" spans="2:46" x14ac:dyDescent="0.2">
      <c r="B97" s="16"/>
      <c r="C97" s="44" t="s">
        <v>98</v>
      </c>
      <c r="D97" s="31" t="str">
        <f>INDEX(Tbl_MeasureList[],MATCH(Tbl_ROF_MeasureSummary[[#This Row],[Measure ID]:[Measure ID]],Tbl_MeasureList[[Measure ID]:[Measure ID]],0),MATCH(Tbl_ROF_MeasureSummary[[#Headers],[Baseline Equipment ID]],Tbl_MeasureList[#Headers],0))</f>
        <v>EQUI003</v>
      </c>
      <c r="E97" s="525" t="str">
        <f>INDEX(Tbl_MeasureList[],MATCH(Tbl_ROF_MeasureSummary[[#This Row],[Measure ID]:[Measure ID]],Tbl_MeasureList[[Measure ID]:[Measure ID]],0),MATCH(Tbl_ROF_MeasureSummary[[#Headers],[Replacement ID]],Tbl_MeasureList[#Headers],0))</f>
        <v>EQUI020</v>
      </c>
      <c r="F97" s="31" t="str">
        <f>INDEX(Tbl_MeasureList[],MATCH(Tbl_ROF_MeasureSummary[[#This Row],[Measure ID]:[Measure ID]],Tbl_MeasureList[[Measure ID]:[Measure ID]],0),MATCH(Tbl_ROF_MeasureSummary[[#Headers],[Baseline Name]],Tbl_MeasureList[#Headers],0))</f>
        <v>Oil Furnace</v>
      </c>
      <c r="G97" s="525" t="str">
        <f>INDEX(Tbl_MeasureList[],MATCH(Tbl_ROF_MeasureSummary[[#This Row],[Measure ID]:[Measure ID]],Tbl_MeasureList[[Measure ID]:[Measure ID]],0),MATCH(Tbl_ROF_MeasureSummary[[#Headers],[Replacement Name]],Tbl_MeasureList[#Headers],0))</f>
        <v>Gas Furnace</v>
      </c>
      <c r="H97" s="31"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Oil Furnace to Gas Furnace</v>
      </c>
      <c r="I97" s="525">
        <f>INDEX(Tbl_MeasureList[],MATCH(Tbl_ROF_MeasureSummary[[#This Row],[Measure ID]:[Measure ID]],Tbl_MeasureList[[Measure ID]:[Measure ID]],0),MATCH(Tbl_ROF_MeasureSummary[[#Headers],[New Unit Equipment Life (years)]],Tbl_MeasureList[#Headers],0))</f>
        <v>17</v>
      </c>
      <c r="J97" s="31" t="str">
        <f>INDEX(Tbl_MeasureList[],MATCH(Tbl_ROF_MeasureSummary[[#This Row],[Measure ID]:[Measure ID]],Tbl_MeasureList[[Measure ID]:[Measure ID]],0),MATCH(Tbl_ROF_MeasureSummary[[#Headers],[Baseline Function]],Tbl_MeasureList[#Headers],0))</f>
        <v>Heat</v>
      </c>
      <c r="K97" s="525" t="str">
        <f>INDEX(Tbl_MeasureList[],MATCH(Tbl_ROF_MeasureSummary[[#This Row],[Measure ID]:[Measure ID]],Tbl_MeasureList[[Measure ID]:[Measure ID]],0),MATCH(Tbl_ROF_MeasureSummary[[#Headers],[Replacement Function]],Tbl_MeasureList[#Headers],0))</f>
        <v>Heat</v>
      </c>
      <c r="L97" s="31" t="str">
        <f>INDEX(Tbl_MeasureList[],MATCH(Tbl_ROF_MeasureSummary[[#This Row],[Measure ID]:[Measure ID]],Tbl_MeasureList[[Measure ID]:[Measure ID]],0),MATCH(Tbl_ROF_MeasureSummary[[#Headers],[Keep Existing Heating Equipment?]],Tbl_MeasureList[#Headers],0))</f>
        <v>No</v>
      </c>
      <c r="M97" s="298"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Oil</v>
      </c>
      <c r="N97" s="543"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Natural Gas</v>
      </c>
      <c r="O97" s="528"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78% AFUE (78.9%)</v>
      </c>
      <c r="P97" s="545"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83% AFUE</v>
      </c>
      <c r="Q97" s="528"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95% AFUE (95.4% actual) w/ ECM fan motor</v>
      </c>
      <c r="R97" s="547"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97% AFUE (97.2% actual) w/ ECM fan motor</v>
      </c>
      <c r="S97" s="530">
        <f ca="1">INDEX(Tbl_MeasureList[],MATCH(Tbl_ROF_MeasureSummary[[#This Row],[Measure ID]:[Measure ID]],Tbl_MeasureList[[Measure ID]:[Measure ID]],0),MATCH(Tbl_ROF_MeasureSummary[[#Headers],[ROF Low Measure Energy Cost Savings (USD/yr)]],Tbl_MeasureList[#Headers],0))</f>
        <v>715.82796481658374</v>
      </c>
      <c r="T97" s="394">
        <f ca="1">INDEX(Tbl_MeasureList[],MATCH(Tbl_ROF_MeasureSummary[[#This Row],[Measure ID]:[Measure ID]],Tbl_MeasureList[[Measure ID]:[Measure ID]],0),MATCH(T$84,Tbl_MeasureList[#Headers],0))</f>
        <v>6058</v>
      </c>
      <c r="U97" s="532">
        <f ca="1">INDEX(Tbl_MeasureList[],MATCH(Tbl_ROF_MeasureSummary[[#This Row],[Measure ID]:[Measure ID]],Tbl_MeasureList[[Measure ID]:[Measure ID]],0),MATCH(Tbl_ROF_MeasureSummary[[#Headers],[ROF Low Measure Electric Annual Consumption Savings (kWh/yr)]],Tbl_MeasureList[#Headers],0))</f>
        <v>166.5</v>
      </c>
      <c r="V97" s="396">
        <f ca="1">INDEX(Tbl_MeasureList[],MATCH(Tbl_ROF_MeasureSummary[[#This Row],[Measure ID]:[Measure ID]],Tbl_MeasureList[[Measure ID]:[Measure ID]],0),MATCH(Tbl_ROF_MeasureSummary[[#Headers],[ROF Low Measure Electric Winter Peak Demand Savings (kW)]],Tbl_MeasureList[#Headers],0))</f>
        <v>1.8969894534995209E-2</v>
      </c>
      <c r="W97" s="534">
        <f ca="1">INDEX(Tbl_MeasureList[],MATCH(Tbl_ROF_MeasureSummary[[#This Row],[Measure ID]:[Measure ID]],Tbl_MeasureList[[Measure ID]:[Measure ID]],0),MATCH(Tbl_ROF_MeasureSummary[[#Headers],[ROF Low Measure Electric Summer Peak Demand Savings (kW)]],Tbl_MeasureList[#Headers],0))</f>
        <v>0</v>
      </c>
      <c r="X97" s="656">
        <f ca="1">INDEX(Tbl_MeasureList[],MATCH(Tbl_ROF_MeasureSummary[[#This Row],[Measure ID]:[Measure ID]],Tbl_MeasureList[[Measure ID]:[Measure ID]],0),MATCH(Tbl_ROF_MeasureSummary[[#Headers],[ROF Low Measure Natural Gas Annual Consumption Savings (therms/yr)]],Tbl_MeasureList[#Headers],0))</f>
        <v>-724.14113207547166</v>
      </c>
      <c r="Y97" s="536">
        <f ca="1">INDEX(Tbl_MeasureList[],MATCH(Tbl_ROF_MeasureSummary[[#This Row],[Measure ID]:[Measure ID]],Tbl_MeasureList[[Measure ID]:[Measure ID]],0),MATCH(Tbl_ROF_MeasureSummary[[#Headers],[ROF Low Measure Propane Annual Consumption Savings (MMBtu/yr)]],Tbl_MeasureList[#Headers],0))</f>
        <v>0</v>
      </c>
      <c r="Z97" s="656">
        <f ca="1">INDEX(Tbl_MeasureList[],MATCH(Tbl_ROF_MeasureSummary[[#This Row],[Measure ID]:[Measure ID]],Tbl_MeasureList[[Measure ID]:[Measure ID]],0),MATCH(Tbl_ROF_MeasureSummary[[#Headers],[ROF Low Measure Oil Annual Consumption Savings (MMBtu/yr)]],Tbl_MeasureList[#Headers],0))</f>
        <v>82.409638554216883</v>
      </c>
      <c r="AA97" s="661">
        <f ca="1">INDEX(Tbl_MeasureList[],MATCH(Tbl_ROF_MeasureSummary[[#This Row],[Measure ID]:[Measure ID]],Tbl_MeasureList[[Measure ID]:[Measure ID]],0),MATCH(Tbl_ROF_MeasureSummary[[#Headers],[ROF Low Measure Annual Energy Savings on MMBtu Basis (MMBtu/yr)]],Tbl_MeasureList[#Headers],0))</f>
        <v>10.563623346669729</v>
      </c>
      <c r="AB97" s="656">
        <f ca="1">INDEX(Tbl_MeasureList[],MATCH(Tbl_ROF_MeasureSummary[[#This Row],[Measure ID]:[Measure ID]],Tbl_MeasureList[[Measure ID]:[Measure ID]],0),MATCH(Tbl_ROF_MeasureSummary[[#Headers],[ROF Low Measure Carbon Emissions Reduction, Site (tons CO2/yr)]],Tbl_MeasureList[#Headers],0))</f>
        <v>2.4101117267560834</v>
      </c>
      <c r="AC97" s="540">
        <f ca="1">INDEX(Tbl_MeasureList[],MATCH(Tbl_ROF_MeasureSummary[[#This Row],[Measure ID]:[Measure ID]],Tbl_MeasureList[[Measure ID]:[Measure ID]],0),MATCH(Tbl_ROF_MeasureSummary[[#Headers],[ROF Low Measure Carbon Emissions Reduction, Source (tons CO2/yr)]],Tbl_MeasureList[#Headers],0))</f>
        <v>2.4689128667560825</v>
      </c>
      <c r="AD97" s="530">
        <f ca="1">INDEX(Tbl_MeasureList[],MATCH(Tbl_ROF_MeasureSummary[[#This Row],[Measure ID]:[Measure ID]],Tbl_MeasureList[[Measure ID]:[Measure ID]],0),MATCH(Tbl_ROF_MeasureSummary[[#Headers],[ROF High Measure Energy Cost Savings (USD/yr)]],Tbl_MeasureList[#Headers],0))</f>
        <v>737.24445678024563</v>
      </c>
      <c r="AE97" s="394">
        <f ca="1">INDEX(Tbl_MeasureList[],MATCH(Tbl_ROF_MeasureSummary[[#This Row],[Measure ID]:[Measure ID]],Tbl_MeasureList[[Measure ID]:[Measure ID]],0),MATCH(AE$84,Tbl_MeasureList[#Headers],0))</f>
        <v>6871</v>
      </c>
      <c r="AF97" s="532">
        <f ca="1">INDEX(Tbl_MeasureList[],MATCH(Tbl_ROF_MeasureSummary[[#This Row],[Measure ID]:[Measure ID]],Tbl_MeasureList[[Measure ID]:[Measure ID]],0),MATCH(Tbl_ROF_MeasureSummary[[#Headers],[ROF High Measure Electric Annual Consumption Savings (kWh/yr)]],Tbl_MeasureList[#Headers],0))</f>
        <v>166.5</v>
      </c>
      <c r="AG97" s="396">
        <f ca="1">INDEX(Tbl_MeasureList[],MATCH(Tbl_ROF_MeasureSummary[[#This Row],[Measure ID]:[Measure ID]],Tbl_MeasureList[[Measure ID]:[Measure ID]],0),MATCH(Tbl_ROF_MeasureSummary[[#Headers],[ROF High Measure Electric Winter Peak Demand Savings (kW)]],Tbl_MeasureList[#Headers],0))</f>
        <v>1.8969894534995209E-2</v>
      </c>
      <c r="AH97" s="534">
        <f ca="1">INDEX(Tbl_MeasureList[],MATCH(Tbl_ROF_MeasureSummary[[#This Row],[Measure ID]:[Measure ID]],Tbl_MeasureList[[Measure ID]:[Measure ID]],0),MATCH(Tbl_ROF_MeasureSummary[[#Headers],[ROF High Measure Electric Summer Peak Demand Savings (kW)]],Tbl_MeasureList[#Headers],0))</f>
        <v>0</v>
      </c>
      <c r="AI97" s="656">
        <f ca="1">INDEX(Tbl_MeasureList[],MATCH(Tbl_ROF_MeasureSummary[[#This Row],[Measure ID]:[Measure ID]],Tbl_MeasureList[[Measure ID]:[Measure ID]],0),MATCH(Tbl_ROF_MeasureSummary[[#Headers],[ROF High Measure Natural Gas Annual Consumption Savings (therms/yr)]],Tbl_MeasureList[#Headers],0))</f>
        <v>-710.86370370370366</v>
      </c>
      <c r="AJ97" s="536">
        <f ca="1">INDEX(Tbl_MeasureList[],MATCH(Tbl_ROF_MeasureSummary[[#This Row],[Measure ID]:[Measure ID]],Tbl_MeasureList[[Measure ID]:[Measure ID]],0),MATCH(Tbl_ROF_MeasureSummary[[#Headers],[ROF High Measure Propane Annual Consumption Savings (MMBtu/yr)]],Tbl_MeasureList[#Headers],0))</f>
        <v>0</v>
      </c>
      <c r="AK97" s="656">
        <f ca="1">INDEX(Tbl_MeasureList[],MATCH(Tbl_ROF_MeasureSummary[[#This Row],[Measure ID]:[Measure ID]],Tbl_MeasureList[[Measure ID]:[Measure ID]],0),MATCH(Tbl_ROF_MeasureSummary[[#Headers],[ROF High Measure Oil Annual Consumption Savings (MMBtu/yr)]],Tbl_MeasureList[#Headers],0))</f>
        <v>82.409638554216883</v>
      </c>
      <c r="AL97" s="536">
        <f ca="1">INDEX(Tbl_MeasureList[],MATCH(Tbl_ROF_MeasureSummary[[#This Row],[Measure ID]:[Measure ID]],Tbl_MeasureList[[Measure ID]:[Measure ID]],0),MATCH(Tbl_ROF_MeasureSummary[[#Headers],[ROF High Measure Annual Energy Savings on MMBtu Basis (MMBtu/yr)]],Tbl_MeasureList[#Headers],0))</f>
        <v>11.891366183846529</v>
      </c>
      <c r="AM97" s="656">
        <f ca="1">INDEX(Tbl_MeasureList[],MATCH(Tbl_ROF_MeasureSummary[[#This Row],[Measure ID]:[Measure ID]],Tbl_MeasureList[[Measure ID]:[Measure ID]],0),MATCH(Tbl_ROF_MeasureSummary[[#Headers],[ROF High Measure Carbon Emissions Reduction, Site (tons CO2/yr)]],Tbl_MeasureList[#Headers],0))</f>
        <v>2.4877846827309256</v>
      </c>
      <c r="AN97" s="540">
        <f ca="1">INDEX(Tbl_MeasureList[],MATCH(Tbl_ROF_MeasureSummary[[#This Row],[Measure ID]:[Measure ID]],Tbl_MeasureList[[Measure ID]:[Measure ID]],0),MATCH(Tbl_ROF_MeasureSummary[[#Headers],[ROF High Measure Carbon Emissions Reduction, Source (tons CO2/yr)]],Tbl_MeasureList[#Headers],0))</f>
        <v>2.5465858227309255</v>
      </c>
      <c r="AO97" s="538">
        <f ca="1">INDEX(Tbl_MeasureList[],MATCH(Tbl_ROF_MeasureSummary[[#This Row],[Measure ID]:[Measure ID]],Tbl_MeasureList[[Measure ID]:[Measure ID]],0),MATCH(Tbl_ROF_MeasureSummary[[#Headers],[Current ROF Low Measure Coal Source Fuel Savings (lbs coal/year)]],Tbl_MeasureList[#Headers],0))</f>
        <v>1.6076430007147886</v>
      </c>
      <c r="AP97" s="397">
        <f ca="1">INDEX(Tbl_MeasureList[],MATCH(Tbl_ROF_MeasureSummary[[#This Row],[Measure ID]:[Measure ID]],Tbl_MeasureList[[Measure ID]:[Measure ID]],0),MATCH(Tbl_ROF_MeasureSummary[[#Headers],[Current ROF Low Measure Oil Total Fuel Savings (gallons oil/year)]],Tbl_MeasureList[#Headers],0))</f>
        <v>597.56233747651993</v>
      </c>
      <c r="AQ97" s="540">
        <f ca="1">INDEX(Tbl_MeasureList[],MATCH(Tbl_ROF_MeasureSummary[[#This Row],[Measure ID]:[Measure ID]],Tbl_MeasureList[[Measure ID]:[Measure ID]],0),MATCH(Tbl_ROF_MeasureSummary[[#Headers],[Current ROF Low Measure Gas Total Fuel Savings (1,000 cu.ft. gas/year)]],Tbl_MeasureList[#Headers],0))</f>
        <v>-69.71115006624153</v>
      </c>
      <c r="AR97" s="517">
        <f ca="1">INDEX(Tbl_MeasureList[],MATCH(Tbl_ROF_MeasureSummary[[#This Row],[Measure ID]:[Measure ID]],Tbl_MeasureList[[Measure ID]:[Measure ID]],0),MATCH(Tbl_ROF_MeasureSummary[[#Headers],[Current ROF High Measure Coal Source Fuel Savings (lbs coal/year)]],Tbl_MeasureList[#Headers],0))</f>
        <v>1.6076430007147886</v>
      </c>
      <c r="AS97" s="536">
        <f ca="1">INDEX(Tbl_MeasureList[],MATCH(Tbl_ROF_MeasureSummary[[#This Row],[Measure ID]:[Measure ID]],Tbl_MeasureList[[Measure ID]:[Measure ID]],0),MATCH(Tbl_ROF_MeasureSummary[[#Headers],[Current ROF High Measure Oil Total Fuel Savings (gallons oil/year)]],Tbl_MeasureList[#Headers],0))</f>
        <v>597.56233747651993</v>
      </c>
      <c r="AT97" s="397">
        <f ca="1">INDEX(Tbl_MeasureList[],MATCH(Tbl_ROF_MeasureSummary[[#This Row],[Measure ID]:[Measure ID]],Tbl_MeasureList[[Measure ID]:[Measure ID]],0),MATCH(Tbl_ROF_MeasureSummary[[#Headers],[Current ROF High Measure Gas Total Fuel Savings (1,000 cu.ft. gas/year)]],Tbl_MeasureList[#Headers],0))</f>
        <v>-68.420826609315583</v>
      </c>
    </row>
    <row r="98" spans="2:46" x14ac:dyDescent="0.2">
      <c r="B98" s="16"/>
      <c r="C98" s="44" t="s">
        <v>99</v>
      </c>
      <c r="D98" s="31" t="str">
        <f>INDEX(Tbl_MeasureList[],MATCH(Tbl_ROF_MeasureSummary[[#This Row],[Measure ID]:[Measure ID]],Tbl_MeasureList[[Measure ID]:[Measure ID]],0),MATCH(Tbl_ROF_MeasureSummary[[#Headers],[Baseline Equipment ID]],Tbl_MeasureList[#Headers],0))</f>
        <v>EQUI004</v>
      </c>
      <c r="E98" s="525" t="str">
        <f>INDEX(Tbl_MeasureList[],MATCH(Tbl_ROF_MeasureSummary[[#This Row],[Measure ID]:[Measure ID]],Tbl_MeasureList[[Measure ID]:[Measure ID]],0),MATCH(Tbl_ROF_MeasureSummary[[#Headers],[Replacement ID]],Tbl_MeasureList[#Headers],0))</f>
        <v>EQUI020</v>
      </c>
      <c r="F98" s="31" t="str">
        <f>INDEX(Tbl_MeasureList[],MATCH(Tbl_ROF_MeasureSummary[[#This Row],[Measure ID]:[Measure ID]],Tbl_MeasureList[[Measure ID]:[Measure ID]],0),MATCH(Tbl_ROF_MeasureSummary[[#Headers],[Baseline Name]],Tbl_MeasureList[#Headers],0))</f>
        <v>Propane Furnace</v>
      </c>
      <c r="G98" s="525" t="str">
        <f>INDEX(Tbl_MeasureList[],MATCH(Tbl_ROF_MeasureSummary[[#This Row],[Measure ID]:[Measure ID]],Tbl_MeasureList[[Measure ID]:[Measure ID]],0),MATCH(Tbl_ROF_MeasureSummary[[#Headers],[Replacement Name]],Tbl_MeasureList[#Headers],0))</f>
        <v>Gas Furnace</v>
      </c>
      <c r="H98" s="31"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Propane Furnace to Gas Furnace</v>
      </c>
      <c r="I98" s="525">
        <f>INDEX(Tbl_MeasureList[],MATCH(Tbl_ROF_MeasureSummary[[#This Row],[Measure ID]:[Measure ID]],Tbl_MeasureList[[Measure ID]:[Measure ID]],0),MATCH(Tbl_ROF_MeasureSummary[[#Headers],[New Unit Equipment Life (years)]],Tbl_MeasureList[#Headers],0))</f>
        <v>17</v>
      </c>
      <c r="J98" s="31" t="str">
        <f>INDEX(Tbl_MeasureList[],MATCH(Tbl_ROF_MeasureSummary[[#This Row],[Measure ID]:[Measure ID]],Tbl_MeasureList[[Measure ID]:[Measure ID]],0),MATCH(Tbl_ROF_MeasureSummary[[#Headers],[Baseline Function]],Tbl_MeasureList[#Headers],0))</f>
        <v>Heat</v>
      </c>
      <c r="K98" s="525" t="str">
        <f>INDEX(Tbl_MeasureList[],MATCH(Tbl_ROF_MeasureSummary[[#This Row],[Measure ID]:[Measure ID]],Tbl_MeasureList[[Measure ID]:[Measure ID]],0),MATCH(Tbl_ROF_MeasureSummary[[#Headers],[Replacement Function]],Tbl_MeasureList[#Headers],0))</f>
        <v>Heat</v>
      </c>
      <c r="L98" s="31" t="str">
        <f>INDEX(Tbl_MeasureList[],MATCH(Tbl_ROF_MeasureSummary[[#This Row],[Measure ID]:[Measure ID]],Tbl_MeasureList[[Measure ID]:[Measure ID]],0),MATCH(Tbl_ROF_MeasureSummary[[#Headers],[Keep Existing Heating Equipment?]],Tbl_MeasureList[#Headers],0))</f>
        <v>No</v>
      </c>
      <c r="M98" s="298"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Propane</v>
      </c>
      <c r="N98" s="543"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Natural Gas</v>
      </c>
      <c r="O98" s="528"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78% AFUE (78.9%)</v>
      </c>
      <c r="P98" s="545"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85% AFUE</v>
      </c>
      <c r="Q98" s="528"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95% AFUE (95.4% actual) w/ ECM fan motor</v>
      </c>
      <c r="R98" s="547"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97% AFUE (97.2% actual) w/ ECM fan motor</v>
      </c>
      <c r="S98" s="530">
        <f ca="1">INDEX(Tbl_MeasureList[],MATCH(Tbl_ROF_MeasureSummary[[#This Row],[Measure ID]:[Measure ID]],Tbl_MeasureList[[Measure ID]:[Measure ID]],0),MATCH(Tbl_ROF_MeasureSummary[[#Headers],[ROF Low Measure Energy Cost Savings (USD/yr)]],Tbl_MeasureList[#Headers],0))</f>
        <v>1757.2426629981069</v>
      </c>
      <c r="T98" s="394">
        <f ca="1">INDEX(Tbl_MeasureList[],MATCH(Tbl_ROF_MeasureSummary[[#This Row],[Measure ID]:[Measure ID]],Tbl_MeasureList[[Measure ID]:[Measure ID]],0),MATCH(T$84,Tbl_MeasureList[#Headers],0))</f>
        <v>6271</v>
      </c>
      <c r="U98" s="532">
        <f ca="1">INDEX(Tbl_MeasureList[],MATCH(Tbl_ROF_MeasureSummary[[#This Row],[Measure ID]:[Measure ID]],Tbl_MeasureList[[Measure ID]:[Measure ID]],0),MATCH(Tbl_ROF_MeasureSummary[[#Headers],[ROF Low Measure Electric Annual Consumption Savings (kWh/yr)]],Tbl_MeasureList[#Headers],0))</f>
        <v>165.5</v>
      </c>
      <c r="V98" s="396">
        <f ca="1">INDEX(Tbl_MeasureList[],MATCH(Tbl_ROF_MeasureSummary[[#This Row],[Measure ID]:[Measure ID]],Tbl_MeasureList[[Measure ID]:[Measure ID]],0),MATCH(Tbl_ROF_MeasureSummary[[#Headers],[ROF Low Measure Electric Winter Peak Demand Savings (kW)]],Tbl_MeasureList[#Headers],0))</f>
        <v>1.8816490891658683E-2</v>
      </c>
      <c r="W98" s="534">
        <f ca="1">INDEX(Tbl_MeasureList[],MATCH(Tbl_ROF_MeasureSummary[[#This Row],[Measure ID]:[Measure ID]],Tbl_MeasureList[[Measure ID]:[Measure ID]],0),MATCH(Tbl_ROF_MeasureSummary[[#Headers],[ROF Low Measure Electric Summer Peak Demand Savings (kW)]],Tbl_MeasureList[#Headers],0))</f>
        <v>0</v>
      </c>
      <c r="X98" s="656">
        <f ca="1">INDEX(Tbl_MeasureList[],MATCH(Tbl_ROF_MeasureSummary[[#This Row],[Measure ID]:[Measure ID]],Tbl_MeasureList[[Measure ID]:[Measure ID]],0),MATCH(Tbl_ROF_MeasureSummary[[#Headers],[ROF Low Measure Natural Gas Annual Consumption Savings (therms/yr)]],Tbl_MeasureList[#Headers],0))</f>
        <v>-724.14113207547166</v>
      </c>
      <c r="Y98" s="536">
        <f ca="1">INDEX(Tbl_MeasureList[],MATCH(Tbl_ROF_MeasureSummary[[#This Row],[Measure ID]:[Measure ID]],Tbl_MeasureList[[Measure ID]:[Measure ID]],0),MATCH(Tbl_ROF_MeasureSummary[[#Headers],[ROF Low Measure Propane Annual Consumption Savings (MMBtu/yr)]],Tbl_MeasureList[#Headers],0))</f>
        <v>80.47058823529413</v>
      </c>
      <c r="Z98" s="656">
        <f ca="1">INDEX(Tbl_MeasureList[],MATCH(Tbl_ROF_MeasureSummary[[#This Row],[Measure ID]:[Measure ID]],Tbl_MeasureList[[Measure ID]:[Measure ID]],0),MATCH(Tbl_ROF_MeasureSummary[[#Headers],[ROF Low Measure Oil Annual Consumption Savings (MMBtu/yr)]],Tbl_MeasureList[#Headers],0))</f>
        <v>0</v>
      </c>
      <c r="AA98" s="661">
        <f ca="1">INDEX(Tbl_MeasureList[],MATCH(Tbl_ROF_MeasureSummary[[#This Row],[Measure ID]:[Measure ID]],Tbl_MeasureList[[Measure ID]:[Measure ID]],0),MATCH(Tbl_ROF_MeasureSummary[[#Headers],[ROF Low Measure Annual Energy Savings on MMBtu Basis (MMBtu/yr)]],Tbl_MeasureList[#Headers],0))</f>
        <v>8.6211610277469646</v>
      </c>
      <c r="AB98" s="656">
        <f ca="1">INDEX(Tbl_MeasureList[],MATCH(Tbl_ROF_MeasureSummary[[#This Row],[Measure ID]:[Measure ID]],Tbl_MeasureList[[Measure ID]:[Measure ID]],0),MATCH(Tbl_ROF_MeasureSummary[[#Headers],[ROF Low Measure Carbon Emissions Reduction, Site (tons CO2/yr)]],Tbl_MeasureList[#Headers],0))</f>
        <v>1.3564802597114332</v>
      </c>
      <c r="AC98" s="540">
        <f ca="1">INDEX(Tbl_MeasureList[],MATCH(Tbl_ROF_MeasureSummary[[#This Row],[Measure ID]:[Measure ID]],Tbl_MeasureList[[Measure ID]:[Measure ID]],0),MATCH(Tbl_ROF_MeasureSummary[[#Headers],[ROF Low Measure Carbon Emissions Reduction, Source (tons CO2/yr)]],Tbl_MeasureList[#Headers],0))</f>
        <v>1.4149282397114327</v>
      </c>
      <c r="AD98" s="530">
        <f ca="1">INDEX(Tbl_MeasureList[],MATCH(Tbl_ROF_MeasureSummary[[#This Row],[Measure ID]:[Measure ID]],Tbl_MeasureList[[Measure ID]:[Measure ID]],0),MATCH(Tbl_ROF_MeasureSummary[[#Headers],[ROF High Measure Energy Cost Savings (USD/yr)]],Tbl_MeasureList[#Headers],0))</f>
        <v>1778.6591549617688</v>
      </c>
      <c r="AE98" s="394">
        <f ca="1">INDEX(Tbl_MeasureList[],MATCH(Tbl_ROF_MeasureSummary[[#This Row],[Measure ID]:[Measure ID]],Tbl_MeasureList[[Measure ID]:[Measure ID]],0),MATCH(AE$84,Tbl_MeasureList[#Headers],0))</f>
        <v>7084</v>
      </c>
      <c r="AF98" s="532">
        <f ca="1">INDEX(Tbl_MeasureList[],MATCH(Tbl_ROF_MeasureSummary[[#This Row],[Measure ID]:[Measure ID]],Tbl_MeasureList[[Measure ID]:[Measure ID]],0),MATCH(Tbl_ROF_MeasureSummary[[#Headers],[ROF High Measure Electric Annual Consumption Savings (kWh/yr)]],Tbl_MeasureList[#Headers],0))</f>
        <v>165.5</v>
      </c>
      <c r="AG98" s="396">
        <f ca="1">INDEX(Tbl_MeasureList[],MATCH(Tbl_ROF_MeasureSummary[[#This Row],[Measure ID]:[Measure ID]],Tbl_MeasureList[[Measure ID]:[Measure ID]],0),MATCH(Tbl_ROF_MeasureSummary[[#Headers],[ROF High Measure Electric Winter Peak Demand Savings (kW)]],Tbl_MeasureList[#Headers],0))</f>
        <v>1.8816490891658683E-2</v>
      </c>
      <c r="AH98" s="534">
        <f ca="1">INDEX(Tbl_MeasureList[],MATCH(Tbl_ROF_MeasureSummary[[#This Row],[Measure ID]:[Measure ID]],Tbl_MeasureList[[Measure ID]:[Measure ID]],0),MATCH(Tbl_ROF_MeasureSummary[[#Headers],[ROF High Measure Electric Summer Peak Demand Savings (kW)]],Tbl_MeasureList[#Headers],0))</f>
        <v>0</v>
      </c>
      <c r="AI98" s="656">
        <f ca="1">INDEX(Tbl_MeasureList[],MATCH(Tbl_ROF_MeasureSummary[[#This Row],[Measure ID]:[Measure ID]],Tbl_MeasureList[[Measure ID]:[Measure ID]],0),MATCH(Tbl_ROF_MeasureSummary[[#Headers],[ROF High Measure Natural Gas Annual Consumption Savings (therms/yr)]],Tbl_MeasureList[#Headers],0))</f>
        <v>-710.86370370370366</v>
      </c>
      <c r="AJ98" s="536">
        <f ca="1">INDEX(Tbl_MeasureList[],MATCH(Tbl_ROF_MeasureSummary[[#This Row],[Measure ID]:[Measure ID]],Tbl_MeasureList[[Measure ID]:[Measure ID]],0),MATCH(Tbl_ROF_MeasureSummary[[#Headers],[ROF High Measure Propane Annual Consumption Savings (MMBtu/yr)]],Tbl_MeasureList[#Headers],0))</f>
        <v>80.47058823529413</v>
      </c>
      <c r="AK98" s="656">
        <f ca="1">INDEX(Tbl_MeasureList[],MATCH(Tbl_ROF_MeasureSummary[[#This Row],[Measure ID]:[Measure ID]],Tbl_MeasureList[[Measure ID]:[Measure ID]],0),MATCH(Tbl_ROF_MeasureSummary[[#Headers],[ROF High Measure Oil Annual Consumption Savings (MMBtu/yr)]],Tbl_MeasureList[#Headers],0))</f>
        <v>0</v>
      </c>
      <c r="AL98" s="536">
        <f ca="1">INDEX(Tbl_MeasureList[],MATCH(Tbl_ROF_MeasureSummary[[#This Row],[Measure ID]:[Measure ID]],Tbl_MeasureList[[Measure ID]:[Measure ID]],0),MATCH(Tbl_ROF_MeasureSummary[[#Headers],[ROF High Measure Annual Energy Savings on MMBtu Basis (MMBtu/yr)]],Tbl_MeasureList[#Headers],0))</f>
        <v>9.9489038649237642</v>
      </c>
      <c r="AM98" s="656">
        <f ca="1">INDEX(Tbl_MeasureList[],MATCH(Tbl_ROF_MeasureSummary[[#This Row],[Measure ID]:[Measure ID]],Tbl_MeasureList[[Measure ID]:[Measure ID]],0),MATCH(Tbl_ROF_MeasureSummary[[#Headers],[ROF High Measure Carbon Emissions Reduction, Site (tons CO2/yr)]],Tbl_MeasureList[#Headers],0))</f>
        <v>1.4341532156862753</v>
      </c>
      <c r="AN98" s="540">
        <f ca="1">INDEX(Tbl_MeasureList[],MATCH(Tbl_ROF_MeasureSummary[[#This Row],[Measure ID]:[Measure ID]],Tbl_MeasureList[[Measure ID]:[Measure ID]],0),MATCH(Tbl_ROF_MeasureSummary[[#Headers],[ROF High Measure Carbon Emissions Reduction, Source (tons CO2/yr)]],Tbl_MeasureList[#Headers],0))</f>
        <v>1.4926011956862757</v>
      </c>
      <c r="AO98" s="538">
        <f ca="1">INDEX(Tbl_MeasureList[],MATCH(Tbl_ROF_MeasureSummary[[#This Row],[Measure ID]:[Measure ID]],Tbl_MeasureList[[Measure ID]:[Measure ID]],0),MATCH(Tbl_ROF_MeasureSummary[[#Headers],[Current ROF Low Measure Coal Source Fuel Savings (lbs coal/year)]],Tbl_MeasureList[#Headers],0))</f>
        <v>1.5979874871969821</v>
      </c>
      <c r="AP98" s="397">
        <f ca="1">INDEX(Tbl_MeasureList[],MATCH(Tbl_ROF_MeasureSummary[[#This Row],[Measure ID]:[Measure ID]],Tbl_MeasureList[[Measure ID]:[Measure ID]],0),MATCH(Tbl_ROF_MeasureSummary[[#Headers],[Current ROF Low Measure Oil Total Fuel Savings (gallons oil/year)]],Tbl_MeasureList[#Headers],0))</f>
        <v>0.1520270668203034</v>
      </c>
      <c r="AQ98" s="540">
        <f ca="1">INDEX(Tbl_MeasureList[],MATCH(Tbl_ROF_MeasureSummary[[#This Row],[Measure ID]:[Measure ID]],Tbl_MeasureList[[Measure ID]:[Measure ID]],0),MATCH(Tbl_ROF_MeasureSummary[[#Headers],[Current ROF Low Measure Gas Total Fuel Savings (1,000 cu.ft. gas/year)]],Tbl_MeasureList[#Headers],0))</f>
        <v>-69.71512686980536</v>
      </c>
      <c r="AR98" s="517">
        <f ca="1">INDEX(Tbl_MeasureList[],MATCH(Tbl_ROF_MeasureSummary[[#This Row],[Measure ID]:[Measure ID]],Tbl_MeasureList[[Measure ID]:[Measure ID]],0),MATCH(Tbl_ROF_MeasureSummary[[#Headers],[Current ROF High Measure Coal Source Fuel Savings (lbs coal/year)]],Tbl_MeasureList[#Headers],0))</f>
        <v>1.5979874871969821</v>
      </c>
      <c r="AS98" s="536">
        <f ca="1">INDEX(Tbl_MeasureList[],MATCH(Tbl_ROF_MeasureSummary[[#This Row],[Measure ID]:[Measure ID]],Tbl_MeasureList[[Measure ID]:[Measure ID]],0),MATCH(Tbl_ROF_MeasureSummary[[#Headers],[Current ROF High Measure Oil Total Fuel Savings (gallons oil/year)]],Tbl_MeasureList[#Headers],0))</f>
        <v>0.1520270668203034</v>
      </c>
      <c r="AT98" s="397">
        <f ca="1">INDEX(Tbl_MeasureList[],MATCH(Tbl_ROF_MeasureSummary[[#This Row],[Measure ID]:[Measure ID]],Tbl_MeasureList[[Measure ID]:[Measure ID]],0),MATCH(Tbl_ROF_MeasureSummary[[#Headers],[Current ROF High Measure Gas Total Fuel Savings (1,000 cu.ft. gas/year)]],Tbl_MeasureList[#Headers],0))</f>
        <v>-68.424803412879413</v>
      </c>
    </row>
    <row r="99" spans="2:46" x14ac:dyDescent="0.2">
      <c r="B99" s="16"/>
      <c r="C99" s="44" t="s">
        <v>100</v>
      </c>
      <c r="D99" s="31" t="str">
        <f>INDEX(Tbl_MeasureList[],MATCH(Tbl_ROF_MeasureSummary[[#This Row],[Measure ID]:[Measure ID]],Tbl_MeasureList[[Measure ID]:[Measure ID]],0),MATCH(Tbl_ROF_MeasureSummary[[#Headers],[Baseline Equipment ID]],Tbl_MeasureList[#Headers],0))</f>
        <v>EQUI021</v>
      </c>
      <c r="E99" s="525" t="str">
        <f>INDEX(Tbl_MeasureList[],MATCH(Tbl_ROF_MeasureSummary[[#This Row],[Measure ID]:[Measure ID]],Tbl_MeasureList[[Measure ID]:[Measure ID]],0),MATCH(Tbl_ROF_MeasureSummary[[#Headers],[Replacement ID]],Tbl_MeasureList[#Headers],0))</f>
        <v>EQUI022</v>
      </c>
      <c r="F99" s="31" t="str">
        <f>INDEX(Tbl_MeasureList[],MATCH(Tbl_ROF_MeasureSummary[[#This Row],[Measure ID]:[Measure ID]],Tbl_MeasureList[[Measure ID]:[Measure ID]],0),MATCH(Tbl_ROF_MeasureSummary[[#Headers],[Baseline Name]],Tbl_MeasureList[#Headers],0))</f>
        <v>Oil Boiler+Tankless Coil WH</v>
      </c>
      <c r="G99" s="525" t="str">
        <f>INDEX(Tbl_MeasureList[],MATCH(Tbl_ROF_MeasureSummary[[#This Row],[Measure ID]:[Measure ID]],Tbl_MeasureList[[Measure ID]:[Measure ID]],0),MATCH(Tbl_ROF_MeasureSummary[[#Headers],[Replacement Name]],Tbl_MeasureList[#Headers],0))</f>
        <v>Gas Combination Boiler</v>
      </c>
      <c r="H99" s="31"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Oil Boiler+Tankless Coil WH to Gas Combination Boiler</v>
      </c>
      <c r="I99" s="525">
        <f>INDEX(Tbl_MeasureList[],MATCH(Tbl_ROF_MeasureSummary[[#This Row],[Measure ID]:[Measure ID]],Tbl_MeasureList[[Measure ID]:[Measure ID]],0),MATCH(Tbl_ROF_MeasureSummary[[#Headers],[New Unit Equipment Life (years)]],Tbl_MeasureList[#Headers],0))</f>
        <v>19</v>
      </c>
      <c r="J99" s="31" t="str">
        <f>INDEX(Tbl_MeasureList[],MATCH(Tbl_ROF_MeasureSummary[[#This Row],[Measure ID]:[Measure ID]],Tbl_MeasureList[[Measure ID]:[Measure ID]],0),MATCH(Tbl_ROF_MeasureSummary[[#Headers],[Baseline Function]],Tbl_MeasureList[#Headers],0))</f>
        <v>Heat+HW</v>
      </c>
      <c r="K99" s="525" t="str">
        <f>INDEX(Tbl_MeasureList[],MATCH(Tbl_ROF_MeasureSummary[[#This Row],[Measure ID]:[Measure ID]],Tbl_MeasureList[[Measure ID]:[Measure ID]],0),MATCH(Tbl_ROF_MeasureSummary[[#Headers],[Replacement Function]],Tbl_MeasureList[#Headers],0))</f>
        <v>Heat+HW</v>
      </c>
      <c r="L99" s="31" t="str">
        <f>INDEX(Tbl_MeasureList[],MATCH(Tbl_ROF_MeasureSummary[[#This Row],[Measure ID]:[Measure ID]],Tbl_MeasureList[[Measure ID]:[Measure ID]],0),MATCH(Tbl_ROF_MeasureSummary[[#Headers],[Keep Existing Heating Equipment?]],Tbl_MeasureList[#Headers],0))</f>
        <v>No</v>
      </c>
      <c r="M99" s="298"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Oil</v>
      </c>
      <c r="N99" s="543"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Natural Gas</v>
      </c>
      <c r="O99" s="528"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75% AFUE</v>
      </c>
      <c r="P99" s="545"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84% AFUE</v>
      </c>
      <c r="Q99" s="528"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90% AFUE</v>
      </c>
      <c r="R99" s="547"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95% AFUE</v>
      </c>
      <c r="S99" s="530">
        <f ca="1">INDEX(Tbl_MeasureList[],MATCH(Tbl_ROF_MeasureSummary[[#This Row],[Measure ID]:[Measure ID]],Tbl_MeasureList[[Measure ID]:[Measure ID]],0),MATCH(Tbl_ROF_MeasureSummary[[#Headers],[ROF Low Measure Energy Cost Savings (USD/yr)]],Tbl_MeasureList[#Headers],0))</f>
        <v>779.15347092075899</v>
      </c>
      <c r="T99" s="394">
        <f ca="1">INDEX(Tbl_MeasureList[],MATCH(Tbl_ROF_MeasureSummary[[#This Row],[Measure ID]:[Measure ID]],Tbl_MeasureList[[Measure ID]:[Measure ID]],0),MATCH(T$84,Tbl_MeasureList[#Headers],0))</f>
        <v>8749.0499999999993</v>
      </c>
      <c r="U99" s="532">
        <f ca="1">INDEX(Tbl_MeasureList[],MATCH(Tbl_ROF_MeasureSummary[[#This Row],[Measure ID]:[Measure ID]],Tbl_MeasureList[[Measure ID]:[Measure ID]],0),MATCH(Tbl_ROF_MeasureSummary[[#Headers],[ROF Low Measure Electric Annual Consumption Savings (kWh/yr)]],Tbl_MeasureList[#Headers],0))</f>
        <v>-99</v>
      </c>
      <c r="V99" s="396">
        <f ca="1">INDEX(Tbl_MeasureList[],MATCH(Tbl_ROF_MeasureSummary[[#This Row],[Measure ID]:[Measure ID]],Tbl_MeasureList[[Measure ID]:[Measure ID]],0),MATCH(Tbl_ROF_MeasureSummary[[#Headers],[ROF Low Measure Electric Winter Peak Demand Savings (kW)]],Tbl_MeasureList[#Headers],0))</f>
        <v>-1.5186960690316387E-2</v>
      </c>
      <c r="W99" s="534">
        <f ca="1">INDEX(Tbl_MeasureList[],MATCH(Tbl_ROF_MeasureSummary[[#This Row],[Measure ID]:[Measure ID]],Tbl_MeasureList[[Measure ID]:[Measure ID]],0),MATCH(Tbl_ROF_MeasureSummary[[#Headers],[ROF Low Measure Electric Summer Peak Demand Savings (kW)]],Tbl_MeasureList[#Headers],0))</f>
        <v>0</v>
      </c>
      <c r="X99" s="656">
        <f ca="1">INDEX(Tbl_MeasureList[],MATCH(Tbl_ROF_MeasureSummary[[#This Row],[Measure ID]:[Measure ID]],Tbl_MeasureList[[Measure ID]:[Measure ID]],0),MATCH(Tbl_ROF_MeasureSummary[[#Headers],[ROF Low Measure Natural Gas Annual Consumption Savings (therms/yr)]],Tbl_MeasureList[#Headers],0))</f>
        <v>-1006.6666666666667</v>
      </c>
      <c r="Y99" s="536">
        <f ca="1">INDEX(Tbl_MeasureList[],MATCH(Tbl_ROF_MeasureSummary[[#This Row],[Measure ID]:[Measure ID]],Tbl_MeasureList[[Measure ID]:[Measure ID]],0),MATCH(Tbl_ROF_MeasureSummary[[#Headers],[ROF Low Measure Propane Annual Consumption Savings (MMBtu/yr)]],Tbl_MeasureList[#Headers],0))</f>
        <v>0</v>
      </c>
      <c r="Z99" s="656">
        <f ca="1">INDEX(Tbl_MeasureList[],MATCH(Tbl_ROF_MeasureSummary[[#This Row],[Measure ID]:[Measure ID]],Tbl_MeasureList[[Measure ID]:[Measure ID]],0),MATCH(Tbl_ROF_MeasureSummary[[#Headers],[ROF Low Measure Oil Annual Consumption Savings (MMBtu/yr)]],Tbl_MeasureList[#Headers],0))</f>
        <v>107.85714285714288</v>
      </c>
      <c r="AA99" s="661">
        <f ca="1">INDEX(Tbl_MeasureList[],MATCH(Tbl_ROF_MeasureSummary[[#This Row],[Measure ID]:[Measure ID]],Tbl_MeasureList[[Measure ID]:[Measure ID]],0),MATCH(Tbl_ROF_MeasureSummary[[#Headers],[ROF Low Measure Annual Energy Savings on MMBtu Basis (MMBtu/yr)]],Tbl_MeasureList[#Headers],0))</f>
        <v>6.8526881904762007</v>
      </c>
      <c r="AB99" s="656">
        <f ca="1">INDEX(Tbl_MeasureList[],MATCH(Tbl_ROF_MeasureSummary[[#This Row],[Measure ID]:[Measure ID]],Tbl_MeasureList[[Measure ID]:[Measure ID]],0),MATCH(Tbl_ROF_MeasureSummary[[#Headers],[ROF Low Measure Carbon Emissions Reduction, Site (tons CO2/yr)]],Tbl_MeasureList[#Headers],0))</f>
        <v>2.8096785714285746</v>
      </c>
      <c r="AC99" s="540">
        <f ca="1">INDEX(Tbl_MeasureList[],MATCH(Tbl_ROF_MeasureSummary[[#This Row],[Measure ID]:[Measure ID]],Tbl_MeasureList[[Measure ID]:[Measure ID]],0),MATCH(Tbl_ROF_MeasureSummary[[#Headers],[ROF Low Measure Carbon Emissions Reduction, Source (tons CO2/yr)]],Tbl_MeasureList[#Headers],0))</f>
        <v>2.7747157314285751</v>
      </c>
      <c r="AD99" s="530">
        <f ca="1">INDEX(Tbl_MeasureList[],MATCH(Tbl_ROF_MeasureSummary[[#This Row],[Measure ID]:[Measure ID]],Tbl_MeasureList[[Measure ID]:[Measure ID]],0),MATCH(Tbl_ROF_MeasureSummary[[#Headers],[ROF High Measure Energy Cost Savings (USD/yr)]],Tbl_MeasureList[#Headers],0))</f>
        <v>867.97677267514473</v>
      </c>
      <c r="AE99" s="394">
        <f ca="1">INDEX(Tbl_MeasureList[],MATCH(Tbl_ROF_MeasureSummary[[#This Row],[Measure ID]:[Measure ID]],Tbl_MeasureList[[Measure ID]:[Measure ID]],0),MATCH(AE$84,Tbl_MeasureList[#Headers],0))</f>
        <v>8749.0499999999993</v>
      </c>
      <c r="AF99" s="532">
        <f ca="1">INDEX(Tbl_MeasureList[],MATCH(Tbl_ROF_MeasureSummary[[#This Row],[Measure ID]:[Measure ID]],Tbl_MeasureList[[Measure ID]:[Measure ID]],0),MATCH(Tbl_ROF_MeasureSummary[[#Headers],[ROF High Measure Electric Annual Consumption Savings (kWh/yr)]],Tbl_MeasureList[#Headers],0))</f>
        <v>-82</v>
      </c>
      <c r="AG99" s="396">
        <f ca="1">INDEX(Tbl_MeasureList[],MATCH(Tbl_ROF_MeasureSummary[[#This Row],[Measure ID]:[Measure ID]],Tbl_MeasureList[[Measure ID]:[Measure ID]],0),MATCH(Tbl_ROF_MeasureSummary[[#Headers],[ROF High Measure Electric Winter Peak Demand Savings (kW)]],Tbl_MeasureList[#Headers],0))</f>
        <v>-1.2579098753595391E-2</v>
      </c>
      <c r="AH99" s="534">
        <f ca="1">INDEX(Tbl_MeasureList[],MATCH(Tbl_ROF_MeasureSummary[[#This Row],[Measure ID]:[Measure ID]],Tbl_MeasureList[[Measure ID]:[Measure ID]],0),MATCH(Tbl_ROF_MeasureSummary[[#Headers],[ROF High Measure Electric Summer Peak Demand Savings (kW)]],Tbl_MeasureList[#Headers],0))</f>
        <v>0</v>
      </c>
      <c r="AI99" s="656">
        <f ca="1">INDEX(Tbl_MeasureList[],MATCH(Tbl_ROF_MeasureSummary[[#This Row],[Measure ID]:[Measure ID]],Tbl_MeasureList[[Measure ID]:[Measure ID]],0),MATCH(Tbl_ROF_MeasureSummary[[#Headers],[ROF High Measure Natural Gas Annual Consumption Savings (therms/yr)]],Tbl_MeasureList[#Headers],0))</f>
        <v>-953.68421052631595</v>
      </c>
      <c r="AJ99" s="536">
        <f ca="1">INDEX(Tbl_MeasureList[],MATCH(Tbl_ROF_MeasureSummary[[#This Row],[Measure ID]:[Measure ID]],Tbl_MeasureList[[Measure ID]:[Measure ID]],0),MATCH(Tbl_ROF_MeasureSummary[[#Headers],[ROF High Measure Propane Annual Consumption Savings (MMBtu/yr)]],Tbl_MeasureList[#Headers],0))</f>
        <v>0</v>
      </c>
      <c r="AK99" s="656">
        <f ca="1">INDEX(Tbl_MeasureList[],MATCH(Tbl_ROF_MeasureSummary[[#This Row],[Measure ID]:[Measure ID]],Tbl_MeasureList[[Measure ID]:[Measure ID]],0),MATCH(Tbl_ROF_MeasureSummary[[#Headers],[ROF High Measure Oil Annual Consumption Savings (MMBtu/yr)]],Tbl_MeasureList[#Headers],0))</f>
        <v>107.85714285714288</v>
      </c>
      <c r="AL99" s="536">
        <f ca="1">INDEX(Tbl_MeasureList[],MATCH(Tbl_ROF_MeasureSummary[[#This Row],[Measure ID]:[Measure ID]],Tbl_MeasureList[[Measure ID]:[Measure ID]],0),MATCH(Tbl_ROF_MeasureSummary[[#Headers],[ROF High Measure Annual Energy Savings on MMBtu Basis (MMBtu/yr)]],Tbl_MeasureList[#Headers],0))</f>
        <v>12.20893780451128</v>
      </c>
      <c r="AM99" s="656">
        <f ca="1">INDEX(Tbl_MeasureList[],MATCH(Tbl_ROF_MeasureSummary[[#This Row],[Measure ID]:[Measure ID]],Tbl_MeasureList[[Measure ID]:[Measure ID]],0),MATCH(Tbl_ROF_MeasureSummary[[#Headers],[ROF High Measure Carbon Emissions Reduction, Site (tons CO2/yr)]],Tbl_MeasureList[#Headers],0))</f>
        <v>3.1196259398496267</v>
      </c>
      <c r="AN99" s="540">
        <f ca="1">INDEX(Tbl_MeasureList[],MATCH(Tbl_ROF_MeasureSummary[[#This Row],[Measure ID]:[Measure ID]],Tbl_MeasureList[[Measure ID]:[Measure ID]],0),MATCH(Tbl_ROF_MeasureSummary[[#Headers],[ROF High Measure Carbon Emissions Reduction, Source (tons CO2/yr)]],Tbl_MeasureList[#Headers],0))</f>
        <v>3.0906668198496261</v>
      </c>
      <c r="AO99" s="538">
        <f ca="1">INDEX(Tbl_MeasureList[],MATCH(Tbl_ROF_MeasureSummary[[#This Row],[Measure ID]:[Measure ID]],Tbl_MeasureList[[Measure ID]:[Measure ID]],0),MATCH(Tbl_ROF_MeasureSummary[[#Headers],[Current ROF Low Measure Coal Source Fuel Savings (lbs coal/year)]],Tbl_MeasureList[#Headers],0))</f>
        <v>-0.9558958382628473</v>
      </c>
      <c r="AP99" s="397">
        <f ca="1">INDEX(Tbl_MeasureList[],MATCH(Tbl_ROF_MeasureSummary[[#This Row],[Measure ID]:[Measure ID]],Tbl_MeasureList[[Measure ID]:[Measure ID]],0),MATCH(Tbl_ROF_MeasureSummary[[#Headers],[Current ROF Low Measure Oil Total Fuel Savings (gallons oil/year)]],Tbl_MeasureList[#Headers],0))</f>
        <v>781.79417918357399</v>
      </c>
      <c r="AQ99" s="540">
        <f ca="1">INDEX(Tbl_MeasureList[],MATCH(Tbl_ROF_MeasureSummary[[#This Row],[Measure ID]:[Measure ID]],Tbl_MeasureList[[Measure ID]:[Measure ID]],0),MATCH(Tbl_ROF_MeasureSummary[[#Headers],[Current ROF Low Measure Gas Total Fuel Savings (1,000 cu.ft. gas/year)]],Tbl_MeasureList[#Headers],0))</f>
        <v>-98.22331158650826</v>
      </c>
      <c r="AR99" s="517">
        <f ca="1">INDEX(Tbl_MeasureList[],MATCH(Tbl_ROF_MeasureSummary[[#This Row],[Measure ID]:[Measure ID]],Tbl_MeasureList[[Measure ID]:[Measure ID]],0),MATCH(Tbl_ROF_MeasureSummary[[#Headers],[Current ROF High Measure Coal Source Fuel Savings (lbs coal/year)]],Tbl_MeasureList[#Headers],0))</f>
        <v>-0.79175210846013611</v>
      </c>
      <c r="AS99" s="536">
        <f ca="1">INDEX(Tbl_MeasureList[],MATCH(Tbl_ROF_MeasureSummary[[#This Row],[Measure ID]:[Measure ID]],Tbl_MeasureList[[Measure ID]:[Measure ID]],0),MATCH(Tbl_ROF_MeasureSummary[[#Headers],[Current ROF High Measure Oil Total Fuel Savings (gallons oil/year)]],Tbl_MeasureList[#Headers],0))</f>
        <v>781.80979525690293</v>
      </c>
      <c r="AT99" s="397">
        <f ca="1">INDEX(Tbl_MeasureList[],MATCH(Tbl_ROF_MeasureSummary[[#This Row],[Measure ID]:[Measure ID]],Tbl_MeasureList[[Measure ID]:[Measure ID]],0),MATCH(Tbl_ROF_MeasureSummary[[#Headers],[Current ROF High Measure Gas Total Fuel Savings (1,000 cu.ft. gas/year)]],Tbl_MeasureList[#Headers],0))</f>
        <v>-93.006779187308013</v>
      </c>
    </row>
    <row r="100" spans="2:46" x14ac:dyDescent="0.2">
      <c r="B100" s="16"/>
      <c r="C100" s="44" t="s">
        <v>101</v>
      </c>
      <c r="D100" s="31" t="str">
        <f>INDEX(Tbl_MeasureList[],MATCH(Tbl_ROF_MeasureSummary[[#This Row],[Measure ID]:[Measure ID]],Tbl_MeasureList[[Measure ID]:[Measure ID]],0),MATCH(Tbl_ROF_MeasureSummary[[#Headers],[Baseline Equipment ID]],Tbl_MeasureList[#Headers],0))</f>
        <v>EQUI023</v>
      </c>
      <c r="E100" s="525" t="str">
        <f>INDEX(Tbl_MeasureList[],MATCH(Tbl_ROF_MeasureSummary[[#This Row],[Measure ID]:[Measure ID]],Tbl_MeasureList[[Measure ID]:[Measure ID]],0),MATCH(Tbl_ROF_MeasureSummary[[#Headers],[Replacement ID]],Tbl_MeasureList[#Headers],0))</f>
        <v>EQUI022</v>
      </c>
      <c r="F100" s="31" t="str">
        <f>INDEX(Tbl_MeasureList[],MATCH(Tbl_ROF_MeasureSummary[[#This Row],[Measure ID]:[Measure ID]],Tbl_MeasureList[[Measure ID]:[Measure ID]],0),MATCH(Tbl_ROF_MeasureSummary[[#Headers],[Baseline Name]],Tbl_MeasureList[#Headers],0))</f>
        <v>Propane Combination Boiler</v>
      </c>
      <c r="G100" s="525" t="str">
        <f>INDEX(Tbl_MeasureList[],MATCH(Tbl_ROF_MeasureSummary[[#This Row],[Measure ID]:[Measure ID]],Tbl_MeasureList[[Measure ID]:[Measure ID]],0),MATCH(Tbl_ROF_MeasureSummary[[#Headers],[Replacement Name]],Tbl_MeasureList[#Headers],0))</f>
        <v>Gas Combination Boiler</v>
      </c>
      <c r="H100" s="31"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Propane Combination Boiler to Gas Combination Boiler</v>
      </c>
      <c r="I100" s="525">
        <f>INDEX(Tbl_MeasureList[],MATCH(Tbl_ROF_MeasureSummary[[#This Row],[Measure ID]:[Measure ID]],Tbl_MeasureList[[Measure ID]:[Measure ID]],0),MATCH(Tbl_ROF_MeasureSummary[[#Headers],[New Unit Equipment Life (years)]],Tbl_MeasureList[#Headers],0))</f>
        <v>19</v>
      </c>
      <c r="J100" s="31" t="str">
        <f>INDEX(Tbl_MeasureList[],MATCH(Tbl_ROF_MeasureSummary[[#This Row],[Measure ID]:[Measure ID]],Tbl_MeasureList[[Measure ID]:[Measure ID]],0),MATCH(Tbl_ROF_MeasureSummary[[#Headers],[Baseline Function]],Tbl_MeasureList[#Headers],0))</f>
        <v>Heat+HW</v>
      </c>
      <c r="K100" s="525" t="str">
        <f>INDEX(Tbl_MeasureList[],MATCH(Tbl_ROF_MeasureSummary[[#This Row],[Measure ID]:[Measure ID]],Tbl_MeasureList[[Measure ID]:[Measure ID]],0),MATCH(Tbl_ROF_MeasureSummary[[#Headers],[Replacement Function]],Tbl_MeasureList[#Headers],0))</f>
        <v>Heat+HW</v>
      </c>
      <c r="L100" s="31" t="str">
        <f>INDEX(Tbl_MeasureList[],MATCH(Tbl_ROF_MeasureSummary[[#This Row],[Measure ID]:[Measure ID]],Tbl_MeasureList[[Measure ID]:[Measure ID]],0),MATCH(Tbl_ROF_MeasureSummary[[#Headers],[Keep Existing Heating Equipment?]],Tbl_MeasureList[#Headers],0))</f>
        <v>No</v>
      </c>
      <c r="M100" s="298"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Propane</v>
      </c>
      <c r="N100" s="543"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Natural Gas</v>
      </c>
      <c r="O100" s="528"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80% AFUE (77.4% actual)</v>
      </c>
      <c r="P100" s="545"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90% AFUE</v>
      </c>
      <c r="Q100" s="528"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90% AFUE</v>
      </c>
      <c r="R100" s="547"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95% AFUE</v>
      </c>
      <c r="S100" s="530">
        <f ca="1">INDEX(Tbl_MeasureList[],MATCH(Tbl_ROF_MeasureSummary[[#This Row],[Measure ID]:[Measure ID]],Tbl_MeasureList[[Measure ID]:[Measure ID]],0),MATCH(Tbl_ROF_MeasureSummary[[#Headers],[ROF Low Measure Energy Cost Savings (USD/yr)]],Tbl_MeasureList[#Headers],0))</f>
        <v>1590.5397293670173</v>
      </c>
      <c r="T100" s="394">
        <f ca="1">INDEX(Tbl_MeasureList[],MATCH(Tbl_ROF_MeasureSummary[[#This Row],[Measure ID]:[Measure ID]],Tbl_MeasureList[[Measure ID]:[Measure ID]],0),MATCH(T$84,Tbl_MeasureList[#Headers],0))</f>
        <v>5499</v>
      </c>
      <c r="U100" s="532">
        <f ca="1">INDEX(Tbl_MeasureList[],MATCH(Tbl_ROF_MeasureSummary[[#This Row],[Measure ID]:[Measure ID]],Tbl_MeasureList[[Measure ID]:[Measure ID]],0),MATCH(Tbl_ROF_MeasureSummary[[#Headers],[ROF Low Measure Electric Annual Consumption Savings (kWh/yr)]],Tbl_MeasureList[#Headers],0))</f>
        <v>-132</v>
      </c>
      <c r="V100" s="396">
        <f ca="1">INDEX(Tbl_MeasureList[],MATCH(Tbl_ROF_MeasureSummary[[#This Row],[Measure ID]:[Measure ID]],Tbl_MeasureList[[Measure ID]:[Measure ID]],0),MATCH(Tbl_ROF_MeasureSummary[[#Headers],[ROF Low Measure Electric Winter Peak Demand Savings (kW)]],Tbl_MeasureList[#Headers],0))</f>
        <v>-2.0249280920421858E-2</v>
      </c>
      <c r="W100" s="534">
        <f ca="1">INDEX(Tbl_MeasureList[],MATCH(Tbl_ROF_MeasureSummary[[#This Row],[Measure ID]:[Measure ID]],Tbl_MeasureList[[Measure ID]:[Measure ID]],0),MATCH(Tbl_ROF_MeasureSummary[[#Headers],[ROF Low Measure Electric Summer Peak Demand Savings (kW)]],Tbl_MeasureList[#Headers],0))</f>
        <v>0</v>
      </c>
      <c r="X100" s="656">
        <f ca="1">INDEX(Tbl_MeasureList[],MATCH(Tbl_ROF_MeasureSummary[[#This Row],[Measure ID]:[Measure ID]],Tbl_MeasureList[[Measure ID]:[Measure ID]],0),MATCH(Tbl_ROF_MeasureSummary[[#Headers],[ROF Low Measure Natural Gas Annual Consumption Savings (therms/yr)]],Tbl_MeasureList[#Headers],0))</f>
        <v>-815.85555555555561</v>
      </c>
      <c r="Y100" s="536">
        <f ca="1">INDEX(Tbl_MeasureList[],MATCH(Tbl_ROF_MeasureSummary[[#This Row],[Measure ID]:[Measure ID]],Tbl_MeasureList[[Measure ID]:[Measure ID]],0),MATCH(Tbl_ROF_MeasureSummary[[#Headers],[ROF Low Measure Propane Annual Consumption Savings (MMBtu/yr)]],Tbl_MeasureList[#Headers],0))</f>
        <v>81.585555555555558</v>
      </c>
      <c r="Z100" s="656">
        <f ca="1">INDEX(Tbl_MeasureList[],MATCH(Tbl_ROF_MeasureSummary[[#This Row],[Measure ID]:[Measure ID]],Tbl_MeasureList[[Measure ID]:[Measure ID]],0),MATCH(Tbl_ROF_MeasureSummary[[#Headers],[ROF Low Measure Oil Annual Consumption Savings (MMBtu/yr)]],Tbl_MeasureList[#Headers],0))</f>
        <v>0</v>
      </c>
      <c r="AA100" s="661">
        <f ca="1">INDEX(Tbl_MeasureList[],MATCH(Tbl_ROF_MeasureSummary[[#This Row],[Measure ID]:[Measure ID]],Tbl_MeasureList[[Measure ID]:[Measure ID]],0),MATCH(Tbl_ROF_MeasureSummary[[#Headers],[ROF Low Measure Annual Energy Savings on MMBtu Basis (MMBtu/yr)]],Tbl_MeasureList[#Headers],0))</f>
        <v>-0.45038399999999967</v>
      </c>
      <c r="AB100" s="656">
        <f ca="1">INDEX(Tbl_MeasureList[],MATCH(Tbl_ROF_MeasureSummary[[#This Row],[Measure ID]:[Measure ID]],Tbl_MeasureList[[Measure ID]:[Measure ID]],0),MATCH(Tbl_ROF_MeasureSummary[[#Headers],[ROF Low Measure Carbon Emissions Reduction, Site (tons CO2/yr)]],Tbl_MeasureList[#Headers],0))</f>
        <v>0.89744111111111113</v>
      </c>
      <c r="AC100" s="540">
        <f ca="1">INDEX(Tbl_MeasureList[],MATCH(Tbl_ROF_MeasureSummary[[#This Row],[Measure ID]:[Measure ID]],Tbl_MeasureList[[Measure ID]:[Measure ID]],0),MATCH(Tbl_ROF_MeasureSummary[[#Headers],[ROF Low Measure Carbon Emissions Reduction, Source (tons CO2/yr)]],Tbl_MeasureList[#Headers],0))</f>
        <v>0.85082399111111151</v>
      </c>
      <c r="AD100" s="530">
        <f ca="1">INDEX(Tbl_MeasureList[],MATCH(Tbl_ROF_MeasureSummary[[#This Row],[Measure ID]:[Measure ID]],Tbl_MeasureList[[Measure ID]:[Measure ID]],0),MATCH(Tbl_ROF_MeasureSummary[[#Headers],[ROF High Measure Energy Cost Savings (USD/yr)]],Tbl_MeasureList[#Headers],0))</f>
        <v>1663.1641720570758</v>
      </c>
      <c r="AE100" s="394">
        <f ca="1">INDEX(Tbl_MeasureList[],MATCH(Tbl_ROF_MeasureSummary[[#This Row],[Measure ID]:[Measure ID]],Tbl_MeasureList[[Measure ID]:[Measure ID]],0),MATCH(AE$84,Tbl_MeasureList[#Headers],0))</f>
        <v>5499</v>
      </c>
      <c r="AF100" s="532">
        <f ca="1">INDEX(Tbl_MeasureList[],MATCH(Tbl_ROF_MeasureSummary[[#This Row],[Measure ID]:[Measure ID]],Tbl_MeasureList[[Measure ID]:[Measure ID]],0),MATCH(Tbl_ROF_MeasureSummary[[#Headers],[ROF High Measure Electric Annual Consumption Savings (kWh/yr)]],Tbl_MeasureList[#Headers],0))</f>
        <v>-115</v>
      </c>
      <c r="AG100" s="396">
        <f ca="1">INDEX(Tbl_MeasureList[],MATCH(Tbl_ROF_MeasureSummary[[#This Row],[Measure ID]:[Measure ID]],Tbl_MeasureList[[Measure ID]:[Measure ID]],0),MATCH(Tbl_ROF_MeasureSummary[[#Headers],[ROF High Measure Electric Winter Peak Demand Savings (kW)]],Tbl_MeasureList[#Headers],0))</f>
        <v>-1.7641418983700863E-2</v>
      </c>
      <c r="AH100" s="534">
        <f ca="1">INDEX(Tbl_MeasureList[],MATCH(Tbl_ROF_MeasureSummary[[#This Row],[Measure ID]:[Measure ID]],Tbl_MeasureList[[Measure ID]:[Measure ID]],0),MATCH(Tbl_ROF_MeasureSummary[[#Headers],[ROF High Measure Electric Summer Peak Demand Savings (kW)]],Tbl_MeasureList[#Headers],0))</f>
        <v>0</v>
      </c>
      <c r="AI100" s="656">
        <f ca="1">INDEX(Tbl_MeasureList[],MATCH(Tbl_ROF_MeasureSummary[[#This Row],[Measure ID]:[Measure ID]],Tbl_MeasureList[[Measure ID]:[Measure ID]],0),MATCH(Tbl_ROF_MeasureSummary[[#Headers],[ROF High Measure Natural Gas Annual Consumption Savings (therms/yr)]],Tbl_MeasureList[#Headers],0))</f>
        <v>-772.9157894736843</v>
      </c>
      <c r="AJ100" s="536">
        <f ca="1">INDEX(Tbl_MeasureList[],MATCH(Tbl_ROF_MeasureSummary[[#This Row],[Measure ID]:[Measure ID]],Tbl_MeasureList[[Measure ID]:[Measure ID]],0),MATCH(Tbl_ROF_MeasureSummary[[#Headers],[ROF High Measure Propane Annual Consumption Savings (MMBtu/yr)]],Tbl_MeasureList[#Headers],0))</f>
        <v>81.585555555555558</v>
      </c>
      <c r="AK100" s="656">
        <f ca="1">INDEX(Tbl_MeasureList[],MATCH(Tbl_ROF_MeasureSummary[[#This Row],[Measure ID]:[Measure ID]],Tbl_MeasureList[[Measure ID]:[Measure ID]],0),MATCH(Tbl_ROF_MeasureSummary[[#Headers],[ROF High Measure Oil Annual Consumption Savings (MMBtu/yr)]],Tbl_MeasureList[#Headers],0))</f>
        <v>0</v>
      </c>
      <c r="AL100" s="536">
        <f ca="1">INDEX(Tbl_MeasureList[],MATCH(Tbl_ROF_MeasureSummary[[#This Row],[Measure ID]:[Measure ID]],Tbl_MeasureList[[Measure ID]:[Measure ID]],0),MATCH(Tbl_ROF_MeasureSummary[[#Headers],[ROF High Measure Annual Energy Savings on MMBtu Basis (MMBtu/yr)]],Tbl_MeasureList[#Headers],0))</f>
        <v>3.9015966081871198</v>
      </c>
      <c r="AM100" s="656">
        <f ca="1">INDEX(Tbl_MeasureList[],MATCH(Tbl_ROF_MeasureSummary[[#This Row],[Measure ID]:[Measure ID]],Tbl_MeasureList[[Measure ID]:[Measure ID]],0),MATCH(Tbl_ROF_MeasureSummary[[#Headers],[ROF High Measure Carbon Emissions Reduction, Site (tons CO2/yr)]],Tbl_MeasureList[#Headers],0))</f>
        <v>1.1486387426900579</v>
      </c>
      <c r="AN100" s="540">
        <f ca="1">INDEX(Tbl_MeasureList[],MATCH(Tbl_ROF_MeasureSummary[[#This Row],[Measure ID]:[Measure ID]],Tbl_MeasureList[[Measure ID]:[Measure ID]],0),MATCH(Tbl_ROF_MeasureSummary[[#Headers],[ROF High Measure Carbon Emissions Reduction, Source (tons CO2/yr)]],Tbl_MeasureList[#Headers],0))</f>
        <v>1.1080253426900581</v>
      </c>
      <c r="AO100" s="538">
        <f ca="1">INDEX(Tbl_MeasureList[],MATCH(Tbl_ROF_MeasureSummary[[#This Row],[Measure ID]:[Measure ID]],Tbl_MeasureList[[Measure ID]:[Measure ID]],0),MATCH(Tbl_ROF_MeasureSummary[[#Headers],[Current ROF Low Measure Coal Source Fuel Savings (lbs coal/year)]],Tbl_MeasureList[#Headers],0))</f>
        <v>-1.274527784350463</v>
      </c>
      <c r="AP100" s="397">
        <f ca="1">INDEX(Tbl_MeasureList[],MATCH(Tbl_ROF_MeasureSummary[[#This Row],[Measure ID]:[Measure ID]],Tbl_MeasureList[[Measure ID]:[Measure ID]],0),MATCH(Tbl_ROF_MeasureSummary[[#Headers],[Current ROF Low Measure Oil Total Fuel Savings (gallons oil/year)]],Tbl_MeasureList[#Headers],0))</f>
        <v>-0.12125421643673746</v>
      </c>
      <c r="AQ100" s="540">
        <f ca="1">INDEX(Tbl_MeasureList[],MATCH(Tbl_ROF_MeasureSummary[[#This Row],[Measure ID]:[Measure ID]],Tbl_MeasureList[[Measure ID]:[Measure ID]],0),MATCH(Tbl_ROF_MeasureSummary[[#Headers],[Current ROF Low Measure Gas Total Fuel Savings (1,000 cu.ft. gas/year)]],Tbl_MeasureList[#Headers],0))</f>
        <v>-79.811192254638144</v>
      </c>
      <c r="AR100" s="517">
        <f ca="1">INDEX(Tbl_MeasureList[],MATCH(Tbl_ROF_MeasureSummary[[#This Row],[Measure ID]:[Measure ID]],Tbl_MeasureList[[Measure ID]:[Measure ID]],0),MATCH(Tbl_ROF_MeasureSummary[[#Headers],[Current ROF High Measure Coal Source Fuel Savings (lbs coal/year)]],Tbl_MeasureList[#Headers],0))</f>
        <v>-1.1103840545477519</v>
      </c>
      <c r="AS100" s="536">
        <f ca="1">INDEX(Tbl_MeasureList[],MATCH(Tbl_ROF_MeasureSummary[[#This Row],[Measure ID]:[Measure ID]],Tbl_MeasureList[[Measure ID]:[Measure ID]],0),MATCH(Tbl_ROF_MeasureSummary[[#Headers],[Current ROF High Measure Oil Total Fuel Savings (gallons oil/year)]],Tbl_MeasureList[#Headers],0))</f>
        <v>-0.1056381431077637</v>
      </c>
      <c r="AT100" s="397">
        <f ca="1">INDEX(Tbl_MeasureList[],MATCH(Tbl_ROF_MeasureSummary[[#This Row],[Measure ID]:[Measure ID]],Tbl_MeasureList[[Measure ID]:[Measure ID]],0),MATCH(Tbl_ROF_MeasureSummary[[#Headers],[Current ROF High Measure Gas Total Fuel Savings (1,000 cu.ft. gas/year)]],Tbl_MeasureList[#Headers],0))</f>
        <v>-75.570625847515601</v>
      </c>
    </row>
    <row r="101" spans="2:46" x14ac:dyDescent="0.2">
      <c r="B101" s="16"/>
      <c r="C101" s="44" t="s">
        <v>102</v>
      </c>
      <c r="D101" s="31" t="str">
        <f>INDEX(Tbl_MeasureList[],MATCH(Tbl_ROF_MeasureSummary[[#This Row],[Measure ID]:[Measure ID]],Tbl_MeasureList[[Measure ID]:[Measure ID]],0),MATCH(Tbl_ROF_MeasureSummary[[#Headers],[Baseline Equipment ID]],Tbl_MeasureList[#Headers],0))</f>
        <v>EQUI024</v>
      </c>
      <c r="E101" s="525" t="str">
        <f>INDEX(Tbl_MeasureList[],MATCH(Tbl_ROF_MeasureSummary[[#This Row],[Measure ID]:[Measure ID]],Tbl_MeasureList[[Measure ID]:[Measure ID]],0),MATCH(Tbl_ROF_MeasureSummary[[#Headers],[Replacement ID]],Tbl_MeasureList[#Headers],0))</f>
        <v>EQUI022</v>
      </c>
      <c r="F101" s="31" t="str">
        <f>INDEX(Tbl_MeasureList[],MATCH(Tbl_ROF_MeasureSummary[[#This Row],[Measure ID]:[Measure ID]],Tbl_MeasureList[[Measure ID]:[Measure ID]],0),MATCH(Tbl_ROF_MeasureSummary[[#Headers],[Baseline Name]],Tbl_MeasureList[#Headers],0))</f>
        <v>Oil Boiler+Storage WH</v>
      </c>
      <c r="G101" s="525" t="str">
        <f>INDEX(Tbl_MeasureList[],MATCH(Tbl_ROF_MeasureSummary[[#This Row],[Measure ID]:[Measure ID]],Tbl_MeasureList[[Measure ID]:[Measure ID]],0),MATCH(Tbl_ROF_MeasureSummary[[#Headers],[Replacement Name]],Tbl_MeasureList[#Headers],0))</f>
        <v>Gas Combination Boiler</v>
      </c>
      <c r="H101" s="31"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Oil Boiler+Storage WH to Gas Combination Boiler</v>
      </c>
      <c r="I101" s="525">
        <f>INDEX(Tbl_MeasureList[],MATCH(Tbl_ROF_MeasureSummary[[#This Row],[Measure ID]:[Measure ID]],Tbl_MeasureList[[Measure ID]:[Measure ID]],0),MATCH(Tbl_ROF_MeasureSummary[[#Headers],[New Unit Equipment Life (years)]],Tbl_MeasureList[#Headers],0))</f>
        <v>19</v>
      </c>
      <c r="J101" s="31" t="str">
        <f>INDEX(Tbl_MeasureList[],MATCH(Tbl_ROF_MeasureSummary[[#This Row],[Measure ID]:[Measure ID]],Tbl_MeasureList[[Measure ID]:[Measure ID]],0),MATCH(Tbl_ROF_MeasureSummary[[#Headers],[Baseline Function]],Tbl_MeasureList[#Headers],0))</f>
        <v>Heat+HW</v>
      </c>
      <c r="K101" s="525" t="str">
        <f>INDEX(Tbl_MeasureList[],MATCH(Tbl_ROF_MeasureSummary[[#This Row],[Measure ID]:[Measure ID]],Tbl_MeasureList[[Measure ID]:[Measure ID]],0),MATCH(Tbl_ROF_MeasureSummary[[#Headers],[Replacement Function]],Tbl_MeasureList[#Headers],0))</f>
        <v>Heat+HW</v>
      </c>
      <c r="L101" s="31" t="str">
        <f>INDEX(Tbl_MeasureList[],MATCH(Tbl_ROF_MeasureSummary[[#This Row],[Measure ID]:[Measure ID]],Tbl_MeasureList[[Measure ID]:[Measure ID]],0),MATCH(Tbl_ROF_MeasureSummary[[#Headers],[Keep Existing Heating Equipment?]],Tbl_MeasureList[#Headers],0))</f>
        <v>No</v>
      </c>
      <c r="M101" s="298"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Oil</v>
      </c>
      <c r="N101" s="543"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Natural Gas</v>
      </c>
      <c r="O101" s="528"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75% AFUE, 0.58 UEF</v>
      </c>
      <c r="P101" s="545"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84% AFUE, 0.62 UEF</v>
      </c>
      <c r="Q101" s="528"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90% AFUE</v>
      </c>
      <c r="R101" s="547"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95% AFUE</v>
      </c>
      <c r="S101" s="530">
        <f ca="1">INDEX(Tbl_MeasureList[],MATCH(Tbl_ROF_MeasureSummary[[#This Row],[Measure ID]:[Measure ID]],Tbl_MeasureList[[Measure ID]:[Measure ID]],0),MATCH(Tbl_ROF_MeasureSummary[[#Headers],[ROF Low Measure Energy Cost Savings (USD/yr)]],Tbl_MeasureList[#Headers],0))</f>
        <v>911.03361360766712</v>
      </c>
      <c r="T101" s="394">
        <f ca="1">INDEX(Tbl_MeasureList[],MATCH(Tbl_ROF_MeasureSummary[[#This Row],[Measure ID]:[Measure ID]],Tbl_MeasureList[[Measure ID]:[Measure ID]],0),MATCH(T$84,Tbl_MeasureList[#Headers],0))</f>
        <v>7514</v>
      </c>
      <c r="U101" s="532">
        <f ca="1">INDEX(Tbl_MeasureList[],MATCH(Tbl_ROF_MeasureSummary[[#This Row],[Measure ID]:[Measure ID]],Tbl_MeasureList[[Measure ID]:[Measure ID]],0),MATCH(Tbl_ROF_MeasureSummary[[#Headers],[ROF Low Measure Electric Annual Consumption Savings (kWh/yr)]],Tbl_MeasureList[#Headers],0))</f>
        <v>-99</v>
      </c>
      <c r="V101" s="396">
        <f ca="1">INDEX(Tbl_MeasureList[],MATCH(Tbl_ROF_MeasureSummary[[#This Row],[Measure ID]:[Measure ID]],Tbl_MeasureList[[Measure ID]:[Measure ID]],0),MATCH(Tbl_ROF_MeasureSummary[[#Headers],[ROF Low Measure Electric Winter Peak Demand Savings (kW)]],Tbl_MeasureList[#Headers],0))</f>
        <v>-1.5186960690316387E-2</v>
      </c>
      <c r="W101" s="534">
        <f ca="1">INDEX(Tbl_MeasureList[],MATCH(Tbl_ROF_MeasureSummary[[#This Row],[Measure ID]:[Measure ID]],Tbl_MeasureList[[Measure ID]:[Measure ID]],0),MATCH(Tbl_ROF_MeasureSummary[[#Headers],[ROF Low Measure Electric Summer Peak Demand Savings (kW)]],Tbl_MeasureList[#Headers],0))</f>
        <v>0</v>
      </c>
      <c r="X101" s="656">
        <f ca="1">INDEX(Tbl_MeasureList[],MATCH(Tbl_ROF_MeasureSummary[[#This Row],[Measure ID]:[Measure ID]],Tbl_MeasureList[[Measure ID]:[Measure ID]],0),MATCH(Tbl_ROF_MeasureSummary[[#Headers],[ROF Low Measure Natural Gas Annual Consumption Savings (therms/yr)]],Tbl_MeasureList[#Headers],0))</f>
        <v>-1006.6666666666667</v>
      </c>
      <c r="Y101" s="536">
        <f ca="1">INDEX(Tbl_MeasureList[],MATCH(Tbl_ROF_MeasureSummary[[#This Row],[Measure ID]:[Measure ID]],Tbl_MeasureList[[Measure ID]:[Measure ID]],0),MATCH(Tbl_ROF_MeasureSummary[[#Headers],[ROF Low Measure Propane Annual Consumption Savings (MMBtu/yr)]],Tbl_MeasureList[#Headers],0))</f>
        <v>0</v>
      </c>
      <c r="Z101" s="656">
        <f ca="1">INDEX(Tbl_MeasureList[],MATCH(Tbl_ROF_MeasureSummary[[#This Row],[Measure ID]:[Measure ID]],Tbl_MeasureList[[Measure ID]:[Measure ID]],0),MATCH(Tbl_ROF_MeasureSummary[[#Headers],[ROF Low Measure Oil Annual Consumption Savings (MMBtu/yr)]],Tbl_MeasureList[#Headers],0))</f>
        <v>113.72887864823349</v>
      </c>
      <c r="AA101" s="661">
        <f ca="1">INDEX(Tbl_MeasureList[],MATCH(Tbl_ROF_MeasureSummary[[#This Row],[Measure ID]:[Measure ID]],Tbl_MeasureList[[Measure ID]:[Measure ID]],0),MATCH(Tbl_ROF_MeasureSummary[[#Headers],[ROF Low Measure Annual Energy Savings on MMBtu Basis (MMBtu/yr)]],Tbl_MeasureList[#Headers],0))</f>
        <v>12.724423981566815</v>
      </c>
      <c r="AB101" s="656">
        <f ca="1">INDEX(Tbl_MeasureList[],MATCH(Tbl_ROF_MeasureSummary[[#This Row],[Measure ID]:[Measure ID]],Tbl_MeasureList[[Measure ID]:[Measure ID]],0),MATCH(Tbl_ROF_MeasureSummary[[#Headers],[ROF Low Measure Carbon Emissions Reduction, Site (tons CO2/yr)]],Tbl_MeasureList[#Headers],0))</f>
        <v>3.2832340629800312</v>
      </c>
      <c r="AC101" s="540">
        <f ca="1">INDEX(Tbl_MeasureList[],MATCH(Tbl_ROF_MeasureSummary[[#This Row],[Measure ID]:[Measure ID]],Tbl_MeasureList[[Measure ID]:[Measure ID]],0),MATCH(Tbl_ROF_MeasureSummary[[#Headers],[ROF Low Measure Carbon Emissions Reduction, Source (tons CO2/yr)]],Tbl_MeasureList[#Headers],0))</f>
        <v>3.2482712229800317</v>
      </c>
      <c r="AD101" s="530">
        <f ca="1">INDEX(Tbl_MeasureList[],MATCH(Tbl_ROF_MeasureSummary[[#This Row],[Measure ID]:[Measure ID]],Tbl_MeasureList[[Measure ID]:[Measure ID]],0),MATCH(Tbl_ROF_MeasureSummary[[#Headers],[ROF High Measure Energy Cost Savings (USD/yr)]],Tbl_MeasureList[#Headers],0))</f>
        <v>999.85691536205286</v>
      </c>
      <c r="AE101" s="394">
        <f ca="1">INDEX(Tbl_MeasureList[],MATCH(Tbl_ROF_MeasureSummary[[#This Row],[Measure ID]:[Measure ID]],Tbl_MeasureList[[Measure ID]:[Measure ID]],0),MATCH(AE$84,Tbl_MeasureList[#Headers],0))</f>
        <v>7514</v>
      </c>
      <c r="AF101" s="532">
        <f ca="1">INDEX(Tbl_MeasureList[],MATCH(Tbl_ROF_MeasureSummary[[#This Row],[Measure ID]:[Measure ID]],Tbl_MeasureList[[Measure ID]:[Measure ID]],0),MATCH(Tbl_ROF_MeasureSummary[[#Headers],[ROF High Measure Electric Annual Consumption Savings (kWh/yr)]],Tbl_MeasureList[#Headers],0))</f>
        <v>-82</v>
      </c>
      <c r="AG101" s="396">
        <f ca="1">INDEX(Tbl_MeasureList[],MATCH(Tbl_ROF_MeasureSummary[[#This Row],[Measure ID]:[Measure ID]],Tbl_MeasureList[[Measure ID]:[Measure ID]],0),MATCH(Tbl_ROF_MeasureSummary[[#Headers],[ROF High Measure Electric Winter Peak Demand Savings (kW)]],Tbl_MeasureList[#Headers],0))</f>
        <v>-1.2579098753595391E-2</v>
      </c>
      <c r="AH101" s="534">
        <f ca="1">INDEX(Tbl_MeasureList[],MATCH(Tbl_ROF_MeasureSummary[[#This Row],[Measure ID]:[Measure ID]],Tbl_MeasureList[[Measure ID]:[Measure ID]],0),MATCH(Tbl_ROF_MeasureSummary[[#Headers],[ROF High Measure Electric Summer Peak Demand Savings (kW)]],Tbl_MeasureList[#Headers],0))</f>
        <v>0</v>
      </c>
      <c r="AI101" s="656">
        <f ca="1">INDEX(Tbl_MeasureList[],MATCH(Tbl_ROF_MeasureSummary[[#This Row],[Measure ID]:[Measure ID]],Tbl_MeasureList[[Measure ID]:[Measure ID]],0),MATCH(Tbl_ROF_MeasureSummary[[#Headers],[ROF High Measure Natural Gas Annual Consumption Savings (therms/yr)]],Tbl_MeasureList[#Headers],0))</f>
        <v>-953.68421052631595</v>
      </c>
      <c r="AJ101" s="536">
        <f ca="1">INDEX(Tbl_MeasureList[],MATCH(Tbl_ROF_MeasureSummary[[#This Row],[Measure ID]:[Measure ID]],Tbl_MeasureList[[Measure ID]:[Measure ID]],0),MATCH(Tbl_ROF_MeasureSummary[[#Headers],[ROF High Measure Propane Annual Consumption Savings (MMBtu/yr)]],Tbl_MeasureList[#Headers],0))</f>
        <v>0</v>
      </c>
      <c r="AK101" s="656">
        <f ca="1">INDEX(Tbl_MeasureList[],MATCH(Tbl_ROF_MeasureSummary[[#This Row],[Measure ID]:[Measure ID]],Tbl_MeasureList[[Measure ID]:[Measure ID]],0),MATCH(Tbl_ROF_MeasureSummary[[#Headers],[ROF High Measure Oil Annual Consumption Savings (MMBtu/yr)]],Tbl_MeasureList[#Headers],0))</f>
        <v>113.72887864823349</v>
      </c>
      <c r="AL101" s="536">
        <f ca="1">INDEX(Tbl_MeasureList[],MATCH(Tbl_ROF_MeasureSummary[[#This Row],[Measure ID]:[Measure ID]],Tbl_MeasureList[[Measure ID]:[Measure ID]],0),MATCH(Tbl_ROF_MeasureSummary[[#Headers],[ROF High Measure Annual Energy Savings on MMBtu Basis (MMBtu/yr)]],Tbl_MeasureList[#Headers],0))</f>
        <v>18.080673595601894</v>
      </c>
      <c r="AM101" s="656">
        <f ca="1">INDEX(Tbl_MeasureList[],MATCH(Tbl_ROF_MeasureSummary[[#This Row],[Measure ID]:[Measure ID]],Tbl_MeasureList[[Measure ID]:[Measure ID]],0),MATCH(Tbl_ROF_MeasureSummary[[#Headers],[ROF High Measure Carbon Emissions Reduction, Site (tons CO2/yr)]],Tbl_MeasureList[#Headers],0))</f>
        <v>3.5931814314010833</v>
      </c>
      <c r="AN101" s="540">
        <f ca="1">INDEX(Tbl_MeasureList[],MATCH(Tbl_ROF_MeasureSummary[[#This Row],[Measure ID]:[Measure ID]],Tbl_MeasureList[[Measure ID]:[Measure ID]],0),MATCH(Tbl_ROF_MeasureSummary[[#Headers],[ROF High Measure Carbon Emissions Reduction, Source (tons CO2/yr)]],Tbl_MeasureList[#Headers],0))</f>
        <v>3.5642223114010827</v>
      </c>
      <c r="AO101" s="538">
        <f ca="1">INDEX(Tbl_MeasureList[],MATCH(Tbl_ROF_MeasureSummary[[#This Row],[Measure ID]:[Measure ID]],Tbl_MeasureList[[Measure ID]:[Measure ID]],0),MATCH(Tbl_ROF_MeasureSummary[[#Headers],[Current ROF Low Measure Coal Source Fuel Savings (lbs coal/year)]],Tbl_MeasureList[#Headers],0))</f>
        <v>-0.9558958382628473</v>
      </c>
      <c r="AP101" s="397">
        <f ca="1">INDEX(Tbl_MeasureList[],MATCH(Tbl_ROF_MeasureSummary[[#This Row],[Measure ID]:[Measure ID]],Tbl_MeasureList[[Measure ID]:[Measure ID]],0),MATCH(Tbl_ROF_MeasureSummary[[#Headers],[Current ROF Low Measure Oil Total Fuel Savings (gallons oil/year)]],Tbl_MeasureList[#Headers],0))</f>
        <v>824.35995388429239</v>
      </c>
      <c r="AQ101" s="540">
        <f ca="1">INDEX(Tbl_MeasureList[],MATCH(Tbl_ROF_MeasureSummary[[#This Row],[Measure ID]:[Measure ID]],Tbl_MeasureList[[Measure ID]:[Measure ID]],0),MATCH(Tbl_ROF_MeasureSummary[[#Headers],[Current ROF Low Measure Gas Total Fuel Savings (1,000 cu.ft. gas/year)]],Tbl_MeasureList[#Headers],0))</f>
        <v>-98.22331158650826</v>
      </c>
      <c r="AR101" s="517">
        <f ca="1">INDEX(Tbl_MeasureList[],MATCH(Tbl_ROF_MeasureSummary[[#This Row],[Measure ID]:[Measure ID]],Tbl_MeasureList[[Measure ID]:[Measure ID]],0),MATCH(Tbl_ROF_MeasureSummary[[#Headers],[Current ROF High Measure Coal Source Fuel Savings (lbs coal/year)]],Tbl_MeasureList[#Headers],0))</f>
        <v>-0.79175210846013611</v>
      </c>
      <c r="AS101" s="536">
        <f ca="1">INDEX(Tbl_MeasureList[],MATCH(Tbl_ROF_MeasureSummary[[#This Row],[Measure ID]:[Measure ID]],Tbl_MeasureList[[Measure ID]:[Measure ID]],0),MATCH(Tbl_ROF_MeasureSummary[[#Headers],[Current ROF High Measure Oil Total Fuel Savings (gallons oil/year)]],Tbl_MeasureList[#Headers],0))</f>
        <v>824.37556995762134</v>
      </c>
      <c r="AT101" s="397">
        <f ca="1">INDEX(Tbl_MeasureList[],MATCH(Tbl_ROF_MeasureSummary[[#This Row],[Measure ID]:[Measure ID]],Tbl_MeasureList[[Measure ID]:[Measure ID]],0),MATCH(Tbl_ROF_MeasureSummary[[#Headers],[Current ROF High Measure Gas Total Fuel Savings (1,000 cu.ft. gas/year)]],Tbl_MeasureList[#Headers],0))</f>
        <v>-93.006779187308013</v>
      </c>
    </row>
    <row r="102" spans="2:46" x14ac:dyDescent="0.2">
      <c r="B102" s="16"/>
      <c r="C102" s="44" t="s">
        <v>103</v>
      </c>
      <c r="D102" s="31" t="str">
        <f>INDEX(Tbl_MeasureList[],MATCH(Tbl_ROF_MeasureSummary[[#This Row],[Measure ID]:[Measure ID]],Tbl_MeasureList[[Measure ID]:[Measure ID]],0),MATCH(Tbl_ROF_MeasureSummary[[#Headers],[Baseline Equipment ID]],Tbl_MeasureList[#Headers],0))</f>
        <v>EQUI025</v>
      </c>
      <c r="E102" s="525" t="str">
        <f>INDEX(Tbl_MeasureList[],MATCH(Tbl_ROF_MeasureSummary[[#This Row],[Measure ID]:[Measure ID]],Tbl_MeasureList[[Measure ID]:[Measure ID]],0),MATCH(Tbl_ROF_MeasureSummary[[#Headers],[Replacement ID]],Tbl_MeasureList[#Headers],0))</f>
        <v>EQUI022</v>
      </c>
      <c r="F102" s="31" t="str">
        <f>INDEX(Tbl_MeasureList[],MATCH(Tbl_ROF_MeasureSummary[[#This Row],[Measure ID]:[Measure ID]],Tbl_MeasureList[[Measure ID]:[Measure ID]],0),MATCH(Tbl_ROF_MeasureSummary[[#Headers],[Baseline Name]],Tbl_MeasureList[#Headers],0))</f>
        <v>Propane Boiler+Storage WH</v>
      </c>
      <c r="G102" s="525" t="str">
        <f>INDEX(Tbl_MeasureList[],MATCH(Tbl_ROF_MeasureSummary[[#This Row],[Measure ID]:[Measure ID]],Tbl_MeasureList[[Measure ID]:[Measure ID]],0),MATCH(Tbl_ROF_MeasureSummary[[#Headers],[Replacement Name]],Tbl_MeasureList[#Headers],0))</f>
        <v>Gas Combination Boiler</v>
      </c>
      <c r="H102" s="31"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Propane Boiler+Storage WH to Gas Combination Boiler</v>
      </c>
      <c r="I102" s="525">
        <f>INDEX(Tbl_MeasureList[],MATCH(Tbl_ROF_MeasureSummary[[#This Row],[Measure ID]:[Measure ID]],Tbl_MeasureList[[Measure ID]:[Measure ID]],0),MATCH(Tbl_ROF_MeasureSummary[[#Headers],[New Unit Equipment Life (years)]],Tbl_MeasureList[#Headers],0))</f>
        <v>19</v>
      </c>
      <c r="J102" s="31" t="str">
        <f>INDEX(Tbl_MeasureList[],MATCH(Tbl_ROF_MeasureSummary[[#This Row],[Measure ID]:[Measure ID]],Tbl_MeasureList[[Measure ID]:[Measure ID]],0),MATCH(Tbl_ROF_MeasureSummary[[#Headers],[Baseline Function]],Tbl_MeasureList[#Headers],0))</f>
        <v>Heat+HW</v>
      </c>
      <c r="K102" s="525" t="str">
        <f>INDEX(Tbl_MeasureList[],MATCH(Tbl_ROF_MeasureSummary[[#This Row],[Measure ID]:[Measure ID]],Tbl_MeasureList[[Measure ID]:[Measure ID]],0),MATCH(Tbl_ROF_MeasureSummary[[#Headers],[Replacement Function]],Tbl_MeasureList[#Headers],0))</f>
        <v>Heat+HW</v>
      </c>
      <c r="L102" s="31" t="str">
        <f>INDEX(Tbl_MeasureList[],MATCH(Tbl_ROF_MeasureSummary[[#This Row],[Measure ID]:[Measure ID]],Tbl_MeasureList[[Measure ID]:[Measure ID]],0),MATCH(Tbl_ROF_MeasureSummary[[#Headers],[Keep Existing Heating Equipment?]],Tbl_MeasureList[#Headers],0))</f>
        <v>No</v>
      </c>
      <c r="M102" s="298"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Propane</v>
      </c>
      <c r="N102" s="543"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Natural Gas</v>
      </c>
      <c r="O102" s="528"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75% AFUE, 0.58 UEF</v>
      </c>
      <c r="P102" s="545"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82% AFUE (79.3% actual), 0.62 UEF</v>
      </c>
      <c r="Q102" s="528"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90% AFUE</v>
      </c>
      <c r="R102" s="547"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95% AFUE</v>
      </c>
      <c r="S102" s="530">
        <f ca="1">INDEX(Tbl_MeasureList[],MATCH(Tbl_ROF_MeasureSummary[[#This Row],[Measure ID]:[Measure ID]],Tbl_MeasureList[[Measure ID]:[Measure ID]],0),MATCH(Tbl_ROF_MeasureSummary[[#Headers],[ROF Low Measure Energy Cost Savings (USD/yr)]],Tbl_MeasureList[#Headers],0))</f>
        <v>2528.5534440132269</v>
      </c>
      <c r="T102" s="394">
        <f ca="1">INDEX(Tbl_MeasureList[],MATCH(Tbl_ROF_MeasureSummary[[#This Row],[Measure ID]:[Measure ID]],Tbl_MeasureList[[Measure ID]:[Measure ID]],0),MATCH(T$84,Tbl_MeasureList[#Headers],0))</f>
        <v>7882</v>
      </c>
      <c r="U102" s="532">
        <f ca="1">INDEX(Tbl_MeasureList[],MATCH(Tbl_ROF_MeasureSummary[[#This Row],[Measure ID]:[Measure ID]],Tbl_MeasureList[[Measure ID]:[Measure ID]],0),MATCH(Tbl_ROF_MeasureSummary[[#Headers],[ROF Low Measure Electric Annual Consumption Savings (kWh/yr)]],Tbl_MeasureList[#Headers],0))</f>
        <v>-132</v>
      </c>
      <c r="V102" s="396">
        <f ca="1">INDEX(Tbl_MeasureList[],MATCH(Tbl_ROF_MeasureSummary[[#This Row],[Measure ID]:[Measure ID]],Tbl_MeasureList[[Measure ID]:[Measure ID]],0),MATCH(Tbl_ROF_MeasureSummary[[#Headers],[ROF Low Measure Electric Winter Peak Demand Savings (kW)]],Tbl_MeasureList[#Headers],0))</f>
        <v>-2.0249280920421858E-2</v>
      </c>
      <c r="W102" s="534">
        <f ca="1">INDEX(Tbl_MeasureList[],MATCH(Tbl_ROF_MeasureSummary[[#This Row],[Measure ID]:[Measure ID]],Tbl_MeasureList[[Measure ID]:[Measure ID]],0),MATCH(Tbl_ROF_MeasureSummary[[#Headers],[ROF Low Measure Electric Summer Peak Demand Savings (kW)]],Tbl_MeasureList[#Headers],0))</f>
        <v>0</v>
      </c>
      <c r="X102" s="656">
        <f ca="1">INDEX(Tbl_MeasureList[],MATCH(Tbl_ROF_MeasureSummary[[#This Row],[Measure ID]:[Measure ID]],Tbl_MeasureList[[Measure ID]:[Measure ID]],0),MATCH(Tbl_ROF_MeasureSummary[[#Headers],[ROF Low Measure Natural Gas Annual Consumption Savings (therms/yr)]],Tbl_MeasureList[#Headers],0))</f>
        <v>-977.77777777777771</v>
      </c>
      <c r="Y102" s="536">
        <f ca="1">INDEX(Tbl_MeasureList[],MATCH(Tbl_ROF_MeasureSummary[[#This Row],[Measure ID]:[Measure ID]],Tbl_MeasureList[[Measure ID]:[Measure ID]],0),MATCH(Tbl_ROF_MeasureSummary[[#Headers],[ROF Low Measure Propane Annual Consumption Savings (MMBtu/yr)]],Tbl_MeasureList[#Headers],0))</f>
        <v>114.94711792702273</v>
      </c>
      <c r="Z102" s="656">
        <f ca="1">INDEX(Tbl_MeasureList[],MATCH(Tbl_ROF_MeasureSummary[[#This Row],[Measure ID]:[Measure ID]],Tbl_MeasureList[[Measure ID]:[Measure ID]],0),MATCH(Tbl_ROF_MeasureSummary[[#Headers],[ROF Low Measure Oil Annual Consumption Savings (MMBtu/yr)]],Tbl_MeasureList[#Headers],0))</f>
        <v>0</v>
      </c>
      <c r="AA102" s="661">
        <f ca="1">INDEX(Tbl_MeasureList[],MATCH(Tbl_ROF_MeasureSummary[[#This Row],[Measure ID]:[Measure ID]],Tbl_MeasureList[[Measure ID]:[Measure ID]],0),MATCH(Tbl_ROF_MeasureSummary[[#Headers],[ROF Low Measure Annual Energy Savings on MMBtu Basis (MMBtu/yr)]],Tbl_MeasureList[#Headers],0))</f>
        <v>16.71895614924496</v>
      </c>
      <c r="AB102" s="656">
        <f ca="1">INDEX(Tbl_MeasureList[],MATCH(Tbl_ROF_MeasureSummary[[#This Row],[Measure ID]:[Measure ID]],Tbl_MeasureList[[Measure ID]:[Measure ID]],0),MATCH(Tbl_ROF_MeasureSummary[[#Headers],[ROF Low Measure Carbon Emissions Reduction, Site (tons CO2/yr)]],Tbl_MeasureList[#Headers],0))</f>
        <v>2.2688246959280809</v>
      </c>
      <c r="AC102" s="540">
        <f ca="1">INDEX(Tbl_MeasureList[],MATCH(Tbl_ROF_MeasureSummary[[#This Row],[Measure ID]:[Measure ID]],Tbl_MeasureList[[Measure ID]:[Measure ID]],0),MATCH(Tbl_ROF_MeasureSummary[[#Headers],[ROF Low Measure Carbon Emissions Reduction, Source (tons CO2/yr)]],Tbl_MeasureList[#Headers],0))</f>
        <v>2.2222075759280813</v>
      </c>
      <c r="AD102" s="530">
        <f ca="1">INDEX(Tbl_MeasureList[],MATCH(Tbl_ROF_MeasureSummary[[#This Row],[Measure ID]:[Measure ID]],Tbl_MeasureList[[Measure ID]:[Measure ID]],0),MATCH(Tbl_ROF_MeasureSummary[[#Headers],[ROF High Measure Energy Cost Savings (USD/yr)]],Tbl_MeasureList[#Headers],0))</f>
        <v>2614.9242311477292</v>
      </c>
      <c r="AE102" s="394">
        <f ca="1">INDEX(Tbl_MeasureList[],MATCH(Tbl_ROF_MeasureSummary[[#This Row],[Measure ID]:[Measure ID]],Tbl_MeasureList[[Measure ID]:[Measure ID]],0),MATCH(AE$84,Tbl_MeasureList[#Headers],0))</f>
        <v>7882</v>
      </c>
      <c r="AF102" s="532">
        <f ca="1">INDEX(Tbl_MeasureList[],MATCH(Tbl_ROF_MeasureSummary[[#This Row],[Measure ID]:[Measure ID]],Tbl_MeasureList[[Measure ID]:[Measure ID]],0),MATCH(Tbl_ROF_MeasureSummary[[#Headers],[ROF High Measure Electric Annual Consumption Savings (kWh/yr)]],Tbl_MeasureList[#Headers],0))</f>
        <v>-115</v>
      </c>
      <c r="AG102" s="396">
        <f ca="1">INDEX(Tbl_MeasureList[],MATCH(Tbl_ROF_MeasureSummary[[#This Row],[Measure ID]:[Measure ID]],Tbl_MeasureList[[Measure ID]:[Measure ID]],0),MATCH(Tbl_ROF_MeasureSummary[[#Headers],[ROF High Measure Electric Winter Peak Demand Savings (kW)]],Tbl_MeasureList[#Headers],0))</f>
        <v>-1.7641418983700863E-2</v>
      </c>
      <c r="AH102" s="534">
        <f ca="1">INDEX(Tbl_MeasureList[],MATCH(Tbl_ROF_MeasureSummary[[#This Row],[Measure ID]:[Measure ID]],Tbl_MeasureList[[Measure ID]:[Measure ID]],0),MATCH(Tbl_ROF_MeasureSummary[[#Headers],[ROF High Measure Electric Summer Peak Demand Savings (kW)]],Tbl_MeasureList[#Headers],0))</f>
        <v>0</v>
      </c>
      <c r="AI102" s="656">
        <f ca="1">INDEX(Tbl_MeasureList[],MATCH(Tbl_ROF_MeasureSummary[[#This Row],[Measure ID]:[Measure ID]],Tbl_MeasureList[[Measure ID]:[Measure ID]],0),MATCH(Tbl_ROF_MeasureSummary[[#Headers],[ROF High Measure Natural Gas Annual Consumption Savings (therms/yr)]],Tbl_MeasureList[#Headers],0))</f>
        <v>-926.31578947368428</v>
      </c>
      <c r="AJ102" s="536">
        <f ca="1">INDEX(Tbl_MeasureList[],MATCH(Tbl_ROF_MeasureSummary[[#This Row],[Measure ID]:[Measure ID]],Tbl_MeasureList[[Measure ID]:[Measure ID]],0),MATCH(Tbl_ROF_MeasureSummary[[#Headers],[ROF High Measure Propane Annual Consumption Savings (MMBtu/yr)]],Tbl_MeasureList[#Headers],0))</f>
        <v>114.94711792702273</v>
      </c>
      <c r="AK102" s="656">
        <f ca="1">INDEX(Tbl_MeasureList[],MATCH(Tbl_ROF_MeasureSummary[[#This Row],[Measure ID]:[Measure ID]],Tbl_MeasureList[[Measure ID]:[Measure ID]],0),MATCH(Tbl_ROF_MeasureSummary[[#Headers],[ROF High Measure Oil Annual Consumption Savings (MMBtu/yr)]],Tbl_MeasureList[#Headers],0))</f>
        <v>0</v>
      </c>
      <c r="AL102" s="536">
        <f ca="1">INDEX(Tbl_MeasureList[],MATCH(Tbl_ROF_MeasureSummary[[#This Row],[Measure ID]:[Measure ID]],Tbl_MeasureList[[Measure ID]:[Measure ID]],0),MATCH(Tbl_ROF_MeasureSummary[[#Headers],[ROF High Measure Annual Energy Savings on MMBtu Basis (MMBtu/yr)]],Tbl_MeasureList[#Headers],0))</f>
        <v>21.923158979654303</v>
      </c>
      <c r="AM102" s="656">
        <f ca="1">INDEX(Tbl_MeasureList[],MATCH(Tbl_ROF_MeasureSummary[[#This Row],[Measure ID]:[Measure ID]],Tbl_MeasureList[[Measure ID]:[Measure ID]],0),MATCH(Tbl_ROF_MeasureSummary[[#Headers],[ROF High Measure Carbon Emissions Reduction, Site (tons CO2/yr)]],Tbl_MeasureList[#Headers],0))</f>
        <v>2.5698773275070268</v>
      </c>
      <c r="AN102" s="540">
        <f ca="1">INDEX(Tbl_MeasureList[],MATCH(Tbl_ROF_MeasureSummary[[#This Row],[Measure ID]:[Measure ID]],Tbl_MeasureList[[Measure ID]:[Measure ID]],0),MATCH(Tbl_ROF_MeasureSummary[[#Headers],[ROF High Measure Carbon Emissions Reduction, Source (tons CO2/yr)]],Tbl_MeasureList[#Headers],0))</f>
        <v>2.5292639275070279</v>
      </c>
      <c r="AO102" s="538">
        <f ca="1">INDEX(Tbl_MeasureList[],MATCH(Tbl_ROF_MeasureSummary[[#This Row],[Measure ID]:[Measure ID]],Tbl_MeasureList[[Measure ID]:[Measure ID]],0),MATCH(Tbl_ROF_MeasureSummary[[#Headers],[Current ROF Low Measure Coal Source Fuel Savings (lbs coal/year)]],Tbl_MeasureList[#Headers],0))</f>
        <v>-1.274527784350463</v>
      </c>
      <c r="AP102" s="397">
        <f ca="1">INDEX(Tbl_MeasureList[],MATCH(Tbl_ROF_MeasureSummary[[#This Row],[Measure ID]:[Measure ID]],Tbl_MeasureList[[Measure ID]:[Measure ID]],0),MATCH(Tbl_ROF_MeasureSummary[[#Headers],[Current ROF Low Measure Oil Total Fuel Savings (gallons oil/year)]],Tbl_MeasureList[#Headers],0))</f>
        <v>-0.12125421643673746</v>
      </c>
      <c r="AQ102" s="540">
        <f ca="1">INDEX(Tbl_MeasureList[],MATCH(Tbl_ROF_MeasureSummary[[#This Row],[Measure ID]:[Measure ID]],Tbl_MeasureList[[Measure ID]:[Measure ID]],0),MATCH(Tbl_ROF_MeasureSummary[[#Headers],[Current ROF Low Measure Gas Total Fuel Savings (1,000 cu.ft. gas/year)]],Tbl_MeasureList[#Headers],0))</f>
        <v>-95.547073908887128</v>
      </c>
      <c r="AR102" s="517">
        <f ca="1">INDEX(Tbl_MeasureList[],MATCH(Tbl_ROF_MeasureSummary[[#This Row],[Measure ID]:[Measure ID]],Tbl_MeasureList[[Measure ID]:[Measure ID]],0),MATCH(Tbl_ROF_MeasureSummary[[#Headers],[Current ROF High Measure Coal Source Fuel Savings (lbs coal/year)]],Tbl_MeasureList[#Headers],0))</f>
        <v>-1.1103840545477519</v>
      </c>
      <c r="AS102" s="536">
        <f ca="1">INDEX(Tbl_MeasureList[],MATCH(Tbl_ROF_MeasureSummary[[#This Row],[Measure ID]:[Measure ID]],Tbl_MeasureList[[Measure ID]:[Measure ID]],0),MATCH(Tbl_ROF_MeasureSummary[[#Headers],[Current ROF High Measure Oil Total Fuel Savings (gallons oil/year)]],Tbl_MeasureList[#Headers],0))</f>
        <v>-0.1056381431077637</v>
      </c>
      <c r="AT102" s="397">
        <f ca="1">INDEX(Tbl_MeasureList[],MATCH(Tbl_ROF_MeasureSummary[[#This Row],[Measure ID]:[Measure ID]],Tbl_MeasureList[[Measure ID]:[Measure ID]],0),MATCH(Tbl_ROF_MeasureSummary[[#Headers],[Current ROF High Measure Gas Total Fuel Savings (1,000 cu.ft. gas/year)]],Tbl_MeasureList[#Headers],0))</f>
        <v>-90.478303204172548</v>
      </c>
    </row>
    <row r="103" spans="2:46" x14ac:dyDescent="0.2">
      <c r="B103" s="16"/>
      <c r="C103" s="44" t="s">
        <v>104</v>
      </c>
      <c r="D103" s="31" t="str">
        <f>INDEX(Tbl_MeasureList[],MATCH(Tbl_ROF_MeasureSummary[[#This Row],[Measure ID]:[Measure ID]],Tbl_MeasureList[[Measure ID]:[Measure ID]],0),MATCH(Tbl_ROF_MeasureSummary[[#Headers],[Baseline Equipment ID]],Tbl_MeasureList[#Headers],0))</f>
        <v>EQUI026</v>
      </c>
      <c r="E103" s="525" t="str">
        <f>INDEX(Tbl_MeasureList[],MATCH(Tbl_ROF_MeasureSummary[[#This Row],[Measure ID]:[Measure ID]],Tbl_MeasureList[[Measure ID]:[Measure ID]],0),MATCH(Tbl_ROF_MeasureSummary[[#Headers],[Replacement ID]],Tbl_MeasureList[#Headers],0))</f>
        <v>EQUI028</v>
      </c>
      <c r="F103" s="31" t="str">
        <f>INDEX(Tbl_MeasureList[],MATCH(Tbl_ROF_MeasureSummary[[#This Row],[Measure ID]:[Measure ID]],Tbl_MeasureList[[Measure ID]:[Measure ID]],0),MATCH(Tbl_ROF_MeasureSummary[[#Headers],[Baseline Name]],Tbl_MeasureList[#Headers],0))</f>
        <v>Oil Storage WH</v>
      </c>
      <c r="G103" s="525" t="str">
        <f>INDEX(Tbl_MeasureList[],MATCH(Tbl_ROF_MeasureSummary[[#This Row],[Measure ID]:[Measure ID]],Tbl_MeasureList[[Measure ID]:[Measure ID]],0),MATCH(Tbl_ROF_MeasureSummary[[#Headers],[Replacement Name]],Tbl_MeasureList[#Headers],0))</f>
        <v>Gas Storage WH</v>
      </c>
      <c r="H103" s="31"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Oil Storage WH to Gas Storage WH</v>
      </c>
      <c r="I103" s="525">
        <f>INDEX(Tbl_MeasureList[],MATCH(Tbl_ROF_MeasureSummary[[#This Row],[Measure ID]:[Measure ID]],Tbl_MeasureList[[Measure ID]:[Measure ID]],0),MATCH(Tbl_ROF_MeasureSummary[[#Headers],[New Unit Equipment Life (years)]],Tbl_MeasureList[#Headers],0))</f>
        <v>15</v>
      </c>
      <c r="J103" s="31" t="str">
        <f>INDEX(Tbl_MeasureList[],MATCH(Tbl_ROF_MeasureSummary[[#This Row],[Measure ID]:[Measure ID]],Tbl_MeasureList[[Measure ID]:[Measure ID]],0),MATCH(Tbl_ROF_MeasureSummary[[#Headers],[Baseline Function]],Tbl_MeasureList[#Headers],0))</f>
        <v>HW</v>
      </c>
      <c r="K103" s="525" t="str">
        <f>INDEX(Tbl_MeasureList[],MATCH(Tbl_ROF_MeasureSummary[[#This Row],[Measure ID]:[Measure ID]],Tbl_MeasureList[[Measure ID]:[Measure ID]],0),MATCH(Tbl_ROF_MeasureSummary[[#Headers],[Replacement Function]],Tbl_MeasureList[#Headers],0))</f>
        <v>HW</v>
      </c>
      <c r="L103" s="31" t="str">
        <f>INDEX(Tbl_MeasureList[],MATCH(Tbl_ROF_MeasureSummary[[#This Row],[Measure ID]:[Measure ID]],Tbl_MeasureList[[Measure ID]:[Measure ID]],0),MATCH(Tbl_ROF_MeasureSummary[[#Headers],[Keep Existing Heating Equipment?]],Tbl_MeasureList[#Headers],0))</f>
        <v>No</v>
      </c>
      <c r="M103" s="298"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Oil</v>
      </c>
      <c r="N103" s="543"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Natural Gas</v>
      </c>
      <c r="O103" s="528"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0.58 UEF</v>
      </c>
      <c r="P103" s="545"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0.62 UEF</v>
      </c>
      <c r="Q103" s="528"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0.60 UEF</v>
      </c>
      <c r="R103" s="547"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0.66 UEF</v>
      </c>
      <c r="S103" s="530">
        <f ca="1">INDEX(Tbl_MeasureList[],MATCH(Tbl_ROF_MeasureSummary[[#This Row],[Measure ID]:[Measure ID]],Tbl_MeasureList[[Measure ID]:[Measure ID]],0),MATCH(Tbl_ROF_MeasureSummary[[#Headers],[ROF Low Measure Energy Cost Savings (USD/yr)]],Tbl_MeasureList[#Headers],0))</f>
        <v>116.3147296530438</v>
      </c>
      <c r="T103" s="394">
        <f ca="1">INDEX(Tbl_MeasureList[],MATCH(Tbl_ROF_MeasureSummary[[#This Row],[Measure ID]:[Measure ID]],Tbl_MeasureList[[Measure ID]:[Measure ID]],0),MATCH(T$84,Tbl_MeasureList[#Headers],0))</f>
        <v>5863</v>
      </c>
      <c r="U103" s="532">
        <f ca="1">INDEX(Tbl_MeasureList[],MATCH(Tbl_ROF_MeasureSummary[[#This Row],[Measure ID]:[Measure ID]],Tbl_MeasureList[[Measure ID]:[Measure ID]],0),MATCH(Tbl_ROF_MeasureSummary[[#Headers],[ROF Low Measure Electric Annual Consumption Savings (kWh/yr)]],Tbl_MeasureList[#Headers],0))</f>
        <v>-68.5</v>
      </c>
      <c r="V103" s="396">
        <f ca="1">INDEX(Tbl_MeasureList[],MATCH(Tbl_ROF_MeasureSummary[[#This Row],[Measure ID]:[Measure ID]],Tbl_MeasureList[[Measure ID]:[Measure ID]],0),MATCH(Tbl_ROF_MeasureSummary[[#Headers],[ROF Low Measure Electric Winter Peak Demand Savings (kW)]],Tbl_MeasureList[#Headers],0))</f>
        <v>-2.7043031977891829E-2</v>
      </c>
      <c r="W103" s="534">
        <f ca="1">INDEX(Tbl_MeasureList[],MATCH(Tbl_ROF_MeasureSummary[[#This Row],[Measure ID]:[Measure ID]],Tbl_MeasureList[[Measure ID]:[Measure ID]],0),MATCH(Tbl_ROF_MeasureSummary[[#Headers],[ROF Low Measure Electric Summer Peak Demand Savings (kW)]],Tbl_MeasureList[#Headers],0))</f>
        <v>-1.2710225029609159E-2</v>
      </c>
      <c r="X103" s="656">
        <f ca="1">INDEX(Tbl_MeasureList[],MATCH(Tbl_ROF_MeasureSummary[[#This Row],[Measure ID]:[Measure ID]],Tbl_MeasureList[[Measure ID]:[Measure ID]],0),MATCH(Tbl_ROF_MeasureSummary[[#Headers],[ROF Low Measure Natural Gas Annual Consumption Savings (therms/yr)]],Tbl_MeasureList[#Headers],0))</f>
        <v>-231.66666666666669</v>
      </c>
      <c r="Y103" s="536">
        <f ca="1">INDEX(Tbl_MeasureList[],MATCH(Tbl_ROF_MeasureSummary[[#This Row],[Measure ID]:[Measure ID]],Tbl_MeasureList[[Measure ID]:[Measure ID]],0),MATCH(Tbl_ROF_MeasureSummary[[#Headers],[ROF Low Measure Propane Annual Consumption Savings (MMBtu/yr)]],Tbl_MeasureList[#Headers],0))</f>
        <v>0</v>
      </c>
      <c r="Z103" s="656">
        <f ca="1">INDEX(Tbl_MeasureList[],MATCH(Tbl_ROF_MeasureSummary[[#This Row],[Measure ID]:[Measure ID]],Tbl_MeasureList[[Measure ID]:[Measure ID]],0),MATCH(Tbl_ROF_MeasureSummary[[#Headers],[ROF Low Measure Oil Annual Consumption Savings (MMBtu/yr)]],Tbl_MeasureList[#Headers],0))</f>
        <v>22.41935483870968</v>
      </c>
      <c r="AA103" s="661">
        <f ca="1">INDEX(Tbl_MeasureList[],MATCH(Tbl_ROF_MeasureSummary[[#This Row],[Measure ID]:[Measure ID]],Tbl_MeasureList[[Measure ID]:[Measure ID]],0),MATCH(Tbl_ROF_MeasureSummary[[#Headers],[ROF Low Measure Annual Energy Savings on MMBtu Basis (MMBtu/yr)]],Tbl_MeasureList[#Headers],0))</f>
        <v>-0.98103382795698835</v>
      </c>
      <c r="AB103" s="656">
        <f ca="1">INDEX(Tbl_MeasureList[],MATCH(Tbl_ROF_MeasureSummary[[#This Row],[Measure ID]:[Measure ID]],Tbl_MeasureList[[Measure ID]:[Measure ID]],0),MATCH(Tbl_ROF_MeasureSummary[[#Headers],[ROF Low Measure Carbon Emissions Reduction, Site (tons CO2/yr)]],Tbl_MeasureList[#Headers],0))</f>
        <v>0.4528709677419358</v>
      </c>
      <c r="AC103" s="540">
        <f ca="1">INDEX(Tbl_MeasureList[],MATCH(Tbl_ROF_MeasureSummary[[#This Row],[Measure ID]:[Measure ID]],Tbl_MeasureList[[Measure ID]:[Measure ID]],0),MATCH(Tbl_ROF_MeasureSummary[[#Headers],[ROF Low Measure Carbon Emissions Reduction, Source (tons CO2/yr)]],Tbl_MeasureList[#Headers],0))</f>
        <v>0.42867950774193586</v>
      </c>
      <c r="AD103" s="530">
        <f ca="1">INDEX(Tbl_MeasureList[],MATCH(Tbl_ROF_MeasureSummary[[#This Row],[Measure ID]:[Measure ID]],Tbl_MeasureList[[Measure ID]:[Measure ID]],0),MATCH(Tbl_ROF_MeasureSummary[[#Headers],[ROF High Measure Energy Cost Savings (USD/yr)]],Tbl_MeasureList[#Headers],0))</f>
        <v>151.84810722880144</v>
      </c>
      <c r="AE103" s="394">
        <f ca="1">INDEX(Tbl_MeasureList[],MATCH(Tbl_ROF_MeasureSummary[[#This Row],[Measure ID]:[Measure ID]],Tbl_MeasureList[[Measure ID]:[Measure ID]],0),MATCH(AE$84,Tbl_MeasureList[#Headers],0))</f>
        <v>8231</v>
      </c>
      <c r="AF103" s="532">
        <f ca="1">INDEX(Tbl_MeasureList[],MATCH(Tbl_ROF_MeasureSummary[[#This Row],[Measure ID]:[Measure ID]],Tbl_MeasureList[[Measure ID]:[Measure ID]],0),MATCH(Tbl_ROF_MeasureSummary[[#Headers],[ROF High Measure Electric Annual Consumption Savings (kWh/yr)]],Tbl_MeasureList[#Headers],0))</f>
        <v>-60.6</v>
      </c>
      <c r="AG103" s="396">
        <f ca="1">INDEX(Tbl_MeasureList[],MATCH(Tbl_ROF_MeasureSummary[[#This Row],[Measure ID]:[Measure ID]],Tbl_MeasureList[[Measure ID]:[Measure ID]],0),MATCH(Tbl_ROF_MeasureSummary[[#Headers],[ROF High Measure Electric Winter Peak Demand Savings (kW)]],Tbl_MeasureList[#Headers],0))</f>
        <v>-2.3924200552704302E-2</v>
      </c>
      <c r="AH103" s="534">
        <f ca="1">INDEX(Tbl_MeasureList[],MATCH(Tbl_ROF_MeasureSummary[[#This Row],[Measure ID]:[Measure ID]],Tbl_MeasureList[[Measure ID]:[Measure ID]],0),MATCH(Tbl_ROF_MeasureSummary[[#Headers],[ROF High Measure Electric Summer Peak Demand Savings (kW)]],Tbl_MeasureList[#Headers],0))</f>
        <v>-1.1244374259771022E-2</v>
      </c>
      <c r="AI103" s="656">
        <f ca="1">INDEX(Tbl_MeasureList[],MATCH(Tbl_ROF_MeasureSummary[[#This Row],[Measure ID]:[Measure ID]],Tbl_MeasureList[[Measure ID]:[Measure ID]],0),MATCH(Tbl_ROF_MeasureSummary[[#Headers],[ROF High Measure Natural Gas Annual Consumption Savings (therms/yr)]],Tbl_MeasureList[#Headers],0))</f>
        <v>-210.60606060606059</v>
      </c>
      <c r="AJ103" s="536">
        <f ca="1">INDEX(Tbl_MeasureList[],MATCH(Tbl_ROF_MeasureSummary[[#This Row],[Measure ID]:[Measure ID]],Tbl_MeasureList[[Measure ID]:[Measure ID]],0),MATCH(Tbl_ROF_MeasureSummary[[#Headers],[ROF High Measure Propane Annual Consumption Savings (MMBtu/yr)]],Tbl_MeasureList[#Headers],0))</f>
        <v>0</v>
      </c>
      <c r="AK103" s="656">
        <f ca="1">INDEX(Tbl_MeasureList[],MATCH(Tbl_ROF_MeasureSummary[[#This Row],[Measure ID]:[Measure ID]],Tbl_MeasureList[[Measure ID]:[Measure ID]],0),MATCH(Tbl_ROF_MeasureSummary[[#Headers],[ROF High Measure Oil Annual Consumption Savings (MMBtu/yr)]],Tbl_MeasureList[#Headers],0))</f>
        <v>22.41935483870968</v>
      </c>
      <c r="AL103" s="536">
        <f ca="1">INDEX(Tbl_MeasureList[],MATCH(Tbl_ROF_MeasureSummary[[#This Row],[Measure ID]:[Measure ID]],Tbl_MeasureList[[Measure ID]:[Measure ID]],0),MATCH(Tbl_ROF_MeasureSummary[[#Headers],[ROF High Measure Annual Energy Savings on MMBtu Basis (MMBtu/yr)]],Tbl_MeasureList[#Headers],0))</f>
        <v>1.1519815781036193</v>
      </c>
      <c r="AM103" s="656">
        <f ca="1">INDEX(Tbl_MeasureList[],MATCH(Tbl_ROF_MeasureSummary[[#This Row],[Measure ID]:[Measure ID]],Tbl_MeasureList[[Measure ID]:[Measure ID]],0),MATCH(Tbl_ROF_MeasureSummary[[#Headers],[ROF High Measure Carbon Emissions Reduction, Site (tons CO2/yr)]],Tbl_MeasureList[#Headers],0))</f>
        <v>0.57607551319648143</v>
      </c>
      <c r="AN103" s="540">
        <f ca="1">INDEX(Tbl_MeasureList[],MATCH(Tbl_ROF_MeasureSummary[[#This Row],[Measure ID]:[Measure ID]],Tbl_MeasureList[[Measure ID]:[Measure ID]],0),MATCH(Tbl_ROF_MeasureSummary[[#Headers],[ROF High Measure Carbon Emissions Reduction, Source (tons CO2/yr)]],Tbl_MeasureList[#Headers],0))</f>
        <v>0.55467401719648146</v>
      </c>
      <c r="AO103" s="538">
        <f ca="1">INDEX(Tbl_MeasureList[],MATCH(Tbl_ROF_MeasureSummary[[#This Row],[Measure ID]:[Measure ID]],Tbl_MeasureList[[Measure ID]:[Measure ID]],0),MATCH(Tbl_ROF_MeasureSummary[[#Headers],[Current ROF Low Measure Coal Source Fuel Savings (lbs coal/year)]],Tbl_MeasureList[#Headers],0))</f>
        <v>-0.66140267596974789</v>
      </c>
      <c r="AP103" s="397">
        <f ca="1">INDEX(Tbl_MeasureList[],MATCH(Tbl_ROF_MeasureSummary[[#This Row],[Measure ID]:[Measure ID]],Tbl_MeasureList[[Measure ID]:[Measure ID]],0),MATCH(Tbl_ROF_MeasureSummary[[#Headers],[Current ROF Low Measure Oil Total Fuel Savings (gallons oil/year)]],Tbl_MeasureList[#Headers],0))</f>
        <v>162.4609434495172</v>
      </c>
      <c r="AQ103" s="540">
        <f ca="1">INDEX(Tbl_MeasureList[],MATCH(Tbl_ROF_MeasureSummary[[#This Row],[Measure ID]:[Measure ID]],Tbl_MeasureList[[Measure ID]:[Measure ID]],0),MATCH(Tbl_ROF_MeasureSummary[[#Headers],[Current ROF Low Measure Gas Total Fuel Savings (1,000 cu.ft. gas/year)]],Tbl_MeasureList[#Headers],0))</f>
        <v>-22.786178455848543</v>
      </c>
      <c r="AR103" s="517">
        <f ca="1">INDEX(Tbl_MeasureList[],MATCH(Tbl_ROF_MeasureSummary[[#This Row],[Measure ID]:[Measure ID]],Tbl_MeasureList[[Measure ID]:[Measure ID]],0),MATCH(Tbl_ROF_MeasureSummary[[#Headers],[Current ROF High Measure Coal Source Fuel Savings (lbs coal/year)]],Tbl_MeasureList[#Headers],0))</f>
        <v>-0.58512411917907625</v>
      </c>
      <c r="AS103" s="536">
        <f ca="1">INDEX(Tbl_MeasureList[],MATCH(Tbl_ROF_MeasureSummary[[#This Row],[Measure ID]:[Measure ID]],Tbl_MeasureList[[Measure ID]:[Measure ID]],0),MATCH(Tbl_ROF_MeasureSummary[[#Headers],[Current ROF High Measure Oil Total Fuel Savings (gallons oil/year)]],Tbl_MeasureList[#Headers],0))</f>
        <v>162.46820033065242</v>
      </c>
      <c r="AT103" s="397">
        <f ca="1">INDEX(Tbl_MeasureList[],MATCH(Tbl_ROF_MeasureSummary[[#This Row],[Measure ID]:[Measure ID]],Tbl_MeasureList[[Measure ID]:[Measure ID]],0),MATCH(Tbl_ROF_MeasureSummary[[#Headers],[Current ROF High Measure Gas Total Fuel Savings (1,000 cu.ft. gas/year)]],Tbl_MeasureList[#Headers],0))</f>
        <v>-20.708055579355548</v>
      </c>
    </row>
    <row r="104" spans="2:46" x14ac:dyDescent="0.2">
      <c r="B104" s="16"/>
      <c r="C104" s="44" t="s">
        <v>105</v>
      </c>
      <c r="D104" s="31" t="str">
        <f>INDEX(Tbl_MeasureList[],MATCH(Tbl_ROF_MeasureSummary[[#This Row],[Measure ID]:[Measure ID]],Tbl_MeasureList[[Measure ID]:[Measure ID]],0),MATCH(Tbl_ROF_MeasureSummary[[#Headers],[Baseline Equipment ID]],Tbl_MeasureList[#Headers],0))</f>
        <v>EQUI027</v>
      </c>
      <c r="E104" s="525" t="str">
        <f>INDEX(Tbl_MeasureList[],MATCH(Tbl_ROF_MeasureSummary[[#This Row],[Measure ID]:[Measure ID]],Tbl_MeasureList[[Measure ID]:[Measure ID]],0),MATCH(Tbl_ROF_MeasureSummary[[#Headers],[Replacement ID]],Tbl_MeasureList[#Headers],0))</f>
        <v>EQUI028</v>
      </c>
      <c r="F104" s="31" t="str">
        <f>INDEX(Tbl_MeasureList[],MATCH(Tbl_ROF_MeasureSummary[[#This Row],[Measure ID]:[Measure ID]],Tbl_MeasureList[[Measure ID]:[Measure ID]],0),MATCH(Tbl_ROF_MeasureSummary[[#Headers],[Baseline Name]],Tbl_MeasureList[#Headers],0))</f>
        <v>Propane Storage WH</v>
      </c>
      <c r="G104" s="525" t="str">
        <f>INDEX(Tbl_MeasureList[],MATCH(Tbl_ROF_MeasureSummary[[#This Row],[Measure ID]:[Measure ID]],Tbl_MeasureList[[Measure ID]:[Measure ID]],0),MATCH(Tbl_ROF_MeasureSummary[[#Headers],[Replacement Name]],Tbl_MeasureList[#Headers],0))</f>
        <v>Gas Storage WH</v>
      </c>
      <c r="H104" s="31"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Propane Storage WH to Gas Storage WH</v>
      </c>
      <c r="I104" s="525">
        <f>INDEX(Tbl_MeasureList[],MATCH(Tbl_ROF_MeasureSummary[[#This Row],[Measure ID]:[Measure ID]],Tbl_MeasureList[[Measure ID]:[Measure ID]],0),MATCH(Tbl_ROF_MeasureSummary[[#Headers],[New Unit Equipment Life (years)]],Tbl_MeasureList[#Headers],0))</f>
        <v>15</v>
      </c>
      <c r="J104" s="31" t="str">
        <f>INDEX(Tbl_MeasureList[],MATCH(Tbl_ROF_MeasureSummary[[#This Row],[Measure ID]:[Measure ID]],Tbl_MeasureList[[Measure ID]:[Measure ID]],0),MATCH(Tbl_ROF_MeasureSummary[[#Headers],[Baseline Function]],Tbl_MeasureList[#Headers],0))</f>
        <v>HW</v>
      </c>
      <c r="K104" s="525" t="str">
        <f>INDEX(Tbl_MeasureList[],MATCH(Tbl_ROF_MeasureSummary[[#This Row],[Measure ID]:[Measure ID]],Tbl_MeasureList[[Measure ID]:[Measure ID]],0),MATCH(Tbl_ROF_MeasureSummary[[#Headers],[Replacement Function]],Tbl_MeasureList[#Headers],0))</f>
        <v>HW</v>
      </c>
      <c r="L104" s="31" t="str">
        <f>INDEX(Tbl_MeasureList[],MATCH(Tbl_ROF_MeasureSummary[[#This Row],[Measure ID]:[Measure ID]],Tbl_MeasureList[[Measure ID]:[Measure ID]],0),MATCH(Tbl_ROF_MeasureSummary[[#Headers],[Keep Existing Heating Equipment?]],Tbl_MeasureList[#Headers],0))</f>
        <v>No</v>
      </c>
      <c r="M104" s="298"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Propane</v>
      </c>
      <c r="N104" s="543"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Natural Gas</v>
      </c>
      <c r="O104" s="528"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0.58 UEF</v>
      </c>
      <c r="P104" s="545"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0.63 UEF</v>
      </c>
      <c r="Q104" s="528"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0.60 UEF</v>
      </c>
      <c r="R104" s="547"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0.66 UEF</v>
      </c>
      <c r="S104" s="530">
        <f ca="1">INDEX(Tbl_MeasureList[],MATCH(Tbl_ROF_MeasureSummary[[#This Row],[Measure ID]:[Measure ID]],Tbl_MeasureList[[Measure ID]:[Measure ID]],0),MATCH(Tbl_ROF_MeasureSummary[[#Headers],[ROF Low Measure Energy Cost Savings (USD/yr)]],Tbl_MeasureList[#Headers],0))</f>
        <v>327.40374647705517</v>
      </c>
      <c r="T104" s="394">
        <f ca="1">INDEX(Tbl_MeasureList[],MATCH(Tbl_ROF_MeasureSummary[[#This Row],[Measure ID]:[Measure ID]],Tbl_MeasureList[[Measure ID]:[Measure ID]],0),MATCH(T$84,Tbl_MeasureList[#Headers],0))</f>
        <v>5960</v>
      </c>
      <c r="U104" s="532">
        <f ca="1">INDEX(Tbl_MeasureList[],MATCH(Tbl_ROF_MeasureSummary[[#This Row],[Measure ID]:[Measure ID]],Tbl_MeasureList[[Measure ID]:[Measure ID]],0),MATCH(Tbl_ROF_MeasureSummary[[#Headers],[ROF Low Measure Electric Annual Consumption Savings (kWh/yr)]],Tbl_MeasureList[#Headers],0))</f>
        <v>-68.5</v>
      </c>
      <c r="V104" s="396">
        <f ca="1">INDEX(Tbl_MeasureList[],MATCH(Tbl_ROF_MeasureSummary[[#This Row],[Measure ID]:[Measure ID]],Tbl_MeasureList[[Measure ID]:[Measure ID]],0),MATCH(Tbl_ROF_MeasureSummary[[#Headers],[ROF Low Measure Electric Winter Peak Demand Savings (kW)]],Tbl_MeasureList[#Headers],0))</f>
        <v>-2.7043031977891829E-2</v>
      </c>
      <c r="W104" s="534">
        <f ca="1">INDEX(Tbl_MeasureList[],MATCH(Tbl_ROF_MeasureSummary[[#This Row],[Measure ID]:[Measure ID]],Tbl_MeasureList[[Measure ID]:[Measure ID]],0),MATCH(Tbl_ROF_MeasureSummary[[#Headers],[ROF Low Measure Electric Summer Peak Demand Savings (kW)]],Tbl_MeasureList[#Headers],0))</f>
        <v>-1.2710225029609159E-2</v>
      </c>
      <c r="X104" s="656">
        <f ca="1">INDEX(Tbl_MeasureList[],MATCH(Tbl_ROF_MeasureSummary[[#This Row],[Measure ID]:[Measure ID]],Tbl_MeasureList[[Measure ID]:[Measure ID]],0),MATCH(Tbl_ROF_MeasureSummary[[#Headers],[ROF Low Measure Natural Gas Annual Consumption Savings (therms/yr)]],Tbl_MeasureList[#Headers],0))</f>
        <v>-188.33333333333337</v>
      </c>
      <c r="Y104" s="536">
        <f ca="1">INDEX(Tbl_MeasureList[],MATCH(Tbl_ROF_MeasureSummary[[#This Row],[Measure ID]:[Measure ID]],Tbl_MeasureList[[Measure ID]:[Measure ID]],0),MATCH(Tbl_ROF_MeasureSummary[[#Headers],[ROF Low Measure Propane Annual Consumption Savings (MMBtu/yr)]],Tbl_MeasureList[#Headers],0))</f>
        <v>17.936507936507937</v>
      </c>
      <c r="Z104" s="656">
        <f ca="1">INDEX(Tbl_MeasureList[],MATCH(Tbl_ROF_MeasureSummary[[#This Row],[Measure ID]:[Measure ID]],Tbl_MeasureList[[Measure ID]:[Measure ID]],0),MATCH(Tbl_ROF_MeasureSummary[[#Headers],[ROF Low Measure Oil Annual Consumption Savings (MMBtu/yr)]],Tbl_MeasureList[#Headers],0))</f>
        <v>0</v>
      </c>
      <c r="AA104" s="661">
        <f ca="1">INDEX(Tbl_MeasureList[],MATCH(Tbl_ROF_MeasureSummary[[#This Row],[Measure ID]:[Measure ID]],Tbl_MeasureList[[Measure ID]:[Measure ID]],0),MATCH(Tbl_ROF_MeasureSummary[[#Headers],[ROF Low Measure Annual Energy Savings on MMBtu Basis (MMBtu/yr)]],Tbl_MeasureList[#Headers],0))</f>
        <v>-1.1305473968253992</v>
      </c>
      <c r="AB104" s="656">
        <f ca="1">INDEX(Tbl_MeasureList[],MATCH(Tbl_ROF_MeasureSummary[[#This Row],[Measure ID]:[Measure ID]],Tbl_MeasureList[[Measure ID]:[Measure ID]],0),MATCH(Tbl_ROF_MeasureSummary[[#Headers],[ROF Low Measure Carbon Emissions Reduction, Site (tons CO2/yr)]],Tbl_MeasureList[#Headers],0))</f>
        <v>0.14483730158730146</v>
      </c>
      <c r="AC104" s="540">
        <f ca="1">INDEX(Tbl_MeasureList[],MATCH(Tbl_ROF_MeasureSummary[[#This Row],[Measure ID]:[Measure ID]],Tbl_MeasureList[[Measure ID]:[Measure ID]],0),MATCH(Tbl_ROF_MeasureSummary[[#Headers],[ROF Low Measure Carbon Emissions Reduction, Source (tons CO2/yr)]],Tbl_MeasureList[#Headers],0))</f>
        <v>0.12064584158730152</v>
      </c>
      <c r="AD104" s="530">
        <f ca="1">INDEX(Tbl_MeasureList[],MATCH(Tbl_ROF_MeasureSummary[[#This Row],[Measure ID]:[Measure ID]],Tbl_MeasureList[[Measure ID]:[Measure ID]],0),MATCH(Tbl_ROF_MeasureSummary[[#Headers],[ROF High Measure Energy Cost Savings (USD/yr)]],Tbl_MeasureList[#Headers],0))</f>
        <v>356.58288162857042</v>
      </c>
      <c r="AE104" s="394">
        <f ca="1">INDEX(Tbl_MeasureList[],MATCH(Tbl_ROF_MeasureSummary[[#This Row],[Measure ID]:[Measure ID]],Tbl_MeasureList[[Measure ID]:[Measure ID]],0),MATCH(AE$84,Tbl_MeasureList[#Headers],0))</f>
        <v>8328</v>
      </c>
      <c r="AF104" s="532">
        <f ca="1">INDEX(Tbl_MeasureList[],MATCH(Tbl_ROF_MeasureSummary[[#This Row],[Measure ID]:[Measure ID]],Tbl_MeasureList[[Measure ID]:[Measure ID]],0),MATCH(Tbl_ROF_MeasureSummary[[#Headers],[ROF High Measure Electric Annual Consumption Savings (kWh/yr)]],Tbl_MeasureList[#Headers],0))</f>
        <v>-60.6</v>
      </c>
      <c r="AG104" s="396">
        <f ca="1">INDEX(Tbl_MeasureList[],MATCH(Tbl_ROF_MeasureSummary[[#This Row],[Measure ID]:[Measure ID]],Tbl_MeasureList[[Measure ID]:[Measure ID]],0),MATCH(Tbl_ROF_MeasureSummary[[#Headers],[ROF High Measure Electric Winter Peak Demand Savings (kW)]],Tbl_MeasureList[#Headers],0))</f>
        <v>-2.3924200552704302E-2</v>
      </c>
      <c r="AH104" s="534">
        <f ca="1">INDEX(Tbl_MeasureList[],MATCH(Tbl_ROF_MeasureSummary[[#This Row],[Measure ID]:[Measure ID]],Tbl_MeasureList[[Measure ID]:[Measure ID]],0),MATCH(Tbl_ROF_MeasureSummary[[#Headers],[ROF High Measure Electric Summer Peak Demand Savings (kW)]],Tbl_MeasureList[#Headers],0))</f>
        <v>-1.1244374259771022E-2</v>
      </c>
      <c r="AI104" s="656">
        <f ca="1">INDEX(Tbl_MeasureList[],MATCH(Tbl_ROF_MeasureSummary[[#This Row],[Measure ID]:[Measure ID]],Tbl_MeasureList[[Measure ID]:[Measure ID]],0),MATCH(Tbl_ROF_MeasureSummary[[#Headers],[ROF High Measure Natural Gas Annual Consumption Savings (therms/yr)]],Tbl_MeasureList[#Headers],0))</f>
        <v>-171.21212121212122</v>
      </c>
      <c r="AJ104" s="536">
        <f ca="1">INDEX(Tbl_MeasureList[],MATCH(Tbl_ROF_MeasureSummary[[#This Row],[Measure ID]:[Measure ID]],Tbl_MeasureList[[Measure ID]:[Measure ID]],0),MATCH(Tbl_ROF_MeasureSummary[[#Headers],[ROF High Measure Propane Annual Consumption Savings (MMBtu/yr)]],Tbl_MeasureList[#Headers],0))</f>
        <v>17.936507936507937</v>
      </c>
      <c r="AK104" s="656">
        <f ca="1">INDEX(Tbl_MeasureList[],MATCH(Tbl_ROF_MeasureSummary[[#This Row],[Measure ID]:[Measure ID]],Tbl_MeasureList[[Measure ID]:[Measure ID]],0),MATCH(Tbl_ROF_MeasureSummary[[#Headers],[ROF High Measure Oil Annual Consumption Savings (MMBtu/yr)]],Tbl_MeasureList[#Headers],0))</f>
        <v>0</v>
      </c>
      <c r="AL104" s="536">
        <f ca="1">INDEX(Tbl_MeasureList[],MATCH(Tbl_ROF_MeasureSummary[[#This Row],[Measure ID]:[Measure ID]],Tbl_MeasureList[[Measure ID]:[Measure ID]],0),MATCH(Tbl_ROF_MeasureSummary[[#Headers],[ROF High Measure Annual Energy Savings on MMBtu Basis (MMBtu/yr)]],Tbl_MeasureList[#Headers],0))</f>
        <v>0.60852861529581403</v>
      </c>
      <c r="AM104" s="656">
        <f ca="1">INDEX(Tbl_MeasureList[],MATCH(Tbl_ROF_MeasureSummary[[#This Row],[Measure ID]:[Measure ID]],Tbl_MeasureList[[Measure ID]:[Measure ID]],0),MATCH(Tbl_ROF_MeasureSummary[[#Headers],[ROF High Measure Carbon Emissions Reduction, Site (tons CO2/yr)]],Tbl_MeasureList[#Headers],0))</f>
        <v>0.24499639249639249</v>
      </c>
      <c r="AN104" s="540">
        <f ca="1">INDEX(Tbl_MeasureList[],MATCH(Tbl_ROF_MeasureSummary[[#This Row],[Measure ID]:[Measure ID]],Tbl_MeasureList[[Measure ID]:[Measure ID]],0),MATCH(Tbl_ROF_MeasureSummary[[#Headers],[ROF High Measure Carbon Emissions Reduction, Source (tons CO2/yr)]],Tbl_MeasureList[#Headers],0))</f>
        <v>0.22359489649639253</v>
      </c>
      <c r="AO104" s="538">
        <f ca="1">INDEX(Tbl_MeasureList[],MATCH(Tbl_ROF_MeasureSummary[[#This Row],[Measure ID]:[Measure ID]],Tbl_MeasureList[[Measure ID]:[Measure ID]],0),MATCH(Tbl_ROF_MeasureSummary[[#Headers],[Current ROF Low Measure Coal Source Fuel Savings (lbs coal/year)]],Tbl_MeasureList[#Headers],0))</f>
        <v>-0.66140267596974789</v>
      </c>
      <c r="AP104" s="397">
        <f ca="1">INDEX(Tbl_MeasureList[],MATCH(Tbl_ROF_MeasureSummary[[#This Row],[Measure ID]:[Measure ID]],Tbl_MeasureList[[Measure ID]:[Measure ID]],0),MATCH(Tbl_ROF_MeasureSummary[[#Headers],[Current ROF Low Measure Oil Total Fuel Savings (gallons oil/year)]],Tbl_MeasureList[#Headers],0))</f>
        <v>-6.2923589590276635E-2</v>
      </c>
      <c r="AQ104" s="540">
        <f ca="1">INDEX(Tbl_MeasureList[],MATCH(Tbl_ROF_MeasureSummary[[#This Row],[Measure ID]:[Measure ID]],Tbl_MeasureList[[Measure ID]:[Measure ID]],0),MATCH(Tbl_ROF_MeasureSummary[[#Headers],[Current ROF Low Measure Gas Total Fuel Savings (1,000 cu.ft. gas/year)]],Tbl_MeasureList[#Headers],0))</f>
        <v>-18.574970163007599</v>
      </c>
      <c r="AR104" s="517">
        <f ca="1">INDEX(Tbl_MeasureList[],MATCH(Tbl_ROF_MeasureSummary[[#This Row],[Measure ID]:[Measure ID]],Tbl_MeasureList[[Measure ID]:[Measure ID]],0),MATCH(Tbl_ROF_MeasureSummary[[#Headers],[Current ROF High Measure Coal Source Fuel Savings (lbs coal/year)]],Tbl_MeasureList[#Headers],0))</f>
        <v>-0.58512411917907625</v>
      </c>
      <c r="AS104" s="536">
        <f ca="1">INDEX(Tbl_MeasureList[],MATCH(Tbl_ROF_MeasureSummary[[#This Row],[Measure ID]:[Measure ID]],Tbl_MeasureList[[Measure ID]:[Measure ID]],0),MATCH(Tbl_ROF_MeasureSummary[[#Headers],[Current ROF High Measure Oil Total Fuel Savings (gallons oil/year)]],Tbl_MeasureList[#Headers],0))</f>
        <v>-5.5666708455047655E-2</v>
      </c>
      <c r="AT104" s="397">
        <f ca="1">INDEX(Tbl_MeasureList[],MATCH(Tbl_ROF_MeasureSummary[[#This Row],[Measure ID]:[Measure ID]],Tbl_MeasureList[[Measure ID]:[Measure ID]],0),MATCH(Tbl_ROF_MeasureSummary[[#Headers],[Current ROF High Measure Gas Total Fuel Savings (1,000 cu.ft. gas/year)]],Tbl_MeasureList[#Headers],0))</f>
        <v>-16.879684404045598</v>
      </c>
    </row>
    <row r="105" spans="2:46" x14ac:dyDescent="0.2">
      <c r="B105" s="16"/>
      <c r="C105" s="44" t="s">
        <v>106</v>
      </c>
      <c r="D105" s="31" t="str">
        <f>INDEX(Tbl_MeasureList[],MATCH(Tbl_ROF_MeasureSummary[[#This Row],[Measure ID]:[Measure ID]],Tbl_MeasureList[[Measure ID]:[Measure ID]],0),MATCH(Tbl_ROF_MeasureSummary[[#Headers],[Baseline Equipment ID]],Tbl_MeasureList[#Headers],0))</f>
        <v>EQUI026</v>
      </c>
      <c r="E105" s="525" t="str">
        <f>INDEX(Tbl_MeasureList[],MATCH(Tbl_ROF_MeasureSummary[[#This Row],[Measure ID]:[Measure ID]],Tbl_MeasureList[[Measure ID]:[Measure ID]],0),MATCH(Tbl_ROF_MeasureSummary[[#Headers],[Replacement ID]],Tbl_MeasureList[#Headers],0))</f>
        <v>EQUI030</v>
      </c>
      <c r="F105" s="31" t="str">
        <f>INDEX(Tbl_MeasureList[],MATCH(Tbl_ROF_MeasureSummary[[#This Row],[Measure ID]:[Measure ID]],Tbl_MeasureList[[Measure ID]:[Measure ID]],0),MATCH(Tbl_ROF_MeasureSummary[[#Headers],[Baseline Name]],Tbl_MeasureList[#Headers],0))</f>
        <v>Oil Storage WH</v>
      </c>
      <c r="G105" s="525" t="str">
        <f>INDEX(Tbl_MeasureList[],MATCH(Tbl_ROF_MeasureSummary[[#This Row],[Measure ID]:[Measure ID]],Tbl_MeasureList[[Measure ID]:[Measure ID]],0),MATCH(Tbl_ROF_MeasureSummary[[#Headers],[Replacement Name]],Tbl_MeasureList[#Headers],0))</f>
        <v>Gas On-Demand WH</v>
      </c>
      <c r="H105" s="31"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Oil Storage WH to Gas On-Demand WH</v>
      </c>
      <c r="I105" s="525">
        <f>INDEX(Tbl_MeasureList[],MATCH(Tbl_ROF_MeasureSummary[[#This Row],[Measure ID]:[Measure ID]],Tbl_MeasureList[[Measure ID]:[Measure ID]],0),MATCH(Tbl_ROF_MeasureSummary[[#Headers],[New Unit Equipment Life (years)]],Tbl_MeasureList[#Headers],0))</f>
        <v>19</v>
      </c>
      <c r="J105" s="31" t="str">
        <f>INDEX(Tbl_MeasureList[],MATCH(Tbl_ROF_MeasureSummary[[#This Row],[Measure ID]:[Measure ID]],Tbl_MeasureList[[Measure ID]:[Measure ID]],0),MATCH(Tbl_ROF_MeasureSummary[[#Headers],[Baseline Function]],Tbl_MeasureList[#Headers],0))</f>
        <v>HW</v>
      </c>
      <c r="K105" s="525" t="str">
        <f>INDEX(Tbl_MeasureList[],MATCH(Tbl_ROF_MeasureSummary[[#This Row],[Measure ID]:[Measure ID]],Tbl_MeasureList[[Measure ID]:[Measure ID]],0),MATCH(Tbl_ROF_MeasureSummary[[#Headers],[Replacement Function]],Tbl_MeasureList[#Headers],0))</f>
        <v>HW</v>
      </c>
      <c r="L105" s="31" t="str">
        <f>INDEX(Tbl_MeasureList[],MATCH(Tbl_ROF_MeasureSummary[[#This Row],[Measure ID]:[Measure ID]],Tbl_MeasureList[[Measure ID]:[Measure ID]],0),MATCH(Tbl_ROF_MeasureSummary[[#Headers],[Keep Existing Heating Equipment?]],Tbl_MeasureList[#Headers],0))</f>
        <v>No</v>
      </c>
      <c r="M105" s="298"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Oil</v>
      </c>
      <c r="N105" s="543"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Natural Gas</v>
      </c>
      <c r="O105" s="528"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0.58 UEF</v>
      </c>
      <c r="P105" s="545"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0.62 UEF</v>
      </c>
      <c r="Q105" s="528"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0.87 UEF</v>
      </c>
      <c r="R105" s="547"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v>
      </c>
      <c r="S105" s="530">
        <f ca="1">INDEX(Tbl_MeasureList[],MATCH(Tbl_ROF_MeasureSummary[[#This Row],[Measure ID]:[Measure ID]],Tbl_MeasureList[[Measure ID]:[Measure ID]],0),MATCH(Tbl_ROF_MeasureSummary[[#Headers],[ROF Low Measure Energy Cost Savings (USD/yr)]],Tbl_MeasureList[#Headers],0))</f>
        <v>240.17608758407829</v>
      </c>
      <c r="T105" s="394">
        <f ca="1">INDEX(Tbl_MeasureList[],MATCH(Tbl_ROF_MeasureSummary[[#This Row],[Measure ID]:[Measure ID]],Tbl_MeasureList[[Measure ID]:[Measure ID]],0),MATCH(T$84,Tbl_MeasureList[#Headers],0))</f>
        <v>7446</v>
      </c>
      <c r="U105" s="532">
        <f ca="1">INDEX(Tbl_MeasureList[],MATCH(Tbl_ROF_MeasureSummary[[#This Row],[Measure ID]:[Measure ID]],Tbl_MeasureList[[Measure ID]:[Measure ID]],0),MATCH(Tbl_ROF_MeasureSummary[[#Headers],[ROF Low Measure Electric Annual Consumption Savings (kWh/yr)]],Tbl_MeasureList[#Headers],0))</f>
        <v>-28.6</v>
      </c>
      <c r="V105" s="396">
        <f ca="1">INDEX(Tbl_MeasureList[],MATCH(Tbl_ROF_MeasureSummary[[#This Row],[Measure ID]:[Measure ID]],Tbl_MeasureList[[Measure ID]:[Measure ID]],0),MATCH(Tbl_ROF_MeasureSummary[[#Headers],[ROF Low Measure Electric Winter Peak Demand Savings (kW)]],Tbl_MeasureList[#Headers],0))</f>
        <v>-1.1290959336754837E-2</v>
      </c>
      <c r="W105" s="534">
        <f ca="1">INDEX(Tbl_MeasureList[],MATCH(Tbl_ROF_MeasureSummary[[#This Row],[Measure ID]:[Measure ID]],Tbl_MeasureList[[Measure ID]:[Measure ID]],0),MATCH(Tbl_ROF_MeasureSummary[[#Headers],[ROF Low Measure Electric Summer Peak Demand Savings (kW)]],Tbl_MeasureList[#Headers],0))</f>
        <v>-5.306750888274773E-3</v>
      </c>
      <c r="X105" s="656">
        <f ca="1">INDEX(Tbl_MeasureList[],MATCH(Tbl_ROF_MeasureSummary[[#This Row],[Measure ID]:[Measure ID]],Tbl_MeasureList[[Measure ID]:[Measure ID]],0),MATCH(Tbl_ROF_MeasureSummary[[#Headers],[ROF Low Measure Natural Gas Annual Consumption Savings (therms/yr)]],Tbl_MeasureList[#Headers],0))</f>
        <v>-159.77011494252875</v>
      </c>
      <c r="Y105" s="536">
        <f ca="1">INDEX(Tbl_MeasureList[],MATCH(Tbl_ROF_MeasureSummary[[#This Row],[Measure ID]:[Measure ID]],Tbl_MeasureList[[Measure ID]:[Measure ID]],0),MATCH(Tbl_ROF_MeasureSummary[[#Headers],[ROF Low Measure Propane Annual Consumption Savings (MMBtu/yr)]],Tbl_MeasureList[#Headers],0))</f>
        <v>0</v>
      </c>
      <c r="Z105" s="656">
        <f ca="1">INDEX(Tbl_MeasureList[],MATCH(Tbl_ROF_MeasureSummary[[#This Row],[Measure ID]:[Measure ID]],Tbl_MeasureList[[Measure ID]:[Measure ID]],0),MATCH(Tbl_ROF_MeasureSummary[[#Headers],[ROF Low Measure Oil Annual Consumption Savings (MMBtu/yr)]],Tbl_MeasureList[#Headers],0))</f>
        <v>22.41935483870968</v>
      </c>
      <c r="AA105" s="661">
        <f ca="1">INDEX(Tbl_MeasureList[],MATCH(Tbl_ROF_MeasureSummary[[#This Row],[Measure ID]:[Measure ID]],Tbl_MeasureList[[Measure ID]:[Measure ID]],0),MATCH(Tbl_ROF_MeasureSummary[[#Headers],[ROF Low Measure Annual Energy Savings on MMBtu Basis (MMBtu/yr)]],Tbl_MeasureList[#Headers],0))</f>
        <v>6.3447601444568065</v>
      </c>
      <c r="AB105" s="656">
        <f ca="1">INDEX(Tbl_MeasureList[],MATCH(Tbl_ROF_MeasureSummary[[#This Row],[Measure ID]:[Measure ID]],Tbl_MeasureList[[Measure ID]:[Measure ID]],0),MATCH(Tbl_ROF_MeasureSummary[[#Headers],[ROF Low Measure Carbon Emissions Reduction, Site (tons CO2/yr)]],Tbl_MeasureList[#Headers],0))</f>
        <v>0.87346579532814272</v>
      </c>
      <c r="AC105" s="540">
        <f ca="1">INDEX(Tbl_MeasureList[],MATCH(Tbl_ROF_MeasureSummary[[#This Row],[Measure ID]:[Measure ID]],Tbl_MeasureList[[Measure ID]:[Measure ID]],0),MATCH(Tbl_ROF_MeasureSummary[[#Headers],[ROF Low Measure Carbon Emissions Reduction, Source (tons CO2/yr)]],Tbl_MeasureList[#Headers],0))</f>
        <v>0.8633654193281427</v>
      </c>
      <c r="AD105" s="530" t="str">
        <f>INDEX(Tbl_MeasureList[],MATCH(Tbl_ROF_MeasureSummary[[#This Row],[Measure ID]:[Measure ID]],Tbl_MeasureList[[Measure ID]:[Measure ID]],0),MATCH(Tbl_ROF_MeasureSummary[[#Headers],[ROF High Measure Energy Cost Savings (USD/yr)]],Tbl_MeasureList[#Headers],0))</f>
        <v>-</v>
      </c>
      <c r="AE105" s="394" t="str">
        <f>INDEX(Tbl_MeasureList[],MATCH(Tbl_ROF_MeasureSummary[[#This Row],[Measure ID]:[Measure ID]],Tbl_MeasureList[[Measure ID]:[Measure ID]],0),MATCH(AE$84,Tbl_MeasureList[#Headers],0))</f>
        <v>-</v>
      </c>
      <c r="AF105" s="532" t="str">
        <f>INDEX(Tbl_MeasureList[],MATCH(Tbl_ROF_MeasureSummary[[#This Row],[Measure ID]:[Measure ID]],Tbl_MeasureList[[Measure ID]:[Measure ID]],0),MATCH(Tbl_ROF_MeasureSummary[[#Headers],[ROF High Measure Electric Annual Consumption Savings (kWh/yr)]],Tbl_MeasureList[#Headers],0))</f>
        <v>-</v>
      </c>
      <c r="AG105" s="396" t="str">
        <f>INDEX(Tbl_MeasureList[],MATCH(Tbl_ROF_MeasureSummary[[#This Row],[Measure ID]:[Measure ID]],Tbl_MeasureList[[Measure ID]:[Measure ID]],0),MATCH(Tbl_ROF_MeasureSummary[[#Headers],[ROF High Measure Electric Winter Peak Demand Savings (kW)]],Tbl_MeasureList[#Headers],0))</f>
        <v>-</v>
      </c>
      <c r="AH105" s="534" t="str">
        <f>INDEX(Tbl_MeasureList[],MATCH(Tbl_ROF_MeasureSummary[[#This Row],[Measure ID]:[Measure ID]],Tbl_MeasureList[[Measure ID]:[Measure ID]],0),MATCH(Tbl_ROF_MeasureSummary[[#Headers],[ROF High Measure Electric Summer Peak Demand Savings (kW)]],Tbl_MeasureList[#Headers],0))</f>
        <v>-</v>
      </c>
      <c r="AI105" s="656" t="str">
        <f>INDEX(Tbl_MeasureList[],MATCH(Tbl_ROF_MeasureSummary[[#This Row],[Measure ID]:[Measure ID]],Tbl_MeasureList[[Measure ID]:[Measure ID]],0),MATCH(Tbl_ROF_MeasureSummary[[#Headers],[ROF High Measure Natural Gas Annual Consumption Savings (therms/yr)]],Tbl_MeasureList[#Headers],0))</f>
        <v>-</v>
      </c>
      <c r="AJ105" s="536" t="str">
        <f>INDEX(Tbl_MeasureList[],MATCH(Tbl_ROF_MeasureSummary[[#This Row],[Measure ID]:[Measure ID]],Tbl_MeasureList[[Measure ID]:[Measure ID]],0),MATCH(Tbl_ROF_MeasureSummary[[#Headers],[ROF High Measure Propane Annual Consumption Savings (MMBtu/yr)]],Tbl_MeasureList[#Headers],0))</f>
        <v>-</v>
      </c>
      <c r="AK105" s="656" t="str">
        <f>INDEX(Tbl_MeasureList[],MATCH(Tbl_ROF_MeasureSummary[[#This Row],[Measure ID]:[Measure ID]],Tbl_MeasureList[[Measure ID]:[Measure ID]],0),MATCH(Tbl_ROF_MeasureSummary[[#Headers],[ROF High Measure Oil Annual Consumption Savings (MMBtu/yr)]],Tbl_MeasureList[#Headers],0))</f>
        <v>-</v>
      </c>
      <c r="AL105" s="536" t="str">
        <f>INDEX(Tbl_MeasureList[],MATCH(Tbl_ROF_MeasureSummary[[#This Row],[Measure ID]:[Measure ID]],Tbl_MeasureList[[Measure ID]:[Measure ID]],0),MATCH(Tbl_ROF_MeasureSummary[[#Headers],[ROF High Measure Annual Energy Savings on MMBtu Basis (MMBtu/yr)]],Tbl_MeasureList[#Headers],0))</f>
        <v>-</v>
      </c>
      <c r="AM105" s="656" t="str">
        <f>INDEX(Tbl_MeasureList[],MATCH(Tbl_ROF_MeasureSummary[[#This Row],[Measure ID]:[Measure ID]],Tbl_MeasureList[[Measure ID]:[Measure ID]],0),MATCH(Tbl_ROF_MeasureSummary[[#Headers],[ROF High Measure Carbon Emissions Reduction, Site (tons CO2/yr)]],Tbl_MeasureList[#Headers],0))</f>
        <v>-</v>
      </c>
      <c r="AN105" s="540" t="str">
        <f>INDEX(Tbl_MeasureList[],MATCH(Tbl_ROF_MeasureSummary[[#This Row],[Measure ID]:[Measure ID]],Tbl_MeasureList[[Measure ID]:[Measure ID]],0),MATCH(Tbl_ROF_MeasureSummary[[#Headers],[ROF High Measure Carbon Emissions Reduction, Source (tons CO2/yr)]],Tbl_MeasureList[#Headers],0))</f>
        <v>-</v>
      </c>
      <c r="AO105" s="538">
        <f ca="1">INDEX(Tbl_MeasureList[],MATCH(Tbl_ROF_MeasureSummary[[#This Row],[Measure ID]:[Measure ID]],Tbl_MeasureList[[Measure ID]:[Measure ID]],0),MATCH(Tbl_ROF_MeasureSummary[[#Headers],[Current ROF Low Measure Coal Source Fuel Savings (lbs coal/year)]],Tbl_MeasureList[#Headers],0))</f>
        <v>-0.27614768660926703</v>
      </c>
      <c r="AP105" s="397">
        <f ca="1">INDEX(Tbl_MeasureList[],MATCH(Tbl_ROF_MeasureSummary[[#This Row],[Measure ID]:[Measure ID]],Tbl_MeasureList[[Measure ID]:[Measure ID]],0),MATCH(Tbl_ROF_MeasureSummary[[#Headers],[Current ROF Low Measure Oil Total Fuel Savings (gallons oil/year)]],Tbl_MeasureList[#Headers],0))</f>
        <v>162.49759529221285</v>
      </c>
      <c r="AQ105" s="540">
        <f ca="1">INDEX(Tbl_MeasureList[],MATCH(Tbl_ROF_MeasureSummary[[#This Row],[Measure ID]:[Measure ID]],Tbl_MeasureList[[Measure ID]:[Measure ID]],0),MATCH(Tbl_ROF_MeasureSummary[[#Headers],[Current ROF Low Measure Gas Total Fuel Savings (1,000 cu.ft. gas/year)]],Tbl_MeasureList[#Headers],0))</f>
        <v>-15.640472727943711</v>
      </c>
      <c r="AR105" s="517" t="str">
        <f>INDEX(Tbl_MeasureList[],MATCH(Tbl_ROF_MeasureSummary[[#This Row],[Measure ID]:[Measure ID]],Tbl_MeasureList[[Measure ID]:[Measure ID]],0),MATCH(Tbl_ROF_MeasureSummary[[#Headers],[Current ROF High Measure Coal Source Fuel Savings (lbs coal/year)]],Tbl_MeasureList[#Headers],0))</f>
        <v>-</v>
      </c>
      <c r="AS105" s="536" t="str">
        <f>INDEX(Tbl_MeasureList[],MATCH(Tbl_ROF_MeasureSummary[[#This Row],[Measure ID]:[Measure ID]],Tbl_MeasureList[[Measure ID]:[Measure ID]],0),MATCH(Tbl_ROF_MeasureSummary[[#Headers],[Current ROF High Measure Oil Total Fuel Savings (gallons oil/year)]],Tbl_MeasureList[#Headers],0))</f>
        <v>-</v>
      </c>
      <c r="AT105" s="397" t="str">
        <f>INDEX(Tbl_MeasureList[],MATCH(Tbl_ROF_MeasureSummary[[#This Row],[Measure ID]:[Measure ID]],Tbl_MeasureList[[Measure ID]:[Measure ID]],0),MATCH(Tbl_ROF_MeasureSummary[[#Headers],[Current ROF High Measure Gas Total Fuel Savings (1,000 cu.ft. gas/year)]],Tbl_MeasureList[#Headers],0))</f>
        <v>-</v>
      </c>
    </row>
    <row r="106" spans="2:46" x14ac:dyDescent="0.2">
      <c r="B106" s="16"/>
      <c r="C106" s="44" t="s">
        <v>107</v>
      </c>
      <c r="D106" s="31" t="str">
        <f>INDEX(Tbl_MeasureList[],MATCH(Tbl_ROF_MeasureSummary[[#This Row],[Measure ID]:[Measure ID]],Tbl_MeasureList[[Measure ID]:[Measure ID]],0),MATCH(Tbl_ROF_MeasureSummary[[#Headers],[Baseline Equipment ID]],Tbl_MeasureList[#Headers],0))</f>
        <v>EQUI027</v>
      </c>
      <c r="E106" s="525" t="str">
        <f>INDEX(Tbl_MeasureList[],MATCH(Tbl_ROF_MeasureSummary[[#This Row],[Measure ID]:[Measure ID]],Tbl_MeasureList[[Measure ID]:[Measure ID]],0),MATCH(Tbl_ROF_MeasureSummary[[#Headers],[Replacement ID]],Tbl_MeasureList[#Headers],0))</f>
        <v>EQUI030</v>
      </c>
      <c r="F106" s="31" t="str">
        <f>INDEX(Tbl_MeasureList[],MATCH(Tbl_ROF_MeasureSummary[[#This Row],[Measure ID]:[Measure ID]],Tbl_MeasureList[[Measure ID]:[Measure ID]],0),MATCH(Tbl_ROF_MeasureSummary[[#Headers],[Baseline Name]],Tbl_MeasureList[#Headers],0))</f>
        <v>Propane Storage WH</v>
      </c>
      <c r="G106" s="525" t="str">
        <f>INDEX(Tbl_MeasureList[],MATCH(Tbl_ROF_MeasureSummary[[#This Row],[Measure ID]:[Measure ID]],Tbl_MeasureList[[Measure ID]:[Measure ID]],0),MATCH(Tbl_ROF_MeasureSummary[[#Headers],[Replacement Name]],Tbl_MeasureList[#Headers],0))</f>
        <v>Gas On-Demand WH</v>
      </c>
      <c r="H106" s="31"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Propane Storage WH to Gas On-Demand WH</v>
      </c>
      <c r="I106" s="525">
        <f>INDEX(Tbl_MeasureList[],MATCH(Tbl_ROF_MeasureSummary[[#This Row],[Measure ID]:[Measure ID]],Tbl_MeasureList[[Measure ID]:[Measure ID]],0),MATCH(Tbl_ROF_MeasureSummary[[#Headers],[New Unit Equipment Life (years)]],Tbl_MeasureList[#Headers],0))</f>
        <v>19</v>
      </c>
      <c r="J106" s="31" t="str">
        <f>INDEX(Tbl_MeasureList[],MATCH(Tbl_ROF_MeasureSummary[[#This Row],[Measure ID]:[Measure ID]],Tbl_MeasureList[[Measure ID]:[Measure ID]],0),MATCH(Tbl_ROF_MeasureSummary[[#Headers],[Baseline Function]],Tbl_MeasureList[#Headers],0))</f>
        <v>HW</v>
      </c>
      <c r="K106" s="525" t="str">
        <f>INDEX(Tbl_MeasureList[],MATCH(Tbl_ROF_MeasureSummary[[#This Row],[Measure ID]:[Measure ID]],Tbl_MeasureList[[Measure ID]:[Measure ID]],0),MATCH(Tbl_ROF_MeasureSummary[[#Headers],[Replacement Function]],Tbl_MeasureList[#Headers],0))</f>
        <v>HW</v>
      </c>
      <c r="L106" s="31" t="str">
        <f>INDEX(Tbl_MeasureList[],MATCH(Tbl_ROF_MeasureSummary[[#This Row],[Measure ID]:[Measure ID]],Tbl_MeasureList[[Measure ID]:[Measure ID]],0),MATCH(Tbl_ROF_MeasureSummary[[#Headers],[Keep Existing Heating Equipment?]],Tbl_MeasureList[#Headers],0))</f>
        <v>No</v>
      </c>
      <c r="M106" s="298"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Propane</v>
      </c>
      <c r="N106" s="543"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Natural Gas</v>
      </c>
      <c r="O106" s="528"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0.58 UEF</v>
      </c>
      <c r="P106" s="545"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0.63 UEF</v>
      </c>
      <c r="Q106" s="528"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0.87 UEF</v>
      </c>
      <c r="R106" s="547"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v>
      </c>
      <c r="S106" s="530">
        <f ca="1">INDEX(Tbl_MeasureList[],MATCH(Tbl_ROF_MeasureSummary[[#This Row],[Measure ID]:[Measure ID]],Tbl_MeasureList[[Measure ID]:[Measure ID]],0),MATCH(Tbl_ROF_MeasureSummary[[#Headers],[ROF Low Measure Energy Cost Savings (USD/yr)]],Tbl_MeasureList[#Headers],0))</f>
        <v>429.57303544257252</v>
      </c>
      <c r="T106" s="394">
        <f ca="1">INDEX(Tbl_MeasureList[],MATCH(Tbl_ROF_MeasureSummary[[#This Row],[Measure ID]:[Measure ID]],Tbl_MeasureList[[Measure ID]:[Measure ID]],0),MATCH(T$84,Tbl_MeasureList[#Headers],0))</f>
        <v>7543</v>
      </c>
      <c r="U106" s="532">
        <f ca="1">INDEX(Tbl_MeasureList[],MATCH(Tbl_ROF_MeasureSummary[[#This Row],[Measure ID]:[Measure ID]],Tbl_MeasureList[[Measure ID]:[Measure ID]],0),MATCH(Tbl_ROF_MeasureSummary[[#Headers],[ROF Low Measure Electric Annual Consumption Savings (kWh/yr)]],Tbl_MeasureList[#Headers],0))</f>
        <v>-28.6</v>
      </c>
      <c r="V106" s="396">
        <f ca="1">INDEX(Tbl_MeasureList[],MATCH(Tbl_ROF_MeasureSummary[[#This Row],[Measure ID]:[Measure ID]],Tbl_MeasureList[[Measure ID]:[Measure ID]],0),MATCH(Tbl_ROF_MeasureSummary[[#Headers],[ROF Low Measure Electric Winter Peak Demand Savings (kW)]],Tbl_MeasureList[#Headers],0))</f>
        <v>-1.1290959336754837E-2</v>
      </c>
      <c r="W106" s="534">
        <f ca="1">INDEX(Tbl_MeasureList[],MATCH(Tbl_ROF_MeasureSummary[[#This Row],[Measure ID]:[Measure ID]],Tbl_MeasureList[[Measure ID]:[Measure ID]],0),MATCH(Tbl_ROF_MeasureSummary[[#Headers],[ROF Low Measure Electric Summer Peak Demand Savings (kW)]],Tbl_MeasureList[#Headers],0))</f>
        <v>-5.306750888274773E-3</v>
      </c>
      <c r="X106" s="656">
        <f ca="1">INDEX(Tbl_MeasureList[],MATCH(Tbl_ROF_MeasureSummary[[#This Row],[Measure ID]:[Measure ID]],Tbl_MeasureList[[Measure ID]:[Measure ID]],0),MATCH(Tbl_ROF_MeasureSummary[[#Headers],[ROF Low Measure Natural Gas Annual Consumption Savings (therms/yr)]],Tbl_MeasureList[#Headers],0))</f>
        <v>-129.88505747126436</v>
      </c>
      <c r="Y106" s="536">
        <f ca="1">INDEX(Tbl_MeasureList[],MATCH(Tbl_ROF_MeasureSummary[[#This Row],[Measure ID]:[Measure ID]],Tbl_MeasureList[[Measure ID]:[Measure ID]],0),MATCH(Tbl_ROF_MeasureSummary[[#Headers],[ROF Low Measure Propane Annual Consumption Savings (MMBtu/yr)]],Tbl_MeasureList[#Headers],0))</f>
        <v>17.936507936507937</v>
      </c>
      <c r="Z106" s="656">
        <f ca="1">INDEX(Tbl_MeasureList[],MATCH(Tbl_ROF_MeasureSummary[[#This Row],[Measure ID]:[Measure ID]],Tbl_MeasureList[[Measure ID]:[Measure ID]],0),MATCH(Tbl_ROF_MeasureSummary[[#Headers],[ROF Low Measure Oil Annual Consumption Savings (MMBtu/yr)]],Tbl_MeasureList[#Headers],0))</f>
        <v>0</v>
      </c>
      <c r="AA106" s="661">
        <f ca="1">INDEX(Tbl_MeasureList[],MATCH(Tbl_ROF_MeasureSummary[[#This Row],[Measure ID]:[Measure ID]],Tbl_MeasureList[[Measure ID]:[Measure ID]],0),MATCH(Tbl_ROF_MeasureSummary[[#Headers],[ROF Low Measure Annual Energy Savings on MMBtu Basis (MMBtu/yr)]],Tbl_MeasureList[#Headers],0))</f>
        <v>4.8504189893815006</v>
      </c>
      <c r="AB106" s="656">
        <f ca="1">INDEX(Tbl_MeasureList[],MATCH(Tbl_ROF_MeasureSummary[[#This Row],[Measure ID]:[Measure ID]],Tbl_MeasureList[[Measure ID]:[Measure ID]],0),MATCH(Tbl_ROF_MeasureSummary[[#Headers],[ROF Low Measure Carbon Emissions Reduction, Site (tons CO2/yr)]],Tbl_MeasureList[#Headers],0))</f>
        <v>0.48675971538040519</v>
      </c>
      <c r="AC106" s="540">
        <f ca="1">INDEX(Tbl_MeasureList[],MATCH(Tbl_ROF_MeasureSummary[[#This Row],[Measure ID]:[Measure ID]],Tbl_MeasureList[[Measure ID]:[Measure ID]],0),MATCH(Tbl_ROF_MeasureSummary[[#Headers],[ROF Low Measure Carbon Emissions Reduction, Source (tons CO2/yr)]],Tbl_MeasureList[#Headers],0))</f>
        <v>0.47665933938040517</v>
      </c>
      <c r="AD106" s="530" t="str">
        <f>INDEX(Tbl_MeasureList[],MATCH(Tbl_ROF_MeasureSummary[[#This Row],[Measure ID]:[Measure ID]],Tbl_MeasureList[[Measure ID]:[Measure ID]],0),MATCH(Tbl_ROF_MeasureSummary[[#Headers],[ROF High Measure Energy Cost Savings (USD/yr)]],Tbl_MeasureList[#Headers],0))</f>
        <v>-</v>
      </c>
      <c r="AE106" s="394" t="str">
        <f>INDEX(Tbl_MeasureList[],MATCH(Tbl_ROF_MeasureSummary[[#This Row],[Measure ID]:[Measure ID]],Tbl_MeasureList[[Measure ID]:[Measure ID]],0),MATCH(AE$84,Tbl_MeasureList[#Headers],0))</f>
        <v>-</v>
      </c>
      <c r="AF106" s="532" t="str">
        <f>INDEX(Tbl_MeasureList[],MATCH(Tbl_ROF_MeasureSummary[[#This Row],[Measure ID]:[Measure ID]],Tbl_MeasureList[[Measure ID]:[Measure ID]],0),MATCH(Tbl_ROF_MeasureSummary[[#Headers],[ROF High Measure Electric Annual Consumption Savings (kWh/yr)]],Tbl_MeasureList[#Headers],0))</f>
        <v>-</v>
      </c>
      <c r="AG106" s="396" t="str">
        <f>INDEX(Tbl_MeasureList[],MATCH(Tbl_ROF_MeasureSummary[[#This Row],[Measure ID]:[Measure ID]],Tbl_MeasureList[[Measure ID]:[Measure ID]],0),MATCH(Tbl_ROF_MeasureSummary[[#Headers],[ROF High Measure Electric Winter Peak Demand Savings (kW)]],Tbl_MeasureList[#Headers],0))</f>
        <v>-</v>
      </c>
      <c r="AH106" s="534" t="str">
        <f>INDEX(Tbl_MeasureList[],MATCH(Tbl_ROF_MeasureSummary[[#This Row],[Measure ID]:[Measure ID]],Tbl_MeasureList[[Measure ID]:[Measure ID]],0),MATCH(Tbl_ROF_MeasureSummary[[#Headers],[ROF High Measure Electric Summer Peak Demand Savings (kW)]],Tbl_MeasureList[#Headers],0))</f>
        <v>-</v>
      </c>
      <c r="AI106" s="656" t="str">
        <f>INDEX(Tbl_MeasureList[],MATCH(Tbl_ROF_MeasureSummary[[#This Row],[Measure ID]:[Measure ID]],Tbl_MeasureList[[Measure ID]:[Measure ID]],0),MATCH(Tbl_ROF_MeasureSummary[[#Headers],[ROF High Measure Natural Gas Annual Consumption Savings (therms/yr)]],Tbl_MeasureList[#Headers],0))</f>
        <v>-</v>
      </c>
      <c r="AJ106" s="536" t="str">
        <f>INDEX(Tbl_MeasureList[],MATCH(Tbl_ROF_MeasureSummary[[#This Row],[Measure ID]:[Measure ID]],Tbl_MeasureList[[Measure ID]:[Measure ID]],0),MATCH(Tbl_ROF_MeasureSummary[[#Headers],[ROF High Measure Propane Annual Consumption Savings (MMBtu/yr)]],Tbl_MeasureList[#Headers],0))</f>
        <v>-</v>
      </c>
      <c r="AK106" s="656" t="str">
        <f>INDEX(Tbl_MeasureList[],MATCH(Tbl_ROF_MeasureSummary[[#This Row],[Measure ID]:[Measure ID]],Tbl_MeasureList[[Measure ID]:[Measure ID]],0),MATCH(Tbl_ROF_MeasureSummary[[#Headers],[ROF High Measure Oil Annual Consumption Savings (MMBtu/yr)]],Tbl_MeasureList[#Headers],0))</f>
        <v>-</v>
      </c>
      <c r="AL106" s="536" t="str">
        <f>INDEX(Tbl_MeasureList[],MATCH(Tbl_ROF_MeasureSummary[[#This Row],[Measure ID]:[Measure ID]],Tbl_MeasureList[[Measure ID]:[Measure ID]],0),MATCH(Tbl_ROF_MeasureSummary[[#Headers],[ROF High Measure Annual Energy Savings on MMBtu Basis (MMBtu/yr)]],Tbl_MeasureList[#Headers],0))</f>
        <v>-</v>
      </c>
      <c r="AM106" s="656" t="str">
        <f>INDEX(Tbl_MeasureList[],MATCH(Tbl_ROF_MeasureSummary[[#This Row],[Measure ID]:[Measure ID]],Tbl_MeasureList[[Measure ID]:[Measure ID]],0),MATCH(Tbl_ROF_MeasureSummary[[#Headers],[ROF High Measure Carbon Emissions Reduction, Site (tons CO2/yr)]],Tbl_MeasureList[#Headers],0))</f>
        <v>-</v>
      </c>
      <c r="AN106" s="540" t="str">
        <f>INDEX(Tbl_MeasureList[],MATCH(Tbl_ROF_MeasureSummary[[#This Row],[Measure ID]:[Measure ID]],Tbl_MeasureList[[Measure ID]:[Measure ID]],0),MATCH(Tbl_ROF_MeasureSummary[[#Headers],[ROF High Measure Carbon Emissions Reduction, Source (tons CO2/yr)]],Tbl_MeasureList[#Headers],0))</f>
        <v>-</v>
      </c>
      <c r="AO106" s="538">
        <f ca="1">INDEX(Tbl_MeasureList[],MATCH(Tbl_ROF_MeasureSummary[[#This Row],[Measure ID]:[Measure ID]],Tbl_MeasureList[[Measure ID]:[Measure ID]],0),MATCH(Tbl_ROF_MeasureSummary[[#Headers],[Current ROF Low Measure Coal Source Fuel Savings (lbs coal/year)]],Tbl_MeasureList[#Headers],0))</f>
        <v>-0.27614768660926703</v>
      </c>
      <c r="AP106" s="397">
        <f ca="1">INDEX(Tbl_MeasureList[],MATCH(Tbl_ROF_MeasureSummary[[#This Row],[Measure ID]:[Measure ID]],Tbl_MeasureList[[Measure ID]:[Measure ID]],0),MATCH(Tbl_ROF_MeasureSummary[[#Headers],[Current ROF Low Measure Oil Total Fuel Savings (gallons oil/year)]],Tbl_MeasureList[#Headers],0))</f>
        <v>-2.6271746894626451E-2</v>
      </c>
      <c r="AQ106" s="540">
        <f ca="1">INDEX(Tbl_MeasureList[],MATCH(Tbl_ROF_MeasureSummary[[#This Row],[Measure ID]:[Measure ID]],Tbl_MeasureList[[Measure ID]:[Measure ID]],0),MATCH(Tbl_ROF_MeasureSummary[[#Headers],[Current ROF Low Measure Gas Total Fuel Savings (1,000 cu.ft. gas/year)]],Tbl_MeasureList[#Headers],0))</f>
        <v>-12.736191146674091</v>
      </c>
      <c r="AR106" s="517" t="str">
        <f>INDEX(Tbl_MeasureList[],MATCH(Tbl_ROF_MeasureSummary[[#This Row],[Measure ID]:[Measure ID]],Tbl_MeasureList[[Measure ID]:[Measure ID]],0),MATCH(Tbl_ROF_MeasureSummary[[#Headers],[Current ROF High Measure Coal Source Fuel Savings (lbs coal/year)]],Tbl_MeasureList[#Headers],0))</f>
        <v>-</v>
      </c>
      <c r="AS106" s="536" t="str">
        <f>INDEX(Tbl_MeasureList[],MATCH(Tbl_ROF_MeasureSummary[[#This Row],[Measure ID]:[Measure ID]],Tbl_MeasureList[[Measure ID]:[Measure ID]],0),MATCH(Tbl_ROF_MeasureSummary[[#Headers],[Current ROF High Measure Oil Total Fuel Savings (gallons oil/year)]],Tbl_MeasureList[#Headers],0))</f>
        <v>-</v>
      </c>
      <c r="AT106" s="397" t="str">
        <f>INDEX(Tbl_MeasureList[],MATCH(Tbl_ROF_MeasureSummary[[#This Row],[Measure ID]:[Measure ID]],Tbl_MeasureList[[Measure ID]:[Measure ID]],0),MATCH(Tbl_ROF_MeasureSummary[[#Headers],[Current ROF High Measure Gas Total Fuel Savings (1,000 cu.ft. gas/year)]],Tbl_MeasureList[#Headers],0))</f>
        <v>-</v>
      </c>
    </row>
    <row r="107" spans="2:46" x14ac:dyDescent="0.2">
      <c r="B107" s="16"/>
      <c r="C107" s="44" t="s">
        <v>108</v>
      </c>
      <c r="D107" s="31" t="str">
        <f>INDEX(Tbl_MeasureList[],MATCH(Tbl_ROF_MeasureSummary[[#This Row],[Measure ID]:[Measure ID]],Tbl_MeasureList[[Measure ID]:[Measure ID]],0),MATCH(Tbl_ROF_MeasureSummary[[#Headers],[Baseline Equipment ID]],Tbl_MeasureList[#Headers],0))</f>
        <v>EQUI014</v>
      </c>
      <c r="E107" s="525" t="str">
        <f>INDEX(Tbl_MeasureList[],MATCH(Tbl_ROF_MeasureSummary[[#This Row],[Measure ID]:[Measure ID]],Tbl_MeasureList[[Measure ID]:[Measure ID]],0),MATCH(Tbl_ROF_MeasureSummary[[#Headers],[Replacement ID]],Tbl_MeasureList[#Headers],0))</f>
        <v>EQUI030</v>
      </c>
      <c r="F107" s="31" t="str">
        <f>INDEX(Tbl_MeasureList[],MATCH(Tbl_ROF_MeasureSummary[[#This Row],[Measure ID]:[Measure ID]],Tbl_MeasureList[[Measure ID]:[Measure ID]],0),MATCH(Tbl_ROF_MeasureSummary[[#Headers],[Baseline Name]],Tbl_MeasureList[#Headers],0))</f>
        <v>Tankless Coil WH</v>
      </c>
      <c r="G107" s="525" t="str">
        <f>INDEX(Tbl_MeasureList[],MATCH(Tbl_ROF_MeasureSummary[[#This Row],[Measure ID]:[Measure ID]],Tbl_MeasureList[[Measure ID]:[Measure ID]],0),MATCH(Tbl_ROF_MeasureSummary[[#Headers],[Replacement Name]],Tbl_MeasureList[#Headers],0))</f>
        <v>Gas On-Demand WH</v>
      </c>
      <c r="H107" s="31"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Tankless Coil WH to Gas On-Demand WH</v>
      </c>
      <c r="I107" s="525">
        <f>INDEX(Tbl_MeasureList[],MATCH(Tbl_ROF_MeasureSummary[[#This Row],[Measure ID]:[Measure ID]],Tbl_MeasureList[[Measure ID]:[Measure ID]],0),MATCH(Tbl_ROF_MeasureSummary[[#Headers],[New Unit Equipment Life (years)]],Tbl_MeasureList[#Headers],0))</f>
        <v>19</v>
      </c>
      <c r="J107" s="31" t="str">
        <f>INDEX(Tbl_MeasureList[],MATCH(Tbl_ROF_MeasureSummary[[#This Row],[Measure ID]:[Measure ID]],Tbl_MeasureList[[Measure ID]:[Measure ID]],0),MATCH(Tbl_ROF_MeasureSummary[[#Headers],[Baseline Function]],Tbl_MeasureList[#Headers],0))</f>
        <v>HW</v>
      </c>
      <c r="K107" s="525" t="str">
        <f>INDEX(Tbl_MeasureList[],MATCH(Tbl_ROF_MeasureSummary[[#This Row],[Measure ID]:[Measure ID]],Tbl_MeasureList[[Measure ID]:[Measure ID]],0),MATCH(Tbl_ROF_MeasureSummary[[#Headers],[Replacement Function]],Tbl_MeasureList[#Headers],0))</f>
        <v>HW</v>
      </c>
      <c r="L107" s="31" t="str">
        <f>INDEX(Tbl_MeasureList[],MATCH(Tbl_ROF_MeasureSummary[[#This Row],[Measure ID]:[Measure ID]],Tbl_MeasureList[[Measure ID]:[Measure ID]],0),MATCH(Tbl_ROF_MeasureSummary[[#Headers],[Keep Existing Heating Equipment?]],Tbl_MeasureList[#Headers],0))</f>
        <v>No</v>
      </c>
      <c r="M107" s="298"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Oil</v>
      </c>
      <c r="N107" s="543"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Natural Gas</v>
      </c>
      <c r="O107" s="528"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75% AFUE</v>
      </c>
      <c r="P107" s="545"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84% AFUE</v>
      </c>
      <c r="Q107" s="528"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0.87 UEF</v>
      </c>
      <c r="R107" s="547"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v>
      </c>
      <c r="S107" s="530">
        <f ca="1">INDEX(Tbl_MeasureList[],MATCH(Tbl_ROF_MeasureSummary[[#This Row],[Measure ID]:[Measure ID]],Tbl_MeasureList[[Measure ID]:[Measure ID]],0),MATCH(Tbl_ROF_MeasureSummary[[#Headers],[ROF Low Measure Energy Cost Savings (USD/yr)]],Tbl_MeasureList[#Headers],0))</f>
        <v>108.29594489716993</v>
      </c>
      <c r="T107" s="394">
        <f ca="1">INDEX(Tbl_MeasureList[],MATCH(Tbl_ROF_MeasureSummary[[#This Row],[Measure ID]:[Measure ID]],Tbl_MeasureList[[Measure ID]:[Measure ID]],0),MATCH(T$84,Tbl_MeasureList[#Headers],0))</f>
        <v>8596</v>
      </c>
      <c r="U107" s="532">
        <f ca="1">INDEX(Tbl_MeasureList[],MATCH(Tbl_ROF_MeasureSummary[[#This Row],[Measure ID]:[Measure ID]],Tbl_MeasureList[[Measure ID]:[Measure ID]],0),MATCH(Tbl_ROF_MeasureSummary[[#Headers],[ROF Low Measure Electric Annual Consumption Savings (kWh/yr)]],Tbl_MeasureList[#Headers],0))</f>
        <v>-28.6</v>
      </c>
      <c r="V107" s="396">
        <f ca="1">INDEX(Tbl_MeasureList[],MATCH(Tbl_ROF_MeasureSummary[[#This Row],[Measure ID]:[Measure ID]],Tbl_MeasureList[[Measure ID]:[Measure ID]],0),MATCH(Tbl_ROF_MeasureSummary[[#Headers],[ROF Low Measure Electric Winter Peak Demand Savings (kW)]],Tbl_MeasureList[#Headers],0))</f>
        <v>-1.1290959336754837E-2</v>
      </c>
      <c r="W107" s="534">
        <f ca="1">INDEX(Tbl_MeasureList[],MATCH(Tbl_ROF_MeasureSummary[[#This Row],[Measure ID]:[Measure ID]],Tbl_MeasureList[[Measure ID]:[Measure ID]],0),MATCH(Tbl_ROF_MeasureSummary[[#Headers],[ROF Low Measure Electric Summer Peak Demand Savings (kW)]],Tbl_MeasureList[#Headers],0))</f>
        <v>-5.306750888274773E-3</v>
      </c>
      <c r="X107" s="656">
        <f ca="1">INDEX(Tbl_MeasureList[],MATCH(Tbl_ROF_MeasureSummary[[#This Row],[Measure ID]:[Measure ID]],Tbl_MeasureList[[Measure ID]:[Measure ID]],0),MATCH(Tbl_ROF_MeasureSummary[[#Headers],[ROF Low Measure Natural Gas Annual Consumption Savings (therms/yr)]],Tbl_MeasureList[#Headers],0))</f>
        <v>-159.77011494252875</v>
      </c>
      <c r="Y107" s="536">
        <f ca="1">INDEX(Tbl_MeasureList[],MATCH(Tbl_ROF_MeasureSummary[[#This Row],[Measure ID]:[Measure ID]],Tbl_MeasureList[[Measure ID]:[Measure ID]],0),MATCH(Tbl_ROF_MeasureSummary[[#Headers],[ROF Low Measure Propane Annual Consumption Savings (MMBtu/yr)]],Tbl_MeasureList[#Headers],0))</f>
        <v>0</v>
      </c>
      <c r="Z107" s="656">
        <f ca="1">INDEX(Tbl_MeasureList[],MATCH(Tbl_ROF_MeasureSummary[[#This Row],[Measure ID]:[Measure ID]],Tbl_MeasureList[[Measure ID]:[Measure ID]],0),MATCH(Tbl_ROF_MeasureSummary[[#Headers],[ROF Low Measure Oil Annual Consumption Savings (MMBtu/yr)]],Tbl_MeasureList[#Headers],0))</f>
        <v>16.547619047619047</v>
      </c>
      <c r="AA107" s="661">
        <f ca="1">INDEX(Tbl_MeasureList[],MATCH(Tbl_ROF_MeasureSummary[[#This Row],[Measure ID]:[Measure ID]],Tbl_MeasureList[[Measure ID]:[Measure ID]],0),MATCH(Tbl_ROF_MeasureSummary[[#Headers],[ROF Low Measure Annual Energy Savings on MMBtu Basis (MMBtu/yr)]],Tbl_MeasureList[#Headers],0))</f>
        <v>0.47302435336617421</v>
      </c>
      <c r="AB107" s="656">
        <f ca="1">INDEX(Tbl_MeasureList[],MATCH(Tbl_ROF_MeasureSummary[[#This Row],[Measure ID]:[Measure ID]],Tbl_MeasureList[[Measure ID]:[Measure ID]],0),MATCH(Tbl_ROF_MeasureSummary[[#Headers],[ROF Low Measure Carbon Emissions Reduction, Site (tons CO2/yr)]],Tbl_MeasureList[#Headers],0))</f>
        <v>0.39991030377668324</v>
      </c>
      <c r="AC107" s="540">
        <f ca="1">INDEX(Tbl_MeasureList[],MATCH(Tbl_ROF_MeasureSummary[[#This Row],[Measure ID]:[Measure ID]],Tbl_MeasureList[[Measure ID]:[Measure ID]],0),MATCH(Tbl_ROF_MeasureSummary[[#Headers],[ROF Low Measure Carbon Emissions Reduction, Source (tons CO2/yr)]],Tbl_MeasureList[#Headers],0))</f>
        <v>0.38980992777668322</v>
      </c>
      <c r="AD107" s="530" t="str">
        <f>INDEX(Tbl_MeasureList[],MATCH(Tbl_ROF_MeasureSummary[[#This Row],[Measure ID]:[Measure ID]],Tbl_MeasureList[[Measure ID]:[Measure ID]],0),MATCH(Tbl_ROF_MeasureSummary[[#Headers],[ROF High Measure Energy Cost Savings (USD/yr)]],Tbl_MeasureList[#Headers],0))</f>
        <v>-</v>
      </c>
      <c r="AE107" s="394" t="str">
        <f>INDEX(Tbl_MeasureList[],MATCH(Tbl_ROF_MeasureSummary[[#This Row],[Measure ID]:[Measure ID]],Tbl_MeasureList[[Measure ID]:[Measure ID]],0),MATCH(AE$84,Tbl_MeasureList[#Headers],0))</f>
        <v>-</v>
      </c>
      <c r="AF107" s="532" t="str">
        <f>INDEX(Tbl_MeasureList[],MATCH(Tbl_ROF_MeasureSummary[[#This Row],[Measure ID]:[Measure ID]],Tbl_MeasureList[[Measure ID]:[Measure ID]],0),MATCH(Tbl_ROF_MeasureSummary[[#Headers],[ROF High Measure Electric Annual Consumption Savings (kWh/yr)]],Tbl_MeasureList[#Headers],0))</f>
        <v>-</v>
      </c>
      <c r="AG107" s="396" t="str">
        <f>INDEX(Tbl_MeasureList[],MATCH(Tbl_ROF_MeasureSummary[[#This Row],[Measure ID]:[Measure ID]],Tbl_MeasureList[[Measure ID]:[Measure ID]],0),MATCH(Tbl_ROF_MeasureSummary[[#Headers],[ROF High Measure Electric Winter Peak Demand Savings (kW)]],Tbl_MeasureList[#Headers],0))</f>
        <v>-</v>
      </c>
      <c r="AH107" s="534" t="str">
        <f>INDEX(Tbl_MeasureList[],MATCH(Tbl_ROF_MeasureSummary[[#This Row],[Measure ID]:[Measure ID]],Tbl_MeasureList[[Measure ID]:[Measure ID]],0),MATCH(Tbl_ROF_MeasureSummary[[#Headers],[ROF High Measure Electric Summer Peak Demand Savings (kW)]],Tbl_MeasureList[#Headers],0))</f>
        <v>-</v>
      </c>
      <c r="AI107" s="656" t="str">
        <f>INDEX(Tbl_MeasureList[],MATCH(Tbl_ROF_MeasureSummary[[#This Row],[Measure ID]:[Measure ID]],Tbl_MeasureList[[Measure ID]:[Measure ID]],0),MATCH(Tbl_ROF_MeasureSummary[[#Headers],[ROF High Measure Natural Gas Annual Consumption Savings (therms/yr)]],Tbl_MeasureList[#Headers],0))</f>
        <v>-</v>
      </c>
      <c r="AJ107" s="536" t="str">
        <f>INDEX(Tbl_MeasureList[],MATCH(Tbl_ROF_MeasureSummary[[#This Row],[Measure ID]:[Measure ID]],Tbl_MeasureList[[Measure ID]:[Measure ID]],0),MATCH(Tbl_ROF_MeasureSummary[[#Headers],[ROF High Measure Propane Annual Consumption Savings (MMBtu/yr)]],Tbl_MeasureList[#Headers],0))</f>
        <v>-</v>
      </c>
      <c r="AK107" s="656" t="str">
        <f>INDEX(Tbl_MeasureList[],MATCH(Tbl_ROF_MeasureSummary[[#This Row],[Measure ID]:[Measure ID]],Tbl_MeasureList[[Measure ID]:[Measure ID]],0),MATCH(Tbl_ROF_MeasureSummary[[#Headers],[ROF High Measure Oil Annual Consumption Savings (MMBtu/yr)]],Tbl_MeasureList[#Headers],0))</f>
        <v>-</v>
      </c>
      <c r="AL107" s="536" t="str">
        <f>INDEX(Tbl_MeasureList[],MATCH(Tbl_ROF_MeasureSummary[[#This Row],[Measure ID]:[Measure ID]],Tbl_MeasureList[[Measure ID]:[Measure ID]],0),MATCH(Tbl_ROF_MeasureSummary[[#Headers],[ROF High Measure Annual Energy Savings on MMBtu Basis (MMBtu/yr)]],Tbl_MeasureList[#Headers],0))</f>
        <v>-</v>
      </c>
      <c r="AM107" s="656" t="str">
        <f>INDEX(Tbl_MeasureList[],MATCH(Tbl_ROF_MeasureSummary[[#This Row],[Measure ID]:[Measure ID]],Tbl_MeasureList[[Measure ID]:[Measure ID]],0),MATCH(Tbl_ROF_MeasureSummary[[#Headers],[ROF High Measure Carbon Emissions Reduction, Site (tons CO2/yr)]],Tbl_MeasureList[#Headers],0))</f>
        <v>-</v>
      </c>
      <c r="AN107" s="540" t="str">
        <f>INDEX(Tbl_MeasureList[],MATCH(Tbl_ROF_MeasureSummary[[#This Row],[Measure ID]:[Measure ID]],Tbl_MeasureList[[Measure ID]:[Measure ID]],0),MATCH(Tbl_ROF_MeasureSummary[[#Headers],[ROF High Measure Carbon Emissions Reduction, Source (tons CO2/yr)]],Tbl_MeasureList[#Headers],0))</f>
        <v>-</v>
      </c>
      <c r="AO107" s="538">
        <f ca="1">INDEX(Tbl_MeasureList[],MATCH(Tbl_ROF_MeasureSummary[[#This Row],[Measure ID]:[Measure ID]],Tbl_MeasureList[[Measure ID]:[Measure ID]],0),MATCH(Tbl_ROF_MeasureSummary[[#Headers],[Current ROF Low Measure Coal Source Fuel Savings (lbs coal/year)]],Tbl_MeasureList[#Headers],0))</f>
        <v>-0.27614768660926703</v>
      </c>
      <c r="AP107" s="397">
        <f ca="1">INDEX(Tbl_MeasureList[],MATCH(Tbl_ROF_MeasureSummary[[#This Row],[Measure ID]:[Measure ID]],Tbl_MeasureList[[Measure ID]:[Measure ID]],0),MATCH(Tbl_ROF_MeasureSummary[[#Headers],[Current ROF Low Measure Oil Total Fuel Savings (gallons oil/year)]],Tbl_MeasureList[#Headers],0))</f>
        <v>119.9318205914942</v>
      </c>
      <c r="AQ107" s="540">
        <f ca="1">INDEX(Tbl_MeasureList[],MATCH(Tbl_ROF_MeasureSummary[[#This Row],[Measure ID]:[Measure ID]],Tbl_MeasureList[[Measure ID]:[Measure ID]],0),MATCH(Tbl_ROF_MeasureSummary[[#Headers],[Current ROF Low Measure Gas Total Fuel Savings (1,000 cu.ft. gas/year)]],Tbl_MeasureList[#Headers],0))</f>
        <v>-15.640472727943711</v>
      </c>
      <c r="AR107" s="517" t="str">
        <f>INDEX(Tbl_MeasureList[],MATCH(Tbl_ROF_MeasureSummary[[#This Row],[Measure ID]:[Measure ID]],Tbl_MeasureList[[Measure ID]:[Measure ID]],0),MATCH(Tbl_ROF_MeasureSummary[[#Headers],[Current ROF High Measure Coal Source Fuel Savings (lbs coal/year)]],Tbl_MeasureList[#Headers],0))</f>
        <v>-</v>
      </c>
      <c r="AS107" s="536" t="str">
        <f>INDEX(Tbl_MeasureList[],MATCH(Tbl_ROF_MeasureSummary[[#This Row],[Measure ID]:[Measure ID]],Tbl_MeasureList[[Measure ID]:[Measure ID]],0),MATCH(Tbl_ROF_MeasureSummary[[#Headers],[Current ROF High Measure Oil Total Fuel Savings (gallons oil/year)]],Tbl_MeasureList[#Headers],0))</f>
        <v>-</v>
      </c>
      <c r="AT107" s="397" t="str">
        <f>INDEX(Tbl_MeasureList[],MATCH(Tbl_ROF_MeasureSummary[[#This Row],[Measure ID]:[Measure ID]],Tbl_MeasureList[[Measure ID]:[Measure ID]],0),MATCH(Tbl_ROF_MeasureSummary[[#Headers],[Current ROF High Measure Gas Total Fuel Savings (1,000 cu.ft. gas/year)]],Tbl_MeasureList[#Headers],0))</f>
        <v>-</v>
      </c>
    </row>
    <row r="108" spans="2:46" x14ac:dyDescent="0.2">
      <c r="B108" s="16"/>
      <c r="C108" s="44" t="s">
        <v>109</v>
      </c>
      <c r="D108" s="31" t="str">
        <f>INDEX(Tbl_MeasureList[],MATCH(Tbl_ROF_MeasureSummary[[#This Row],[Measure ID]:[Measure ID]],Tbl_MeasureList[[Measure ID]:[Measure ID]],0),MATCH(Tbl_ROF_MeasureSummary[[#Headers],[Baseline Equipment ID]],Tbl_MeasureList[#Headers],0))</f>
        <v>EQUI029</v>
      </c>
      <c r="E108" s="525" t="str">
        <f>INDEX(Tbl_MeasureList[],MATCH(Tbl_ROF_MeasureSummary[[#This Row],[Measure ID]:[Measure ID]],Tbl_MeasureList[[Measure ID]:[Measure ID]],0),MATCH(Tbl_ROF_MeasureSummary[[#Headers],[Replacement ID]],Tbl_MeasureList[#Headers],0))</f>
        <v>EQUI030</v>
      </c>
      <c r="F108" s="31" t="str">
        <f>INDEX(Tbl_MeasureList[],MATCH(Tbl_ROF_MeasureSummary[[#This Row],[Measure ID]:[Measure ID]],Tbl_MeasureList[[Measure ID]:[Measure ID]],0),MATCH(Tbl_ROF_MeasureSummary[[#Headers],[Baseline Name]],Tbl_MeasureList[#Headers],0))</f>
        <v>Propane On-Demand WH</v>
      </c>
      <c r="G108" s="525" t="str">
        <f>INDEX(Tbl_MeasureList[],MATCH(Tbl_ROF_MeasureSummary[[#This Row],[Measure ID]:[Measure ID]],Tbl_MeasureList[[Measure ID]:[Measure ID]],0),MATCH(Tbl_ROF_MeasureSummary[[#Headers],[Replacement Name]],Tbl_MeasureList[#Headers],0))</f>
        <v>Gas On-Demand WH</v>
      </c>
      <c r="H108" s="31"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Propane On-Demand WH to Gas On-Demand WH</v>
      </c>
      <c r="I108" s="525">
        <f>INDEX(Tbl_MeasureList[],MATCH(Tbl_ROF_MeasureSummary[[#This Row],[Measure ID]:[Measure ID]],Tbl_MeasureList[[Measure ID]:[Measure ID]],0),MATCH(Tbl_ROF_MeasureSummary[[#Headers],[New Unit Equipment Life (years)]],Tbl_MeasureList[#Headers],0))</f>
        <v>19</v>
      </c>
      <c r="J108" s="31" t="str">
        <f>INDEX(Tbl_MeasureList[],MATCH(Tbl_ROF_MeasureSummary[[#This Row],[Measure ID]:[Measure ID]],Tbl_MeasureList[[Measure ID]:[Measure ID]],0),MATCH(Tbl_ROF_MeasureSummary[[#Headers],[Baseline Function]],Tbl_MeasureList[#Headers],0))</f>
        <v>HW</v>
      </c>
      <c r="K108" s="525" t="str">
        <f>INDEX(Tbl_MeasureList[],MATCH(Tbl_ROF_MeasureSummary[[#This Row],[Measure ID]:[Measure ID]],Tbl_MeasureList[[Measure ID]:[Measure ID]],0),MATCH(Tbl_ROF_MeasureSummary[[#Headers],[Replacement Function]],Tbl_MeasureList[#Headers],0))</f>
        <v>HW</v>
      </c>
      <c r="L108" s="31" t="str">
        <f>INDEX(Tbl_MeasureList[],MATCH(Tbl_ROF_MeasureSummary[[#This Row],[Measure ID]:[Measure ID]],Tbl_MeasureList[[Measure ID]:[Measure ID]],0),MATCH(Tbl_ROF_MeasureSummary[[#Headers],[Keep Existing Heating Equipment?]],Tbl_MeasureList[#Headers],0))</f>
        <v>No</v>
      </c>
      <c r="M108" s="298"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Propane</v>
      </c>
      <c r="N108" s="543"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Natural Gas</v>
      </c>
      <c r="O108" s="528"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0.711 UEF</v>
      </c>
      <c r="P108" s="545"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0.80 UEF</v>
      </c>
      <c r="Q108" s="528"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0.87 UEF</v>
      </c>
      <c r="R108" s="547"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v>
      </c>
      <c r="S108" s="530">
        <f ca="1">INDEX(Tbl_MeasureList[],MATCH(Tbl_ROF_MeasureSummary[[#This Row],[Measure ID]:[Measure ID]],Tbl_MeasureList[[Measure ID]:[Measure ID]],0),MATCH(Tbl_ROF_MeasureSummary[[#Headers],[ROF Low Measure Energy Cost Savings (USD/yr)]],Tbl_MeasureList[#Headers],0))</f>
        <v>298.34266889953165</v>
      </c>
      <c r="T108" s="394">
        <f ca="1">INDEX(Tbl_MeasureList[],MATCH(Tbl_ROF_MeasureSummary[[#This Row],[Measure ID]:[Measure ID]],Tbl_MeasureList[[Measure ID]:[Measure ID]],0),MATCH(T$84,Tbl_MeasureList[#Headers],0))</f>
        <v>6322</v>
      </c>
      <c r="U108" s="532">
        <f ca="1">INDEX(Tbl_MeasureList[],MATCH(Tbl_ROF_MeasureSummary[[#This Row],[Measure ID]:[Measure ID]],Tbl_MeasureList[[Measure ID]:[Measure ID]],0),MATCH(Tbl_ROF_MeasureSummary[[#Headers],[ROF Low Measure Electric Annual Consumption Savings (kWh/yr)]],Tbl_MeasureList[#Headers],0))</f>
        <v>0.59999999999999787</v>
      </c>
      <c r="V108" s="396">
        <f ca="1">INDEX(Tbl_MeasureList[],MATCH(Tbl_ROF_MeasureSummary[[#This Row],[Measure ID]:[Measure ID]],Tbl_MeasureList[[Measure ID]:[Measure ID]],0),MATCH(Tbl_ROF_MeasureSummary[[#Headers],[ROF Low Measure Electric Winter Peak Demand Savings (kW)]],Tbl_MeasureList[#Headers],0))</f>
        <v>2.36873272799051E-4</v>
      </c>
      <c r="W108" s="534">
        <f ca="1">INDEX(Tbl_MeasureList[],MATCH(Tbl_ROF_MeasureSummary[[#This Row],[Measure ID]:[Measure ID]],Tbl_MeasureList[[Measure ID]:[Measure ID]],0),MATCH(Tbl_ROF_MeasureSummary[[#Headers],[ROF Low Measure Electric Summer Peak Demand Savings (kW)]],Tbl_MeasureList[#Headers],0))</f>
        <v>1.1133043821555388E-4</v>
      </c>
      <c r="X108" s="656">
        <f ca="1">INDEX(Tbl_MeasureList[],MATCH(Tbl_ROF_MeasureSummary[[#This Row],[Measure ID]:[Measure ID]],Tbl_MeasureList[[Measure ID]:[Measure ID]],0),MATCH(Tbl_ROF_MeasureSummary[[#Headers],[ROF Low Measure Natural Gas Annual Consumption Savings (therms/yr)]],Tbl_MeasureList[#Headers],0))</f>
        <v>-129.88505747126436</v>
      </c>
      <c r="Y108" s="536">
        <f ca="1">INDEX(Tbl_MeasureList[],MATCH(Tbl_ROF_MeasureSummary[[#This Row],[Measure ID]:[Measure ID]],Tbl_MeasureList[[Measure ID]:[Measure ID]],0),MATCH(Tbl_ROF_MeasureSummary[[#Headers],[ROF Low Measure Propane Annual Consumption Savings (MMBtu/yr)]],Tbl_MeasureList[#Headers],0))</f>
        <v>14.125</v>
      </c>
      <c r="Z108" s="656">
        <f ca="1">INDEX(Tbl_MeasureList[],MATCH(Tbl_ROF_MeasureSummary[[#This Row],[Measure ID]:[Measure ID]],Tbl_MeasureList[[Measure ID]:[Measure ID]],0),MATCH(Tbl_ROF_MeasureSummary[[#Headers],[ROF Low Measure Oil Annual Consumption Savings (MMBtu/yr)]],Tbl_MeasureList[#Headers],0))</f>
        <v>0</v>
      </c>
      <c r="AA108" s="661">
        <f ca="1">INDEX(Tbl_MeasureList[],MATCH(Tbl_ROF_MeasureSummary[[#This Row],[Measure ID]:[Measure ID]],Tbl_MeasureList[[Measure ID]:[Measure ID]],0),MATCH(Tbl_ROF_MeasureSummary[[#Headers],[ROF Low Measure Annual Energy Savings on MMBtu Basis (MMBtu/yr)]],Tbl_MeasureList[#Headers],0))</f>
        <v>1.1385414528735645</v>
      </c>
      <c r="AB108" s="656">
        <f ca="1">INDEX(Tbl_MeasureList[],MATCH(Tbl_ROF_MeasureSummary[[#This Row],[Measure ID]:[Measure ID]],Tbl_MeasureList[[Measure ID]:[Measure ID]],0),MATCH(Tbl_ROF_MeasureSummary[[#Headers],[ROF Low Measure Carbon Emissions Reduction, Site (tons CO2/yr)]],Tbl_MeasureList[#Headers],0))</f>
        <v>0.22185991379310355</v>
      </c>
      <c r="AC108" s="540">
        <f ca="1">INDEX(Tbl_MeasureList[],MATCH(Tbl_ROF_MeasureSummary[[#This Row],[Measure ID]:[Measure ID]],Tbl_MeasureList[[Measure ID]:[Measure ID]],0),MATCH(Tbl_ROF_MeasureSummary[[#Headers],[ROF Low Measure Carbon Emissions Reduction, Source (tons CO2/yr)]],Tbl_MeasureList[#Headers],0))</f>
        <v>0.22207180979310348</v>
      </c>
      <c r="AD108" s="530" t="str">
        <f>INDEX(Tbl_MeasureList[],MATCH(Tbl_ROF_MeasureSummary[[#This Row],[Measure ID]:[Measure ID]],Tbl_MeasureList[[Measure ID]:[Measure ID]],0),MATCH(Tbl_ROF_MeasureSummary[[#Headers],[ROF High Measure Energy Cost Savings (USD/yr)]],Tbl_MeasureList[#Headers],0))</f>
        <v>-</v>
      </c>
      <c r="AE108" s="394" t="str">
        <f>INDEX(Tbl_MeasureList[],MATCH(Tbl_ROF_MeasureSummary[[#This Row],[Measure ID]:[Measure ID]],Tbl_MeasureList[[Measure ID]:[Measure ID]],0),MATCH(AE$84,Tbl_MeasureList[#Headers],0))</f>
        <v>-</v>
      </c>
      <c r="AF108" s="532" t="str">
        <f>INDEX(Tbl_MeasureList[],MATCH(Tbl_ROF_MeasureSummary[[#This Row],[Measure ID]:[Measure ID]],Tbl_MeasureList[[Measure ID]:[Measure ID]],0),MATCH(Tbl_ROF_MeasureSummary[[#Headers],[ROF High Measure Electric Annual Consumption Savings (kWh/yr)]],Tbl_MeasureList[#Headers],0))</f>
        <v>-</v>
      </c>
      <c r="AG108" s="396" t="str">
        <f>INDEX(Tbl_MeasureList[],MATCH(Tbl_ROF_MeasureSummary[[#This Row],[Measure ID]:[Measure ID]],Tbl_MeasureList[[Measure ID]:[Measure ID]],0),MATCH(Tbl_ROF_MeasureSummary[[#Headers],[ROF High Measure Electric Winter Peak Demand Savings (kW)]],Tbl_MeasureList[#Headers],0))</f>
        <v>-</v>
      </c>
      <c r="AH108" s="534" t="str">
        <f>INDEX(Tbl_MeasureList[],MATCH(Tbl_ROF_MeasureSummary[[#This Row],[Measure ID]:[Measure ID]],Tbl_MeasureList[[Measure ID]:[Measure ID]],0),MATCH(Tbl_ROF_MeasureSummary[[#Headers],[ROF High Measure Electric Summer Peak Demand Savings (kW)]],Tbl_MeasureList[#Headers],0))</f>
        <v>-</v>
      </c>
      <c r="AI108" s="656" t="str">
        <f>INDEX(Tbl_MeasureList[],MATCH(Tbl_ROF_MeasureSummary[[#This Row],[Measure ID]:[Measure ID]],Tbl_MeasureList[[Measure ID]:[Measure ID]],0),MATCH(Tbl_ROF_MeasureSummary[[#Headers],[ROF High Measure Natural Gas Annual Consumption Savings (therms/yr)]],Tbl_MeasureList[#Headers],0))</f>
        <v>-</v>
      </c>
      <c r="AJ108" s="536" t="str">
        <f>INDEX(Tbl_MeasureList[],MATCH(Tbl_ROF_MeasureSummary[[#This Row],[Measure ID]:[Measure ID]],Tbl_MeasureList[[Measure ID]:[Measure ID]],0),MATCH(Tbl_ROF_MeasureSummary[[#Headers],[ROF High Measure Propane Annual Consumption Savings (MMBtu/yr)]],Tbl_MeasureList[#Headers],0))</f>
        <v>-</v>
      </c>
      <c r="AK108" s="656" t="str">
        <f>INDEX(Tbl_MeasureList[],MATCH(Tbl_ROF_MeasureSummary[[#This Row],[Measure ID]:[Measure ID]],Tbl_MeasureList[[Measure ID]:[Measure ID]],0),MATCH(Tbl_ROF_MeasureSummary[[#Headers],[ROF High Measure Oil Annual Consumption Savings (MMBtu/yr)]],Tbl_MeasureList[#Headers],0))</f>
        <v>-</v>
      </c>
      <c r="AL108" s="536" t="str">
        <f>INDEX(Tbl_MeasureList[],MATCH(Tbl_ROF_MeasureSummary[[#This Row],[Measure ID]:[Measure ID]],Tbl_MeasureList[[Measure ID]:[Measure ID]],0),MATCH(Tbl_ROF_MeasureSummary[[#Headers],[ROF High Measure Annual Energy Savings on MMBtu Basis (MMBtu/yr)]],Tbl_MeasureList[#Headers],0))</f>
        <v>-</v>
      </c>
      <c r="AM108" s="656" t="str">
        <f>INDEX(Tbl_MeasureList[],MATCH(Tbl_ROF_MeasureSummary[[#This Row],[Measure ID]:[Measure ID]],Tbl_MeasureList[[Measure ID]:[Measure ID]],0),MATCH(Tbl_ROF_MeasureSummary[[#Headers],[ROF High Measure Carbon Emissions Reduction, Site (tons CO2/yr)]],Tbl_MeasureList[#Headers],0))</f>
        <v>-</v>
      </c>
      <c r="AN108" s="540" t="str">
        <f>INDEX(Tbl_MeasureList[],MATCH(Tbl_ROF_MeasureSummary[[#This Row],[Measure ID]:[Measure ID]],Tbl_MeasureList[[Measure ID]:[Measure ID]],0),MATCH(Tbl_ROF_MeasureSummary[[#Headers],[ROF High Measure Carbon Emissions Reduction, Source (tons CO2/yr)]],Tbl_MeasureList[#Headers],0))</f>
        <v>-</v>
      </c>
      <c r="AO108" s="538">
        <f ca="1">INDEX(Tbl_MeasureList[],MATCH(Tbl_ROF_MeasureSummary[[#This Row],[Measure ID]:[Measure ID]],Tbl_MeasureList[[Measure ID]:[Measure ID]],0),MATCH(Tbl_ROF_MeasureSummary[[#Headers],[Current ROF Low Measure Coal Source Fuel Savings (lbs coal/year)]],Tbl_MeasureList[#Headers],0))</f>
        <v>5.7933081106839026E-3</v>
      </c>
      <c r="AP108" s="397">
        <f ca="1">INDEX(Tbl_MeasureList[],MATCH(Tbl_ROF_MeasureSummary[[#This Row],[Measure ID]:[Measure ID]],Tbl_MeasureList[[Measure ID]:[Measure ID]],0),MATCH(Tbl_ROF_MeasureSummary[[#Headers],[Current ROF Low Measure Oil Total Fuel Savings (gallons oil/year)]],Tbl_MeasureList[#Headers],0))</f>
        <v>5.5115552925789565E-4</v>
      </c>
      <c r="AQ108" s="540">
        <f ca="1">INDEX(Tbl_MeasureList[],MATCH(Tbl_ROF_MeasureSummary[[#This Row],[Measure ID]:[Measure ID]],Tbl_MeasureList[[Measure ID]:[Measure ID]],0),MATCH(Tbl_ROF_MeasureSummary[[#Headers],[Current ROF Low Measure Gas Total Fuel Savings (1,000 cu.ft. gas/year)]],Tbl_MeasureList[#Headers],0))</f>
        <v>-12.62006848261043</v>
      </c>
      <c r="AR108" s="517" t="str">
        <f>INDEX(Tbl_MeasureList[],MATCH(Tbl_ROF_MeasureSummary[[#This Row],[Measure ID]:[Measure ID]],Tbl_MeasureList[[Measure ID]:[Measure ID]],0),MATCH(Tbl_ROF_MeasureSummary[[#Headers],[Current ROF High Measure Coal Source Fuel Savings (lbs coal/year)]],Tbl_MeasureList[#Headers],0))</f>
        <v>-</v>
      </c>
      <c r="AS108" s="536" t="str">
        <f>INDEX(Tbl_MeasureList[],MATCH(Tbl_ROF_MeasureSummary[[#This Row],[Measure ID]:[Measure ID]],Tbl_MeasureList[[Measure ID]:[Measure ID]],0),MATCH(Tbl_ROF_MeasureSummary[[#Headers],[Current ROF High Measure Oil Total Fuel Savings (gallons oil/year)]],Tbl_MeasureList[#Headers],0))</f>
        <v>-</v>
      </c>
      <c r="AT108" s="397" t="str">
        <f>INDEX(Tbl_MeasureList[],MATCH(Tbl_ROF_MeasureSummary[[#This Row],[Measure ID]:[Measure ID]],Tbl_MeasureList[[Measure ID]:[Measure ID]],0),MATCH(Tbl_ROF_MeasureSummary[[#Headers],[Current ROF High Measure Gas Total Fuel Savings (1,000 cu.ft. gas/year)]],Tbl_MeasureList[#Headers],0))</f>
        <v>-</v>
      </c>
    </row>
    <row r="109" spans="2:46" ht="22.5" x14ac:dyDescent="0.2">
      <c r="B109" s="16"/>
      <c r="C109" s="44" t="s">
        <v>841</v>
      </c>
      <c r="D109" s="31" t="str">
        <f>INDEX(Tbl_MeasureList[],MATCH(Tbl_ROF_MeasureSummary[[#This Row],[Measure ID]:[Measure ID]],Tbl_MeasureList[[Measure ID]:[Measure ID]],0),MATCH(Tbl_ROF_MeasureSummary[[#Headers],[Baseline Equipment ID]],Tbl_MeasureList[#Headers],0))</f>
        <v>EQUI032</v>
      </c>
      <c r="E109" s="525" t="str">
        <f>INDEX(Tbl_MeasureList[],MATCH(Tbl_ROF_MeasureSummary[[#This Row],[Measure ID]:[Measure ID]],Tbl_MeasureList[[Measure ID]:[Measure ID]],0),MATCH(Tbl_ROF_MeasureSummary[[#Headers],[Replacement ID]],Tbl_MeasureList[#Headers],0))</f>
        <v>EQUI033</v>
      </c>
      <c r="F109" s="31" t="str">
        <f>INDEX(Tbl_MeasureList[],MATCH(Tbl_ROF_MeasureSummary[[#This Row],[Measure ID]:[Measure ID]],Tbl_MeasureList[[Measure ID]:[Measure ID]],0),MATCH(Tbl_ROF_MeasureSummary[[#Headers],[Baseline Name]],Tbl_MeasureList[#Headers],0))</f>
        <v>Central A/C+Oil Boiler</v>
      </c>
      <c r="G109" s="525" t="str">
        <f>INDEX(Tbl_MeasureList[],MATCH(Tbl_ROF_MeasureSummary[[#This Row],[Measure ID]:[Measure ID]],Tbl_MeasureList[[Measure ID]:[Measure ID]],0),MATCH(Tbl_ROF_MeasureSummary[[#Headers],[Replacement Name]],Tbl_MeasureList[#Headers],0))</f>
        <v>Central HP+Oil Boiler</v>
      </c>
      <c r="H109" s="31"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Central A/C+Oil Boiler to Central HP+Oil Boiler</v>
      </c>
      <c r="I109" s="525">
        <f>INDEX(Tbl_MeasureList[],MATCH(Tbl_ROF_MeasureSummary[[#This Row],[Measure ID]:[Measure ID]],Tbl_MeasureList[[Measure ID]:[Measure ID]],0),MATCH(Tbl_ROF_MeasureSummary[[#Headers],[New Unit Equipment Life (years)]],Tbl_MeasureList[#Headers],0))</f>
        <v>20</v>
      </c>
      <c r="J109" s="31" t="str">
        <f>INDEX(Tbl_MeasureList[],MATCH(Tbl_ROF_MeasureSummary[[#This Row],[Measure ID]:[Measure ID]],Tbl_MeasureList[[Measure ID]:[Measure ID]],0),MATCH(Tbl_ROF_MeasureSummary[[#Headers],[Baseline Function]],Tbl_MeasureList[#Headers],0))</f>
        <v>Cool+Heat</v>
      </c>
      <c r="K109" s="525" t="str">
        <f>INDEX(Tbl_MeasureList[],MATCH(Tbl_ROF_MeasureSummary[[#This Row],[Measure ID]:[Measure ID]],Tbl_MeasureList[[Measure ID]:[Measure ID]],0),MATCH(Tbl_ROF_MeasureSummary[[#Headers],[Replacement Function]],Tbl_MeasureList[#Headers],0))</f>
        <v>Cool+Heat</v>
      </c>
      <c r="L109" s="31" t="str">
        <f>INDEX(Tbl_MeasureList[],MATCH(Tbl_ROF_MeasureSummary[[#This Row],[Measure ID]:[Measure ID]],Tbl_MeasureList[[Measure ID]:[Measure ID]],0),MATCH(Tbl_ROF_MeasureSummary[[#Headers],[Keep Existing Heating Equipment?]],Tbl_MeasureList[#Headers],0))</f>
        <v>Yes</v>
      </c>
      <c r="M109" s="298"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Electric+Oil</v>
      </c>
      <c r="N109" s="543"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Electric+Oil</v>
      </c>
      <c r="O109" s="528"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10 SEER/8.5 EER
75% AFUE</v>
      </c>
      <c r="P109" s="545"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13 SEER/11 EER
84% AFUE</v>
      </c>
      <c r="Q109" s="528"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16 SEER/8.5 HSPF
75% AFUE</v>
      </c>
      <c r="R109" s="547"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18 SEER/9.6 HSPF
75% AFUE</v>
      </c>
      <c r="S109" s="530">
        <f ca="1">INDEX(Tbl_MeasureList[],MATCH(Tbl_ROF_MeasureSummary[[#This Row],[Measure ID]:[Measure ID]],Tbl_MeasureList[[Measure ID]:[Measure ID]],0),MATCH(Tbl_ROF_MeasureSummary[[#Headers],[ROF Low Measure Energy Cost Savings (USD/yr)]],Tbl_MeasureList[#Headers],0))</f>
        <v>67.528763547005383</v>
      </c>
      <c r="T109" s="394">
        <f ca="1">INDEX(Tbl_MeasureList[],MATCH(Tbl_ROF_MeasureSummary[[#This Row],[Measure ID]:[Measure ID]],Tbl_MeasureList[[Measure ID]:[Measure ID]],0),MATCH(T$84,Tbl_MeasureList[#Headers],0))</f>
        <v>-5345.9000000000015</v>
      </c>
      <c r="U109" s="532">
        <f ca="1">INDEX(Tbl_MeasureList[],MATCH(Tbl_ROF_MeasureSummary[[#This Row],[Measure ID]:[Measure ID]],Tbl_MeasureList[[Measure ID]:[Measure ID]],0),MATCH(Tbl_ROF_MeasureSummary[[#Headers],[ROF Low Measure Electric Annual Consumption Savings (kWh/yr)]],Tbl_MeasureList[#Headers],0))</f>
        <v>-4980.1653681616426</v>
      </c>
      <c r="V109" s="396">
        <f ca="1">INDEX(Tbl_MeasureList[],MATCH(Tbl_ROF_MeasureSummary[[#This Row],[Measure ID]:[Measure ID]],Tbl_MeasureList[[Measure ID]:[Measure ID]],0),MATCH(Tbl_ROF_MeasureSummary[[#Headers],[ROF Low Measure Electric Winter Peak Demand Savings (kW)]],Tbl_MeasureList[#Headers],0))</f>
        <v>-1.0588348090914219</v>
      </c>
      <c r="W109" s="534">
        <f ca="1">INDEX(Tbl_MeasureList[],MATCH(Tbl_ROF_MeasureSummary[[#This Row],[Measure ID]:[Measure ID]],Tbl_MeasureList[[Measure ID]:[Measure ID]],0),MATCH(Tbl_ROF_MeasureSummary[[#Headers],[ROF Low Measure Electric Summer Peak Demand Savings (kW)]],Tbl_MeasureList[#Headers],0))</f>
        <v>0.13613053613053605</v>
      </c>
      <c r="X109" s="656">
        <f ca="1">INDEX(Tbl_MeasureList[],MATCH(Tbl_ROF_MeasureSummary[[#This Row],[Measure ID]:[Measure ID]],Tbl_MeasureList[[Measure ID]:[Measure ID]],0),MATCH(Tbl_ROF_MeasureSummary[[#Headers],[ROF Low Measure Natural Gas Annual Consumption Savings (therms/yr)]],Tbl_MeasureList[#Headers],0))</f>
        <v>0</v>
      </c>
      <c r="Y109" s="536">
        <f ca="1">INDEX(Tbl_MeasureList[],MATCH(Tbl_ROF_MeasureSummary[[#This Row],[Measure ID]:[Measure ID]],Tbl_MeasureList[[Measure ID]:[Measure ID]],0),MATCH(Tbl_ROF_MeasureSummary[[#Headers],[ROF Low Measure Propane Annual Consumption Savings (MMBtu/yr)]],Tbl_MeasureList[#Headers],0))</f>
        <v>0</v>
      </c>
      <c r="Z109" s="656">
        <f ca="1">INDEX(Tbl_MeasureList[],MATCH(Tbl_ROF_MeasureSummary[[#This Row],[Measure ID]:[Measure ID]],Tbl_MeasureList[[Measure ID]:[Measure ID]],0),MATCH(Tbl_ROF_MeasureSummary[[#Headers],[ROF Low Measure Oil Annual Consumption Savings (MMBtu/yr)]],Tbl_MeasureList[#Headers],0))</f>
        <v>46.865442408217994</v>
      </c>
      <c r="AA109" s="661">
        <f ca="1">INDEX(Tbl_MeasureList[],MATCH(Tbl_ROF_MeasureSummary[[#This Row],[Measure ID]:[Measure ID]],Tbl_MeasureList[[Measure ID]:[Measure ID]],0),MATCH(Tbl_ROF_MeasureSummary[[#Headers],[ROF Low Measure Annual Energy Savings on MMBtu Basis (MMBtu/yr)]],Tbl_MeasureList[#Headers],0))</f>
        <v>29.873118172050468</v>
      </c>
      <c r="AB109" s="656">
        <f ca="1">INDEX(Tbl_MeasureList[],MATCH(Tbl_ROF_MeasureSummary[[#This Row],[Measure ID]:[Measure ID]],Tbl_MeasureList[[Measure ID]:[Measure ID]],0),MATCH(Tbl_ROF_MeasureSummary[[#Headers],[ROF Low Measure Carbon Emissions Reduction, Site (tons CO2/yr)]],Tbl_MeasureList[#Headers],0))</f>
        <v>3.7796979302227807</v>
      </c>
      <c r="AC109" s="540">
        <f ca="1">INDEX(Tbl_MeasureList[],MATCH(Tbl_ROF_MeasureSummary[[#This Row],[Measure ID]:[Measure ID]],Tbl_MeasureList[[Measure ID]:[Measure ID]],0),MATCH(Tbl_ROF_MeasureSummary[[#Headers],[ROF Low Measure Carbon Emissions Reduction, Source (tons CO2/yr)]],Tbl_MeasureList[#Headers],0))</f>
        <v>2.0209027288028159</v>
      </c>
      <c r="AD109" s="530">
        <f ca="1">INDEX(Tbl_MeasureList[],MATCH(Tbl_ROF_MeasureSummary[[#This Row],[Measure ID]:[Measure ID]],Tbl_MeasureList[[Measure ID]:[Measure ID]],0),MATCH(Tbl_ROF_MeasureSummary[[#Headers],[ROF High Measure Energy Cost Savings (USD/yr)]],Tbl_MeasureList[#Headers],0))</f>
        <v>205.82629735964611</v>
      </c>
      <c r="AE109" s="394">
        <f ca="1">INDEX(Tbl_MeasureList[],MATCH(Tbl_ROF_MeasureSummary[[#This Row],[Measure ID]:[Measure ID]],Tbl_MeasureList[[Measure ID]:[Measure ID]],0),MATCH(AE$84,Tbl_MeasureList[#Headers],0))</f>
        <v>-4475.9000000000015</v>
      </c>
      <c r="AF109" s="532">
        <f ca="1">INDEX(Tbl_MeasureList[],MATCH(Tbl_ROF_MeasureSummary[[#This Row],[Measure ID]:[Measure ID]],Tbl_MeasureList[[Measure ID]:[Measure ID]],0),MATCH(Tbl_ROF_MeasureSummary[[#Headers],[ROF High Measure Electric Annual Consumption Savings (kWh/yr)]],Tbl_MeasureList[#Headers],0))</f>
        <v>-4280.9867341240251</v>
      </c>
      <c r="AG109" s="396">
        <f ca="1">INDEX(Tbl_MeasureList[],MATCH(Tbl_ROF_MeasureSummary[[#This Row],[Measure ID]:[Measure ID]],Tbl_MeasureList[[Measure ID]:[Measure ID]],0),MATCH(Tbl_ROF_MeasureSummary[[#Headers],[ROF High Measure Electric Winter Peak Demand Savings (kW)]],Tbl_MeasureList[#Headers],0))</f>
        <v>-1.6522171620325987</v>
      </c>
      <c r="AH109" s="534">
        <f ca="1">INDEX(Tbl_MeasureList[],MATCH(Tbl_ROF_MeasureSummary[[#This Row],[Measure ID]:[Measure ID]],Tbl_MeasureList[[Measure ID]:[Measure ID]],0),MATCH(Tbl_ROF_MeasureSummary[[#Headers],[ROF High Measure Electric Summer Peak Demand Savings (kW)]],Tbl_MeasureList[#Headers],0))</f>
        <v>0.13613053613053605</v>
      </c>
      <c r="AI109" s="656">
        <f ca="1">INDEX(Tbl_MeasureList[],MATCH(Tbl_ROF_MeasureSummary[[#This Row],[Measure ID]:[Measure ID]],Tbl_MeasureList[[Measure ID]:[Measure ID]],0),MATCH(Tbl_ROF_MeasureSummary[[#Headers],[ROF High Measure Natural Gas Annual Consumption Savings (therms/yr)]],Tbl_MeasureList[#Headers],0))</f>
        <v>0</v>
      </c>
      <c r="AJ109" s="536">
        <f ca="1">INDEX(Tbl_MeasureList[],MATCH(Tbl_ROF_MeasureSummary[[#This Row],[Measure ID]:[Measure ID]],Tbl_MeasureList[[Measure ID]:[Measure ID]],0),MATCH(Tbl_ROF_MeasureSummary[[#Headers],[ROF High Measure Propane Annual Consumption Savings (MMBtu/yr)]],Tbl_MeasureList[#Headers],0))</f>
        <v>0</v>
      </c>
      <c r="AK109" s="656">
        <f ca="1">INDEX(Tbl_MeasureList[],MATCH(Tbl_ROF_MeasureSummary[[#This Row],[Measure ID]:[Measure ID]],Tbl_MeasureList[[Measure ID]:[Measure ID]],0),MATCH(Tbl_ROF_MeasureSummary[[#Headers],[ROF High Measure Oil Annual Consumption Savings (MMBtu/yr)]],Tbl_MeasureList[#Headers],0))</f>
        <v>46.865442408217994</v>
      </c>
      <c r="AL109" s="536">
        <f ca="1">INDEX(Tbl_MeasureList[],MATCH(Tbl_ROF_MeasureSummary[[#This Row],[Measure ID]:[Measure ID]],Tbl_MeasureList[[Measure ID]:[Measure ID]],0),MATCH(Tbl_ROF_MeasureSummary[[#Headers],[ROF High Measure Annual Energy Savings on MMBtu Basis (MMBtu/yr)]],Tbl_MeasureList[#Headers],0))</f>
        <v>32.258715671386824</v>
      </c>
      <c r="AM109" s="656">
        <f ca="1">INDEX(Tbl_MeasureList[],MATCH(Tbl_ROF_MeasureSummary[[#This Row],[Measure ID]:[Measure ID]],Tbl_MeasureList[[Measure ID]:[Measure ID]],0),MATCH(Tbl_ROF_MeasureSummary[[#Headers],[ROF High Measure Carbon Emissions Reduction, Site (tons CO2/yr)]],Tbl_MeasureList[#Headers],0))</f>
        <v>3.7796979302227807</v>
      </c>
      <c r="AN109" s="540">
        <f ca="1">INDEX(Tbl_MeasureList[],MATCH(Tbl_ROF_MeasureSummary[[#This Row],[Measure ID]:[Measure ID]],Tbl_MeasureList[[Measure ID]:[Measure ID]],0),MATCH(Tbl_ROF_MeasureSummary[[#Headers],[ROF High Measure Carbon Emissions Reduction, Source (tons CO2/yr)]],Tbl_MeasureList[#Headers],0))</f>
        <v>2.26782465519954</v>
      </c>
      <c r="AO109" s="538">
        <f ca="1">INDEX(Tbl_MeasureList[],MATCH(Tbl_ROF_MeasureSummary[[#This Row],[Measure ID]:[Measure ID]],Tbl_MeasureList[[Measure ID]:[Measure ID]],0),MATCH(Tbl_ROF_MeasureSummary[[#Headers],[Current ROF Low Measure Coal Source Fuel Savings (lbs coal/year)]],Tbl_MeasureList[#Headers],0))</f>
        <v>-48.086054033196717</v>
      </c>
      <c r="AP109" s="397">
        <f ca="1">INDEX(Tbl_MeasureList[],MATCH(Tbl_ROF_MeasureSummary[[#This Row],[Measure ID]:[Measure ID]],Tbl_MeasureList[[Measure ID]:[Measure ID]],0),MATCH(Tbl_ROF_MeasureSummary[[#Headers],[Current ROF Low Measure Oil Total Fuel Savings (gallons oil/year)]],Tbl_MeasureList[#Headers],0))</f>
        <v>335.16531597982748</v>
      </c>
      <c r="AQ109" s="540">
        <f ca="1">INDEX(Tbl_MeasureList[],MATCH(Tbl_ROF_MeasureSummary[[#This Row],[Measure ID]:[Measure ID]],Tbl_MeasureList[[Measure ID]:[Measure ID]],0),MATCH(Tbl_ROF_MeasureSummary[[#Headers],[Current ROF Low Measure Gas Total Fuel Savings (1,000 cu.ft. gas/year)]],Tbl_MeasureList[#Headers],0))</f>
        <v>-19.805139384538222</v>
      </c>
      <c r="AR109" s="517">
        <f ca="1">INDEX(Tbl_MeasureList[],MATCH(Tbl_ROF_MeasureSummary[[#This Row],[Measure ID]:[Measure ID]],Tbl_MeasureList[[Measure ID]:[Measure ID]],0),MATCH(Tbl_ROF_MeasureSummary[[#Headers],[Current ROF High Measure Coal Source Fuel Savings (lbs coal/year)]],Tbl_MeasureList[#Headers],0))</f>
        <v>-41.335125280884988</v>
      </c>
      <c r="AS109" s="536">
        <f ca="1">INDEX(Tbl_MeasureList[],MATCH(Tbl_ROF_MeasureSummary[[#This Row],[Measure ID]:[Measure ID]],Tbl_MeasureList[[Measure ID]:[Measure ID]],0),MATCH(Tbl_ROF_MeasureSummary[[#Headers],[Current ROF High Measure Oil Total Fuel Savings (gallons oil/year)]],Tbl_MeasureList[#Headers],0))</f>
        <v>335.80757626330887</v>
      </c>
      <c r="AT109" s="397">
        <f ca="1">INDEX(Tbl_MeasureList[],MATCH(Tbl_ROF_MeasureSummary[[#This Row],[Measure ID]:[Measure ID]],Tbl_MeasureList[[Measure ID]:[Measure ID]],0),MATCH(Tbl_ROF_MeasureSummary[[#Headers],[Current ROF High Measure Gas Total Fuel Savings (1,000 cu.ft. gas/year)]],Tbl_MeasureList[#Headers],0))</f>
        <v>-17.024643300947808</v>
      </c>
    </row>
    <row r="110" spans="2:46" ht="22.5" x14ac:dyDescent="0.2">
      <c r="B110" s="16"/>
      <c r="C110" s="44" t="s">
        <v>842</v>
      </c>
      <c r="D110" s="31" t="str">
        <f>INDEX(Tbl_MeasureList[],MATCH(Tbl_ROF_MeasureSummary[[#This Row],[Measure ID]:[Measure ID]],Tbl_MeasureList[[Measure ID]:[Measure ID]],0),MATCH(Tbl_ROF_MeasureSummary[[#Headers],[Baseline Equipment ID]],Tbl_MeasureList[#Headers],0))</f>
        <v>EQUI034</v>
      </c>
      <c r="E110" s="525" t="str">
        <f>INDEX(Tbl_MeasureList[],MATCH(Tbl_ROF_MeasureSummary[[#This Row],[Measure ID]:[Measure ID]],Tbl_MeasureList[[Measure ID]:[Measure ID]],0),MATCH(Tbl_ROF_MeasureSummary[[#Headers],[Replacement ID]],Tbl_MeasureList[#Headers],0))</f>
        <v>EQUI035</v>
      </c>
      <c r="F110" s="31" t="str">
        <f>INDEX(Tbl_MeasureList[],MATCH(Tbl_ROF_MeasureSummary[[#This Row],[Measure ID]:[Measure ID]],Tbl_MeasureList[[Measure ID]:[Measure ID]],0),MATCH(Tbl_ROF_MeasureSummary[[#Headers],[Baseline Name]],Tbl_MeasureList[#Headers],0))</f>
        <v>Central A/C+Propane Boiler</v>
      </c>
      <c r="G110" s="525" t="str">
        <f>INDEX(Tbl_MeasureList[],MATCH(Tbl_ROF_MeasureSummary[[#This Row],[Measure ID]:[Measure ID]],Tbl_MeasureList[[Measure ID]:[Measure ID]],0),MATCH(Tbl_ROF_MeasureSummary[[#Headers],[Replacement Name]],Tbl_MeasureList[#Headers],0))</f>
        <v>Central HP+Propane Boiler</v>
      </c>
      <c r="H110" s="31"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Central A/C+Propane Boiler to Central HP+Propane Boiler</v>
      </c>
      <c r="I110" s="525">
        <f>INDEX(Tbl_MeasureList[],MATCH(Tbl_ROF_MeasureSummary[[#This Row],[Measure ID]:[Measure ID]],Tbl_MeasureList[[Measure ID]:[Measure ID]],0),MATCH(Tbl_ROF_MeasureSummary[[#Headers],[New Unit Equipment Life (years)]],Tbl_MeasureList[#Headers],0))</f>
        <v>20</v>
      </c>
      <c r="J110" s="31" t="str">
        <f>INDEX(Tbl_MeasureList[],MATCH(Tbl_ROF_MeasureSummary[[#This Row],[Measure ID]:[Measure ID]],Tbl_MeasureList[[Measure ID]:[Measure ID]],0),MATCH(Tbl_ROF_MeasureSummary[[#Headers],[Baseline Function]],Tbl_MeasureList[#Headers],0))</f>
        <v>Cool+Heat</v>
      </c>
      <c r="K110" s="525" t="str">
        <f>INDEX(Tbl_MeasureList[],MATCH(Tbl_ROF_MeasureSummary[[#This Row],[Measure ID]:[Measure ID]],Tbl_MeasureList[[Measure ID]:[Measure ID]],0),MATCH(Tbl_ROF_MeasureSummary[[#Headers],[Replacement Function]],Tbl_MeasureList[#Headers],0))</f>
        <v>Cool+Heat</v>
      </c>
      <c r="L110" s="31" t="str">
        <f>INDEX(Tbl_MeasureList[],MATCH(Tbl_ROF_MeasureSummary[[#This Row],[Measure ID]:[Measure ID]],Tbl_MeasureList[[Measure ID]:[Measure ID]],0),MATCH(Tbl_ROF_MeasureSummary[[#Headers],[Keep Existing Heating Equipment?]],Tbl_MeasureList[#Headers],0))</f>
        <v>Yes</v>
      </c>
      <c r="M110" s="298"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Electric+Propane</v>
      </c>
      <c r="N110" s="543"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Electric+Propane</v>
      </c>
      <c r="O110" s="528"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10 SEER/8.5 EER
75% AFUE</v>
      </c>
      <c r="P110" s="545"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13 SEER/11 EER
82% AFUE (79.3% actual)</v>
      </c>
      <c r="Q110" s="528"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16 SEER/8.5 HSPF
75% AFUE</v>
      </c>
      <c r="R110" s="547"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18 SEER/9.6 HSPF
75% AFUE</v>
      </c>
      <c r="S110" s="530">
        <f ca="1">INDEX(Tbl_MeasureList[],MATCH(Tbl_ROF_MeasureSummary[[#This Row],[Measure ID]:[Measure ID]],Tbl_MeasureList[[Measure ID]:[Measure ID]],0),MATCH(Tbl_ROF_MeasureSummary[[#Headers],[ROF Low Measure Energy Cost Savings (USD/yr)]],Tbl_MeasureList[#Headers],0))</f>
        <v>1281.1356975555282</v>
      </c>
      <c r="T110" s="394">
        <f ca="1">INDEX(Tbl_MeasureList[],MATCH(Tbl_ROF_MeasureSummary[[#This Row],[Measure ID]:[Measure ID]],Tbl_MeasureList[[Measure ID]:[Measure ID]],0),MATCH(T$84,Tbl_MeasureList[#Headers],0))</f>
        <v>-5074.9000000000015</v>
      </c>
      <c r="U110" s="532">
        <f ca="1">INDEX(Tbl_MeasureList[],MATCH(Tbl_ROF_MeasureSummary[[#This Row],[Measure ID]:[Measure ID]],Tbl_MeasureList[[Measure ID]:[Measure ID]],0),MATCH(Tbl_ROF_MeasureSummary[[#Headers],[ROF Low Measure Electric Annual Consumption Savings (kWh/yr)]],Tbl_MeasureList[#Headers],0))</f>
        <v>-7269.6455548388149</v>
      </c>
      <c r="V110" s="396">
        <f ca="1">INDEX(Tbl_MeasureList[],MATCH(Tbl_ROF_MeasureSummary[[#This Row],[Measure ID]:[Measure ID]],Tbl_MeasureList[[Measure ID]:[Measure ID]],0),MATCH(Tbl_ROF_MeasureSummary[[#Headers],[ROF Low Measure Electric Winter Peak Demand Savings (kW)]],Tbl_MeasureList[#Headers],0))</f>
        <v>-1.0638971293215274</v>
      </c>
      <c r="W110" s="534">
        <f ca="1">INDEX(Tbl_MeasureList[],MATCH(Tbl_ROF_MeasureSummary[[#This Row],[Measure ID]:[Measure ID]],Tbl_MeasureList[[Measure ID]:[Measure ID]],0),MATCH(Tbl_ROF_MeasureSummary[[#Headers],[ROF Low Measure Electric Summer Peak Demand Savings (kW)]],Tbl_MeasureList[#Headers],0))</f>
        <v>0.13613053613053605</v>
      </c>
      <c r="X110" s="656">
        <f ca="1">INDEX(Tbl_MeasureList[],MATCH(Tbl_ROF_MeasureSummary[[#This Row],[Measure ID]:[Measure ID]],Tbl_MeasureList[[Measure ID]:[Measure ID]],0),MATCH(Tbl_ROF_MeasureSummary[[#Headers],[ROF Low Measure Natural Gas Annual Consumption Savings (therms/yr)]],Tbl_MeasureList[#Headers],0))</f>
        <v>0</v>
      </c>
      <c r="Y110" s="536">
        <f ca="1">INDEX(Tbl_MeasureList[],MATCH(Tbl_ROF_MeasureSummary[[#This Row],[Measure ID]:[Measure ID]],Tbl_MeasureList[[Measure ID]:[Measure ID]],0),MATCH(Tbl_ROF_MeasureSummary[[#Headers],[ROF Low Measure Propane Annual Consumption Savings (MMBtu/yr)]],Tbl_MeasureList[#Headers],0))</f>
        <v>75.644521892916714</v>
      </c>
      <c r="Z110" s="656">
        <f ca="1">INDEX(Tbl_MeasureList[],MATCH(Tbl_ROF_MeasureSummary[[#This Row],[Measure ID]:[Measure ID]],Tbl_MeasureList[[Measure ID]:[Measure ID]],0),MATCH(Tbl_ROF_MeasureSummary[[#Headers],[ROF Low Measure Oil Annual Consumption Savings (MMBtu/yr)]],Tbl_MeasureList[#Headers],0))</f>
        <v>0</v>
      </c>
      <c r="AA110" s="661">
        <f ca="1">INDEX(Tbl_MeasureList[],MATCH(Tbl_ROF_MeasureSummary[[#This Row],[Measure ID]:[Measure ID]],Tbl_MeasureList[[Measure ID]:[Measure ID]],0),MATCH(Tbl_ROF_MeasureSummary[[#Headers],[ROF Low Measure Annual Energy Savings on MMBtu Basis (MMBtu/yr)]],Tbl_MeasureList[#Headers],0))</f>
        <v>50.840491259806676</v>
      </c>
      <c r="AB110" s="656">
        <f ca="1">INDEX(Tbl_MeasureList[],MATCH(Tbl_ROF_MeasureSummary[[#This Row],[Measure ID]:[Measure ID]],Tbl_MeasureList[[Measure ID]:[Measure ID]],0),MATCH(Tbl_ROF_MeasureSummary[[#Headers],[ROF Low Measure Carbon Emissions Reduction, Site (tons CO2/yr)]],Tbl_MeasureList[#Headers],0))</f>
        <v>5.2572942715577113</v>
      </c>
      <c r="AC110" s="540">
        <f ca="1">INDEX(Tbl_MeasureList[],MATCH(Tbl_ROF_MeasureSummary[[#This Row],[Measure ID]:[Measure ID]],Tbl_MeasureList[[Measure ID]:[Measure ID]],0),MATCH(Tbl_ROF_MeasureSummary[[#Headers],[ROF Low Measure Carbon Emissions Reduction, Source (tons CO2/yr)]],Tbl_MeasureList[#Headers],0))</f>
        <v>2.6899462474108358</v>
      </c>
      <c r="AD110" s="530">
        <f ca="1">INDEX(Tbl_MeasureList[],MATCH(Tbl_ROF_MeasureSummary[[#This Row],[Measure ID]:[Measure ID]],Tbl_MeasureList[[Measure ID]:[Measure ID]],0),MATCH(Tbl_ROF_MeasureSummary[[#Headers],[ROF High Measure Energy Cost Savings (USD/yr)]],Tbl_MeasureList[#Headers],0))</f>
        <v>1471.8869415664608</v>
      </c>
      <c r="AE110" s="394">
        <f ca="1">INDEX(Tbl_MeasureList[],MATCH(Tbl_ROF_MeasureSummary[[#This Row],[Measure ID]:[Measure ID]],Tbl_MeasureList[[Measure ID]:[Measure ID]],0),MATCH(AE$84,Tbl_MeasureList[#Headers],0))</f>
        <v>-4204.9000000000015</v>
      </c>
      <c r="AF110" s="532">
        <f ca="1">INDEX(Tbl_MeasureList[],MATCH(Tbl_ROF_MeasureSummary[[#This Row],[Measure ID]:[Measure ID]],Tbl_MeasureList[[Measure ID]:[Measure ID]],0),MATCH(Tbl_ROF_MeasureSummary[[#Headers],[ROF High Measure Electric Annual Consumption Savings (kWh/yr)]],Tbl_MeasureList[#Headers],0))</f>
        <v>-6305.2813282921388</v>
      </c>
      <c r="AG110" s="396">
        <f ca="1">INDEX(Tbl_MeasureList[],MATCH(Tbl_ROF_MeasureSummary[[#This Row],[Measure ID]:[Measure ID]],Tbl_MeasureList[[Measure ID]:[Measure ID]],0),MATCH(Tbl_ROF_MeasureSummary[[#Headers],[ROF High Measure Electric Winter Peak Demand Savings (kW)]],Tbl_MeasureList[#Headers],0))</f>
        <v>-1.6572794822627042</v>
      </c>
      <c r="AH110" s="534">
        <f ca="1">INDEX(Tbl_MeasureList[],MATCH(Tbl_ROF_MeasureSummary[[#This Row],[Measure ID]:[Measure ID]],Tbl_MeasureList[[Measure ID]:[Measure ID]],0),MATCH(Tbl_ROF_MeasureSummary[[#Headers],[ROF High Measure Electric Summer Peak Demand Savings (kW)]],Tbl_MeasureList[#Headers],0))</f>
        <v>0.13613053613053605</v>
      </c>
      <c r="AI110" s="656">
        <f ca="1">INDEX(Tbl_MeasureList[],MATCH(Tbl_ROF_MeasureSummary[[#This Row],[Measure ID]:[Measure ID]],Tbl_MeasureList[[Measure ID]:[Measure ID]],0),MATCH(Tbl_ROF_MeasureSummary[[#Headers],[ROF High Measure Natural Gas Annual Consumption Savings (therms/yr)]],Tbl_MeasureList[#Headers],0))</f>
        <v>0</v>
      </c>
      <c r="AJ110" s="536">
        <f ca="1">INDEX(Tbl_MeasureList[],MATCH(Tbl_ROF_MeasureSummary[[#This Row],[Measure ID]:[Measure ID]],Tbl_MeasureList[[Measure ID]:[Measure ID]],0),MATCH(Tbl_ROF_MeasureSummary[[#Headers],[ROF High Measure Propane Annual Consumption Savings (MMBtu/yr)]],Tbl_MeasureList[#Headers],0))</f>
        <v>75.644521892916714</v>
      </c>
      <c r="AK110" s="656">
        <f ca="1">INDEX(Tbl_MeasureList[],MATCH(Tbl_ROF_MeasureSummary[[#This Row],[Measure ID]:[Measure ID]],Tbl_MeasureList[[Measure ID]:[Measure ID]],0),MATCH(Tbl_ROF_MeasureSummary[[#Headers],[ROF High Measure Oil Annual Consumption Savings (MMBtu/yr)]],Tbl_MeasureList[#Headers],0))</f>
        <v>0</v>
      </c>
      <c r="AL110" s="536">
        <f ca="1">INDEX(Tbl_MeasureList[],MATCH(Tbl_ROF_MeasureSummary[[#This Row],[Measure ID]:[Measure ID]],Tbl_MeasureList[[Measure ID]:[Measure ID]],0),MATCH(Tbl_ROF_MeasureSummary[[#Headers],[ROF High Measure Annual Energy Savings on MMBtu Basis (MMBtu/yr)]],Tbl_MeasureList[#Headers],0))</f>
        <v>54.130902000783934</v>
      </c>
      <c r="AM110" s="656">
        <f ca="1">INDEX(Tbl_MeasureList[],MATCH(Tbl_ROF_MeasureSummary[[#This Row],[Measure ID]:[Measure ID]],Tbl_MeasureList[[Measure ID]:[Measure ID]],0),MATCH(Tbl_ROF_MeasureSummary[[#Headers],[ROF High Measure Carbon Emissions Reduction, Site (tons CO2/yr)]],Tbl_MeasureList[#Headers],0))</f>
        <v>5.2572942715577113</v>
      </c>
      <c r="AN110" s="540">
        <f ca="1">INDEX(Tbl_MeasureList[],MATCH(Tbl_ROF_MeasureSummary[[#This Row],[Measure ID]:[Measure ID]],Tbl_MeasureList[[Measure ID]:[Measure ID]],0),MATCH(Tbl_ROF_MeasureSummary[[#Headers],[ROF High Measure Carbon Emissions Reduction, Source (tons CO2/yr)]],Tbl_MeasureList[#Headers],0))</f>
        <v>3.0305211176580595</v>
      </c>
      <c r="AO110" s="538">
        <f ca="1">INDEX(Tbl_MeasureList[],MATCH(Tbl_ROF_MeasureSummary[[#This Row],[Measure ID]:[Measure ID]],Tbl_MeasureList[[Measure ID]:[Measure ID]],0),MATCH(Tbl_ROF_MeasureSummary[[#Headers],[Current ROF Low Measure Coal Source Fuel Savings (lbs coal/year)]],Tbl_MeasureList[#Headers],0))</f>
        <v>-70.192160924408384</v>
      </c>
      <c r="AP110" s="397">
        <f ca="1">INDEX(Tbl_MeasureList[],MATCH(Tbl_ROF_MeasureSummary[[#This Row],[Measure ID]:[Measure ID]],Tbl_MeasureList[[Measure ID]:[Measure ID]],0),MATCH(Tbl_ROF_MeasureSummary[[#Headers],[Current ROF Low Measure Oil Total Fuel Savings (gallons oil/year)]],Tbl_MeasureList[#Headers],0))</f>
        <v>-6.6778422388241827</v>
      </c>
      <c r="AQ110" s="540">
        <f ca="1">INDEX(Tbl_MeasureList[],MATCH(Tbl_ROF_MeasureSummary[[#This Row],[Measure ID]:[Measure ID]],Tbl_MeasureList[[Measure ID]:[Measure ID]],0),MATCH(Tbl_ROF_MeasureSummary[[#Headers],[Current ROF Low Measure Gas Total Fuel Savings (1,000 cu.ft. gas/year)]],Tbl_MeasureList[#Headers],0))</f>
        <v>-28.909952350220504</v>
      </c>
      <c r="AR110" s="517">
        <f ca="1">INDEX(Tbl_MeasureList[],MATCH(Tbl_ROF_MeasureSummary[[#This Row],[Measure ID]:[Measure ID]],Tbl_MeasureList[[Measure ID]:[Measure ID]],0),MATCH(Tbl_ROF_MeasureSummary[[#Headers],[Current ROF High Measure Coal Source Fuel Savings (lbs coal/year)]],Tbl_MeasureList[#Headers],0))</f>
        <v>-60.880729098897909</v>
      </c>
      <c r="AS110" s="536">
        <f ca="1">INDEX(Tbl_MeasureList[],MATCH(Tbl_ROF_MeasureSummary[[#This Row],[Measure ID]:[Measure ID]],Tbl_MeasureList[[Measure ID]:[Measure ID]],0),MATCH(Tbl_ROF_MeasureSummary[[#Headers],[Current ROF High Measure Oil Total Fuel Savings (gallons oil/year)]],Tbl_MeasureList[#Headers],0))</f>
        <v>-5.7919844460246548</v>
      </c>
      <c r="AT110" s="397">
        <f ca="1">INDEX(Tbl_MeasureList[],MATCH(Tbl_ROF_MeasureSummary[[#This Row],[Measure ID]:[Measure ID]],Tbl_MeasureList[[Measure ID]:[Measure ID]],0),MATCH(Tbl_ROF_MeasureSummary[[#Headers],[Current ROF High Measure Gas Total Fuel Savings (1,000 cu.ft. gas/year)]],Tbl_MeasureList[#Headers],0))</f>
        <v>-25.07486525726528</v>
      </c>
    </row>
    <row r="111" spans="2:46" ht="22.5" x14ac:dyDescent="0.2">
      <c r="B111" s="16"/>
      <c r="C111" s="441" t="s">
        <v>1217</v>
      </c>
      <c r="D111" s="442" t="str">
        <f>INDEX(Tbl_MeasureList[],MATCH(Tbl_ROF_MeasureSummary[[#This Row],[Measure ID]:[Measure ID]],Tbl_MeasureList[[Measure ID]:[Measure ID]],0),MATCH(Tbl_ROF_MeasureSummary[[#Headers],[Baseline Equipment ID]],Tbl_MeasureList[#Headers],0))</f>
        <v>EQUI036</v>
      </c>
      <c r="E111" s="526" t="str">
        <f>INDEX(Tbl_MeasureList[],MATCH(Tbl_ROF_MeasureSummary[[#This Row],[Measure ID]:[Measure ID]],Tbl_MeasureList[[Measure ID]:[Measure ID]],0),MATCH(Tbl_ROF_MeasureSummary[[#Headers],[Replacement ID]],Tbl_MeasureList[#Headers],0))</f>
        <v>EQUI039</v>
      </c>
      <c r="F111" s="442" t="str">
        <f>INDEX(Tbl_MeasureList[],MATCH(Tbl_ROF_MeasureSummary[[#This Row],[Measure ID]:[Measure ID]],Tbl_MeasureList[[Measure ID]:[Measure ID]],0),MATCH(Tbl_ROF_MeasureSummary[[#Headers],[Baseline Name]],Tbl_MeasureList[#Headers],0))</f>
        <v>Room AC/No AC Blend+Oil Boiler</v>
      </c>
      <c r="G111" s="526" t="str">
        <f>INDEX(Tbl_MeasureList[],MATCH(Tbl_ROF_MeasureSummary[[#This Row],[Measure ID]:[Measure ID]],Tbl_MeasureList[[Measure ID]:[Measure ID]],0),MATCH(Tbl_ROF_MeasureSummary[[#Headers],[Replacement Name]],Tbl_MeasureList[#Headers],0))</f>
        <v>DMSHP</v>
      </c>
      <c r="H111" s="442"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Room AC/No AC Blend+Oil Boiler to DMSHP</v>
      </c>
      <c r="I111" s="527">
        <f>INDEX(Tbl_MeasureList[],MATCH(Tbl_ROF_MeasureSummary[[#This Row],[Measure ID]:[Measure ID]],Tbl_MeasureList[[Measure ID]:[Measure ID]],0),MATCH(Tbl_ROF_MeasureSummary[[#Headers],[New Unit Equipment Life (years)]],Tbl_MeasureList[#Headers],0))</f>
        <v>18</v>
      </c>
      <c r="J111" s="443" t="str">
        <f>INDEX(Tbl_MeasureList[],MATCH(Tbl_ROF_MeasureSummary[[#This Row],[Measure ID]:[Measure ID]],Tbl_MeasureList[[Measure ID]:[Measure ID]],0),MATCH(Tbl_ROF_MeasureSummary[[#Headers],[Baseline Function]],Tbl_MeasureList[#Headers],0))</f>
        <v>Cool+Heat</v>
      </c>
      <c r="K111" s="526" t="str">
        <f>INDEX(Tbl_MeasureList[],MATCH(Tbl_ROF_MeasureSummary[[#This Row],[Measure ID]:[Measure ID]],Tbl_MeasureList[[Measure ID]:[Measure ID]],0),MATCH(Tbl_ROF_MeasureSummary[[#Headers],[Replacement Function]],Tbl_MeasureList[#Headers],0))</f>
        <v>Cool+Heat</v>
      </c>
      <c r="L111" s="443" t="str">
        <f>INDEX(Tbl_MeasureList[],MATCH(Tbl_ROF_MeasureSummary[[#This Row],[Measure ID]:[Measure ID]],Tbl_MeasureList[[Measure ID]:[Measure ID]],0),MATCH(Tbl_ROF_MeasureSummary[[#Headers],[Keep Existing Heating Equipment?]],Tbl_MeasureList[#Headers],0))</f>
        <v>No</v>
      </c>
      <c r="M111" s="444"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Electric+Oil</v>
      </c>
      <c r="N111" s="544"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Electric</v>
      </c>
      <c r="O111" s="529"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8 EER
75% AFUE</v>
      </c>
      <c r="P111" s="546"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10 EER
84% AFUE</v>
      </c>
      <c r="Q111" s="529"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18 SEER/10.0 HSPF</v>
      </c>
      <c r="R111" s="548"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20 SEER/12.0 HSPF</v>
      </c>
      <c r="S111" s="531">
        <f ca="1">INDEX(Tbl_MeasureList[],MATCH(Tbl_ROF_MeasureSummary[[#This Row],[Measure ID]:[Measure ID]],Tbl_MeasureList[[Measure ID]:[Measure ID]],0),MATCH(Tbl_ROF_MeasureSummary[[#Headers],[ROF Low Measure Energy Cost Savings (USD/yr)]],Tbl_MeasureList[#Headers],0))</f>
        <v>380.01045275290767</v>
      </c>
      <c r="T111" s="445">
        <f ca="1">INDEX(Tbl_MeasureList[],MATCH(Tbl_ROF_MeasureSummary[[#This Row],[Measure ID]:[Measure ID]],Tbl_MeasureList[[Measure ID]:[Measure ID]],0),MATCH(T$84,Tbl_MeasureList[#Headers],0))</f>
        <v>5313.8173913043465</v>
      </c>
      <c r="U111" s="533">
        <f ca="1">INDEX(Tbl_MeasureList[],MATCH(Tbl_ROF_MeasureSummary[[#This Row],[Measure ID]:[Measure ID]],Tbl_MeasureList[[Measure ID]:[Measure ID]],0),MATCH(Tbl_ROF_MeasureSummary[[#Headers],[ROF Low Measure Electric Annual Consumption Savings (kWh/yr)]],Tbl_MeasureList[#Headers],0))</f>
        <v>-8446.9986410602432</v>
      </c>
      <c r="V111" s="446">
        <f ca="1">INDEX(Tbl_MeasureList[],MATCH(Tbl_ROF_MeasureSummary[[#This Row],[Measure ID]:[Measure ID]],Tbl_MeasureList[[Measure ID]:[Measure ID]],0),MATCH(Tbl_ROF_MeasureSummary[[#Headers],[ROF Low Measure Electric Winter Peak Demand Savings (kW)]],Tbl_MeasureList[#Headers],0))</f>
        <v>-1.5967171620325984</v>
      </c>
      <c r="W111" s="535">
        <f ca="1">INDEX(Tbl_MeasureList[],MATCH(Tbl_ROF_MeasureSummary[[#This Row],[Measure ID]:[Measure ID]],Tbl_MeasureList[[Measure ID]:[Measure ID]],0),MATCH(Tbl_ROF_MeasureSummary[[#Headers],[ROF Low Measure Electric Summer Peak Demand Savings (kW)]],Tbl_MeasureList[#Headers],0))</f>
        <v>1.6000000000000236E-2</v>
      </c>
      <c r="X111" s="656">
        <f ca="1">INDEX(Tbl_MeasureList[],MATCH(Tbl_ROF_MeasureSummary[[#This Row],[Measure ID]:[Measure ID]],Tbl_MeasureList[[Measure ID]:[Measure ID]],0),MATCH(Tbl_ROF_MeasureSummary[[#Headers],[ROF Low Measure Natural Gas Annual Consumption Savings (therms/yr)]],Tbl_MeasureList[#Headers],0))</f>
        <v>0</v>
      </c>
      <c r="Y111" s="536">
        <f ca="1">INDEX(Tbl_MeasureList[],MATCH(Tbl_ROF_MeasureSummary[[#This Row],[Measure ID]:[Measure ID]],Tbl_MeasureList[[Measure ID]:[Measure ID]],0),MATCH(Tbl_ROF_MeasureSummary[[#Headers],[ROF Low Measure Propane Annual Consumption Savings (MMBtu/yr)]],Tbl_MeasureList[#Headers],0))</f>
        <v>0</v>
      </c>
      <c r="Z111" s="656">
        <f ca="1">INDEX(Tbl_MeasureList[],MATCH(Tbl_ROF_MeasureSummary[[#This Row],[Measure ID]:[Measure ID]],Tbl_MeasureList[[Measure ID]:[Measure ID]],0),MATCH(Tbl_ROF_MeasureSummary[[#Headers],[ROF Low Measure Oil Annual Consumption Savings (MMBtu/yr)]],Tbl_MeasureList[#Headers],0))</f>
        <v>91.30952380952381</v>
      </c>
      <c r="AA111" s="663">
        <f ca="1">INDEX(Tbl_MeasureList[],MATCH(Tbl_ROF_MeasureSummary[[#This Row],[Measure ID]:[Measure ID]],Tbl_MeasureList[[Measure ID]:[Measure ID]],0),MATCH(Tbl_ROF_MeasureSummary[[#Headers],[ROF Low Measure Annual Energy Savings on MMBtu Basis (MMBtu/yr)]],Tbl_MeasureList[#Headers],0))</f>
        <v>62.488364446226257</v>
      </c>
      <c r="AB111" s="657">
        <f ca="1">INDEX(Tbl_MeasureList[],MATCH(Tbl_ROF_MeasureSummary[[#This Row],[Measure ID]:[Measure ID]],Tbl_MeasureList[[Measure ID]:[Measure ID]],0),MATCH(Tbl_ROF_MeasureSummary[[#Headers],[ROF Low Measure Carbon Emissions Reduction, Site (tons CO2/yr)]],Tbl_MeasureList[#Headers],0))</f>
        <v>7.3641130952380953</v>
      </c>
      <c r="AC111" s="558">
        <f ca="1">INDEX(Tbl_MeasureList[],MATCH(Tbl_ROF_MeasureSummary[[#This Row],[Measure ID]:[Measure ID]],Tbl_MeasureList[[Measure ID]:[Measure ID]],0),MATCH(Tbl_ROF_MeasureSummary[[#Headers],[ROF Low Measure Carbon Emissions Reduction, Source (tons CO2/yr)]],Tbl_MeasureList[#Headers],0))</f>
        <v>4.3809710551612602</v>
      </c>
      <c r="AD111" s="531">
        <f ca="1">INDEX(Tbl_MeasureList[],MATCH(Tbl_ROF_MeasureSummary[[#This Row],[Measure ID]:[Measure ID]],Tbl_MeasureList[[Measure ID]:[Measure ID]],0),MATCH(Tbl_ROF_MeasureSummary[[#Headers],[ROF High Measure Energy Cost Savings (USD/yr)]],Tbl_MeasureList[#Headers],0))</f>
        <v>678.69254438258395</v>
      </c>
      <c r="AE111" s="445">
        <f ca="1">INDEX(Tbl_MeasureList[],MATCH(Tbl_ROF_MeasureSummary[[#This Row],[Measure ID]:[Measure ID]],Tbl_MeasureList[[Measure ID]:[Measure ID]],0),MATCH(AE$84,Tbl_MeasureList[#Headers],0))</f>
        <v>5713.5173913043473</v>
      </c>
      <c r="AF111" s="533">
        <f ca="1">INDEX(Tbl_MeasureList[],MATCH(Tbl_ROF_MeasureSummary[[#This Row],[Measure ID]:[Measure ID]],Tbl_MeasureList[[Measure ID]:[Measure ID]],0),MATCH(Tbl_ROF_MeasureSummary[[#Headers],[ROF High Measure Electric Annual Consumption Savings (kWh/yr)]],Tbl_MeasureList[#Headers],0))</f>
        <v>-6987.5681270365467</v>
      </c>
      <c r="AG111" s="446">
        <f ca="1">INDEX(Tbl_MeasureList[],MATCH(Tbl_ROF_MeasureSummary[[#This Row],[Measure ID]:[Measure ID]],Tbl_MeasureList[[Measure ID]:[Measure ID]],0),MATCH(Tbl_ROF_MeasureSummary[[#Headers],[ROF High Measure Electric Winter Peak Demand Savings (kW)]],Tbl_MeasureList[#Headers],0))</f>
        <v>-1.7647171620325983</v>
      </c>
      <c r="AH111" s="535">
        <f ca="1">INDEX(Tbl_MeasureList[],MATCH(Tbl_ROF_MeasureSummary[[#This Row],[Measure ID]:[Measure ID]],Tbl_MeasureList[[Measure ID]:[Measure ID]],0),MATCH(Tbl_ROF_MeasureSummary[[#Headers],[ROF High Measure Electric Summer Peak Demand Savings (kW)]],Tbl_MeasureList[#Headers],0))</f>
        <v>1.6000000000000236E-2</v>
      </c>
      <c r="AI111" s="656">
        <f ca="1">INDEX(Tbl_MeasureList[],MATCH(Tbl_ROF_MeasureSummary[[#This Row],[Measure ID]:[Measure ID]],Tbl_MeasureList[[Measure ID]:[Measure ID]],0),MATCH(Tbl_ROF_MeasureSummary[[#Headers],[ROF High Measure Natural Gas Annual Consumption Savings (therms/yr)]],Tbl_MeasureList[#Headers],0))</f>
        <v>0</v>
      </c>
      <c r="AJ111" s="536">
        <f ca="1">INDEX(Tbl_MeasureList[],MATCH(Tbl_ROF_MeasureSummary[[#This Row],[Measure ID]:[Measure ID]],Tbl_MeasureList[[Measure ID]:[Measure ID]],0),MATCH(Tbl_ROF_MeasureSummary[[#Headers],[ROF High Measure Propane Annual Consumption Savings (MMBtu/yr)]],Tbl_MeasureList[#Headers],0))</f>
        <v>0</v>
      </c>
      <c r="AK111" s="656">
        <f ca="1">INDEX(Tbl_MeasureList[],MATCH(Tbl_ROF_MeasureSummary[[#This Row],[Measure ID]:[Measure ID]],Tbl_MeasureList[[Measure ID]:[Measure ID]],0),MATCH(Tbl_ROF_MeasureSummary[[#Headers],[ROF High Measure Oil Annual Consumption Savings (MMBtu/yr)]],Tbl_MeasureList[#Headers],0))</f>
        <v>91.30952380952381</v>
      </c>
      <c r="AL111" s="537">
        <f ca="1">INDEX(Tbl_MeasureList[],MATCH(Tbl_ROF_MeasureSummary[[#This Row],[Measure ID]:[Measure ID]],Tbl_MeasureList[[Measure ID]:[Measure ID]],0),MATCH(Tbl_ROF_MeasureSummary[[#Headers],[ROF High Measure Annual Energy Savings on MMBtu Basis (MMBtu/yr)]],Tbl_MeasureList[#Headers],0))</f>
        <v>67.467941360075116</v>
      </c>
      <c r="AM111" s="657">
        <f ca="1">INDEX(Tbl_MeasureList[],MATCH(Tbl_ROF_MeasureSummary[[#This Row],[Measure ID]:[Measure ID]],Tbl_MeasureList[[Measure ID]:[Measure ID]],0),MATCH(Tbl_ROF_MeasureSummary[[#Headers],[ROF High Measure Carbon Emissions Reduction, Site (tons CO2/yr)]],Tbl_MeasureList[#Headers],0))</f>
        <v>7.3641130952380953</v>
      </c>
      <c r="AN111" s="558">
        <f ca="1">INDEX(Tbl_MeasureList[],MATCH(Tbl_ROF_MeasureSummary[[#This Row],[Measure ID]:[Measure ID]],Tbl_MeasureList[[Measure ID]:[Measure ID]],0),MATCH(Tbl_ROF_MeasureSummary[[#Headers],[ROF High Measure Carbon Emissions Reduction, Source (tons CO2/yr)]],Tbl_MeasureList[#Headers],0))</f>
        <v>4.8963835354938681</v>
      </c>
      <c r="AO111" s="539">
        <f ca="1">INDEX(Tbl_MeasureList[],MATCH(Tbl_ROF_MeasureSummary[[#This Row],[Measure ID]:[Measure ID]],Tbl_MeasureList[[Measure ID]:[Measure ID]],0),MATCH(Tbl_ROF_MeasureSummary[[#Headers],[Current ROF Low Measure Coal Source Fuel Savings (lbs coal/year)]],Tbl_MeasureList[#Headers],0))</f>
        <v>-81.560109563650641</v>
      </c>
      <c r="AP111" s="447">
        <f ca="1">INDEX(Tbl_MeasureList[],MATCH(Tbl_ROF_MeasureSummary[[#This Row],[Measure ID]:[Measure ID]],Tbl_MeasureList[[Measure ID]:[Measure ID]],0),MATCH(Tbl_ROF_MeasureSummary[[#Headers],[Current ROF Low Measure Oil Total Fuel Savings (gallons oil/year)]],Tbl_MeasureList[#Headers],0))</f>
        <v>654.1676774964219</v>
      </c>
      <c r="AQ111" s="542">
        <f ca="1">INDEX(Tbl_MeasureList[],MATCH(Tbl_ROF_MeasureSummary[[#This Row],[Measure ID]:[Measure ID]],Tbl_MeasureList[[Measure ID]:[Measure ID]],0),MATCH(Tbl_ROF_MeasureSummary[[#Headers],[Current ROF Low Measure Gas Total Fuel Savings (1,000 cu.ft. gas/year)]],Tbl_MeasureList[#Headers],0))</f>
        <v>-33.592054299385097</v>
      </c>
      <c r="AR111" s="524">
        <f ca="1">INDEX(Tbl_MeasureList[],MATCH(Tbl_ROF_MeasureSummary[[#This Row],[Measure ID]:[Measure ID]],Tbl_MeasureList[[Measure ID]:[Measure ID]],0),MATCH(Tbl_ROF_MeasureSummary[[#Headers],[Current ROF High Measure Coal Source Fuel Savings (lbs coal/year)]],Tbl_MeasureList[#Headers],0))</f>
        <v>-67.468558507195496</v>
      </c>
      <c r="AS111" s="537">
        <f ca="1">INDEX(Tbl_MeasureList[],MATCH(Tbl_ROF_MeasureSummary[[#This Row],[Measure ID]:[Measure ID]],Tbl_MeasureList[[Measure ID]:[Measure ID]],0),MATCH(Tbl_ROF_MeasureSummary[[#Headers],[Current ROF High Measure Oil Total Fuel Savings (gallons oil/year)]],Tbl_MeasureList[#Headers],0))</f>
        <v>655.50829949204171</v>
      </c>
      <c r="AT111" s="448">
        <f ca="1">INDEX(Tbl_MeasureList[],MATCH(Tbl_ROF_MeasureSummary[[#This Row],[Measure ID]:[Measure ID]],Tbl_MeasureList[[Measure ID]:[Measure ID]],0),MATCH(Tbl_ROF_MeasureSummary[[#Headers],[Current ROF High Measure Gas Total Fuel Savings (1,000 cu.ft. gas/year)]],Tbl_MeasureList[#Headers],0))</f>
        <v>-27.78818583006213</v>
      </c>
    </row>
    <row r="112" spans="2:46" ht="22.5" x14ac:dyDescent="0.2">
      <c r="B112" s="16"/>
      <c r="C112" s="441" t="s">
        <v>1316</v>
      </c>
      <c r="D112" s="442" t="str">
        <f>INDEX(Tbl_MeasureList[],MATCH(Tbl_ROF_MeasureSummary[[#This Row],[Measure ID]:[Measure ID]],Tbl_MeasureList[[Measure ID]:[Measure ID]],0),MATCH(Tbl_ROF_MeasureSummary[[#Headers],[Baseline Equipment ID]],Tbl_MeasureList[#Headers],0))</f>
        <v>EQUI037</v>
      </c>
      <c r="E112" s="526" t="str">
        <f>INDEX(Tbl_MeasureList[],MATCH(Tbl_ROF_MeasureSummary[[#This Row],[Measure ID]:[Measure ID]],Tbl_MeasureList[[Measure ID]:[Measure ID]],0),MATCH(Tbl_ROF_MeasureSummary[[#Headers],[Replacement ID]],Tbl_MeasureList[#Headers],0))</f>
        <v>EQUI039</v>
      </c>
      <c r="F112" s="442" t="str">
        <f>INDEX(Tbl_MeasureList[],MATCH(Tbl_ROF_MeasureSummary[[#This Row],[Measure ID]:[Measure ID]],Tbl_MeasureList[[Measure ID]:[Measure ID]],0),MATCH(Tbl_ROF_MeasureSummary[[#Headers],[Baseline Name]],Tbl_MeasureList[#Headers],0))</f>
        <v>Room AC/No AC Blend+Propane Boiler</v>
      </c>
      <c r="G112" s="526" t="str">
        <f>INDEX(Tbl_MeasureList[],MATCH(Tbl_ROF_MeasureSummary[[#This Row],[Measure ID]:[Measure ID]],Tbl_MeasureList[[Measure ID]:[Measure ID]],0),MATCH(Tbl_ROF_MeasureSummary[[#Headers],[Replacement Name]],Tbl_MeasureList[#Headers],0))</f>
        <v>DMSHP</v>
      </c>
      <c r="H112" s="442"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Room AC/No AC Blend+Propane Boiler to DMSHP</v>
      </c>
      <c r="I112" s="527">
        <f>INDEX(Tbl_MeasureList[],MATCH(Tbl_ROF_MeasureSummary[[#This Row],[Measure ID]:[Measure ID]],Tbl_MeasureList[[Measure ID]:[Measure ID]],0),MATCH(Tbl_ROF_MeasureSummary[[#Headers],[New Unit Equipment Life (years)]],Tbl_MeasureList[#Headers],0))</f>
        <v>18</v>
      </c>
      <c r="J112" s="443" t="str">
        <f>INDEX(Tbl_MeasureList[],MATCH(Tbl_ROF_MeasureSummary[[#This Row],[Measure ID]:[Measure ID]],Tbl_MeasureList[[Measure ID]:[Measure ID]],0),MATCH(Tbl_ROF_MeasureSummary[[#Headers],[Baseline Function]],Tbl_MeasureList[#Headers],0))</f>
        <v>Cool+Heat</v>
      </c>
      <c r="K112" s="526" t="str">
        <f>INDEX(Tbl_MeasureList[],MATCH(Tbl_ROF_MeasureSummary[[#This Row],[Measure ID]:[Measure ID]],Tbl_MeasureList[[Measure ID]:[Measure ID]],0),MATCH(Tbl_ROF_MeasureSummary[[#Headers],[Replacement Function]],Tbl_MeasureList[#Headers],0))</f>
        <v>Cool+Heat</v>
      </c>
      <c r="L112" s="443" t="str">
        <f>INDEX(Tbl_MeasureList[],MATCH(Tbl_ROF_MeasureSummary[[#This Row],[Measure ID]:[Measure ID]],Tbl_MeasureList[[Measure ID]:[Measure ID]],0),MATCH(Tbl_ROF_MeasureSummary[[#Headers],[Keep Existing Heating Equipment?]],Tbl_MeasureList[#Headers],0))</f>
        <v>No</v>
      </c>
      <c r="M112" s="444"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Electric+Propane</v>
      </c>
      <c r="N112" s="544"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Electric</v>
      </c>
      <c r="O112" s="529"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8 EER
75% AFUE</v>
      </c>
      <c r="P112" s="546"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10 EER
82% AFUE (79.3% actual)</v>
      </c>
      <c r="Q112" s="529"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18 SEER/10.0 HSPF</v>
      </c>
      <c r="R112" s="548"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20 SEER/12.0 HSPF</v>
      </c>
      <c r="S112" s="531">
        <f ca="1">INDEX(Tbl_MeasureList[],MATCH(Tbl_ROF_MeasureSummary[[#This Row],[Measure ID]:[Measure ID]],Tbl_MeasureList[[Measure ID]:[Measure ID]],0),MATCH(Tbl_ROF_MeasureSummary[[#Headers],[ROF Low Measure Energy Cost Savings (USD/yr)]],Tbl_MeasureList[#Headers],0))</f>
        <v>1799.3412082371563</v>
      </c>
      <c r="T112" s="445">
        <f ca="1">INDEX(Tbl_MeasureList[],MATCH(Tbl_ROF_MeasureSummary[[#This Row],[Measure ID]:[Measure ID]],Tbl_MeasureList[[Measure ID]:[Measure ID]],0),MATCH(T$84,Tbl_MeasureList[#Headers],0))</f>
        <v>5584.8173913043465</v>
      </c>
      <c r="U112" s="533">
        <f ca="1">INDEX(Tbl_MeasureList[],MATCH(Tbl_ROF_MeasureSummary[[#This Row],[Measure ID]:[Measure ID]],Tbl_MeasureList[[Measure ID]:[Measure ID]],0),MATCH(Tbl_ROF_MeasureSummary[[#Headers],[ROF Low Measure Electric Annual Consumption Savings (kWh/yr)]],Tbl_MeasureList[#Headers],0))</f>
        <v>-8479.9986410602432</v>
      </c>
      <c r="V112" s="446">
        <f ca="1">INDEX(Tbl_MeasureList[],MATCH(Tbl_ROF_MeasureSummary[[#This Row],[Measure ID]:[Measure ID]],Tbl_MeasureList[[Measure ID]:[Measure ID]],0),MATCH(Tbl_ROF_MeasureSummary[[#Headers],[ROF Low Measure Electric Winter Peak Demand Savings (kW)]],Tbl_MeasureList[#Headers],0))</f>
        <v>-1.6017794822627038</v>
      </c>
      <c r="W112" s="535">
        <f ca="1">INDEX(Tbl_MeasureList[],MATCH(Tbl_ROF_MeasureSummary[[#This Row],[Measure ID]:[Measure ID]],Tbl_MeasureList[[Measure ID]:[Measure ID]],0),MATCH(Tbl_ROF_MeasureSummary[[#Headers],[ROF Low Measure Electric Summer Peak Demand Savings (kW)]],Tbl_MeasureList[#Headers],0))</f>
        <v>1.6000000000000236E-2</v>
      </c>
      <c r="X112" s="656">
        <f ca="1">INDEX(Tbl_MeasureList[],MATCH(Tbl_ROF_MeasureSummary[[#This Row],[Measure ID]:[Measure ID]],Tbl_MeasureList[[Measure ID]:[Measure ID]],0),MATCH(Tbl_ROF_MeasureSummary[[#Headers],[ROF Low Measure Natural Gas Annual Consumption Savings (therms/yr)]],Tbl_MeasureList[#Headers],0))</f>
        <v>0</v>
      </c>
      <c r="Y112" s="536">
        <f ca="1">INDEX(Tbl_MeasureList[],MATCH(Tbl_ROF_MeasureSummary[[#This Row],[Measure ID]:[Measure ID]],Tbl_MeasureList[[Measure ID]:[Measure ID]],0),MATCH(Tbl_ROF_MeasureSummary[[#Headers],[ROF Low Measure Propane Annual Consumption Savings (MMBtu/yr)]],Tbl_MeasureList[#Headers],0))</f>
        <v>96.721311475409834</v>
      </c>
      <c r="Z112" s="656">
        <f ca="1">INDEX(Tbl_MeasureList[],MATCH(Tbl_ROF_MeasureSummary[[#This Row],[Measure ID]:[Measure ID]],Tbl_MeasureList[[Measure ID]:[Measure ID]],0),MATCH(Tbl_ROF_MeasureSummary[[#Headers],[ROF Low Measure Oil Annual Consumption Savings (MMBtu/yr)]],Tbl_MeasureList[#Headers],0))</f>
        <v>0</v>
      </c>
      <c r="AA112" s="663">
        <f ca="1">INDEX(Tbl_MeasureList[],MATCH(Tbl_ROF_MeasureSummary[[#This Row],[Measure ID]:[Measure ID]],Tbl_MeasureList[[Measure ID]:[Measure ID]],0),MATCH(Tbl_ROF_MeasureSummary[[#Headers],[ROF Low Measure Annual Energy Savings on MMBtu Basis (MMBtu/yr)]],Tbl_MeasureList[#Headers],0))</f>
        <v>67.787556112112284</v>
      </c>
      <c r="AB112" s="657">
        <f ca="1">INDEX(Tbl_MeasureList[],MATCH(Tbl_ROF_MeasureSummary[[#This Row],[Measure ID]:[Measure ID]],Tbl_MeasureList[[Measure ID]:[Measure ID]],0),MATCH(Tbl_ROF_MeasureSummary[[#Headers],[ROF Low Measure Carbon Emissions Reduction, Site (tons CO2/yr)]],Tbl_MeasureList[#Headers],0))</f>
        <v>6.722131147540984</v>
      </c>
      <c r="AC112" s="558">
        <f ca="1">INDEX(Tbl_MeasureList[],MATCH(Tbl_ROF_MeasureSummary[[#This Row],[Measure ID]:[Measure ID]],Tbl_MeasureList[[Measure ID]:[Measure ID]],0),MATCH(Tbl_ROF_MeasureSummary[[#Headers],[ROF Low Measure Carbon Emissions Reduction, Source (tons CO2/yr)]],Tbl_MeasureList[#Headers],0))</f>
        <v>3.7273348274641487</v>
      </c>
      <c r="AD112" s="531">
        <f ca="1">INDEX(Tbl_MeasureList[],MATCH(Tbl_ROF_MeasureSummary[[#This Row],[Measure ID]:[Measure ID]],Tbl_MeasureList[[Measure ID]:[Measure ID]],0),MATCH(Tbl_ROF_MeasureSummary[[#Headers],[ROF High Measure Energy Cost Savings (USD/yr)]],Tbl_MeasureList[#Headers],0))</f>
        <v>678.69254438258395</v>
      </c>
      <c r="AE112" s="445">
        <f ca="1">INDEX(Tbl_MeasureList[],MATCH(Tbl_ROF_MeasureSummary[[#This Row],[Measure ID]:[Measure ID]],Tbl_MeasureList[[Measure ID]:[Measure ID]],0),MATCH(AE$84,Tbl_MeasureList[#Headers],0))</f>
        <v>5984.5173913043473</v>
      </c>
      <c r="AF112" s="533">
        <f ca="1">INDEX(Tbl_MeasureList[],MATCH(Tbl_ROF_MeasureSummary[[#This Row],[Measure ID]:[Measure ID]],Tbl_MeasureList[[Measure ID]:[Measure ID]],0),MATCH(Tbl_ROF_MeasureSummary[[#Headers],[ROF High Measure Electric Annual Consumption Savings (kWh/yr)]],Tbl_MeasureList[#Headers],0))</f>
        <v>-7020.5681270365467</v>
      </c>
      <c r="AG112" s="446">
        <f ca="1">INDEX(Tbl_MeasureList[],MATCH(Tbl_ROF_MeasureSummary[[#This Row],[Measure ID]:[Measure ID]],Tbl_MeasureList[[Measure ID]:[Measure ID]],0),MATCH(Tbl_ROF_MeasureSummary[[#Headers],[ROF High Measure Electric Winter Peak Demand Savings (kW)]],Tbl_MeasureList[#Headers],0))</f>
        <v>-1.7697794822627038</v>
      </c>
      <c r="AH112" s="535">
        <f ca="1">INDEX(Tbl_MeasureList[],MATCH(Tbl_ROF_MeasureSummary[[#This Row],[Measure ID]:[Measure ID]],Tbl_MeasureList[[Measure ID]:[Measure ID]],0),MATCH(Tbl_ROF_MeasureSummary[[#Headers],[ROF High Measure Electric Summer Peak Demand Savings (kW)]],Tbl_MeasureList[#Headers],0))</f>
        <v>1.6000000000000236E-2</v>
      </c>
      <c r="AI112" s="656">
        <f ca="1">INDEX(Tbl_MeasureList[],MATCH(Tbl_ROF_MeasureSummary[[#This Row],[Measure ID]:[Measure ID]],Tbl_MeasureList[[Measure ID]:[Measure ID]],0),MATCH(Tbl_ROF_MeasureSummary[[#Headers],[ROF High Measure Natural Gas Annual Consumption Savings (therms/yr)]],Tbl_MeasureList[#Headers],0))</f>
        <v>0</v>
      </c>
      <c r="AJ112" s="536">
        <f ca="1">INDEX(Tbl_MeasureList[],MATCH(Tbl_ROF_MeasureSummary[[#This Row],[Measure ID]:[Measure ID]],Tbl_MeasureList[[Measure ID]:[Measure ID]],0),MATCH(Tbl_ROF_MeasureSummary[[#Headers],[ROF High Measure Propane Annual Consumption Savings (MMBtu/yr)]],Tbl_MeasureList[#Headers],0))</f>
        <v>96.721311475409834</v>
      </c>
      <c r="AK112" s="656">
        <f ca="1">INDEX(Tbl_MeasureList[],MATCH(Tbl_ROF_MeasureSummary[[#This Row],[Measure ID]:[Measure ID]],Tbl_MeasureList[[Measure ID]:[Measure ID]],0),MATCH(Tbl_ROF_MeasureSummary[[#Headers],[ROF High Measure Oil Annual Consumption Savings (MMBtu/yr)]],Tbl_MeasureList[#Headers],0))</f>
        <v>0</v>
      </c>
      <c r="AL112" s="537">
        <f ca="1">INDEX(Tbl_MeasureList[],MATCH(Tbl_ROF_MeasureSummary[[#This Row],[Measure ID]:[Measure ID]],Tbl_MeasureList[[Measure ID]:[Measure ID]],0),MATCH(Tbl_ROF_MeasureSummary[[#Headers],[ROF High Measure Annual Energy Savings on MMBtu Basis (MMBtu/yr)]],Tbl_MeasureList[#Headers],0))</f>
        <v>72.76713302596113</v>
      </c>
      <c r="AM112" s="657">
        <f ca="1">INDEX(Tbl_MeasureList[],MATCH(Tbl_ROF_MeasureSummary[[#This Row],[Measure ID]:[Measure ID]],Tbl_MeasureList[[Measure ID]:[Measure ID]],0),MATCH(Tbl_ROF_MeasureSummary[[#Headers],[ROF High Measure Carbon Emissions Reduction, Site (tons CO2/yr)]],Tbl_MeasureList[#Headers],0))</f>
        <v>6.722131147540984</v>
      </c>
      <c r="AN112" s="558">
        <f ca="1">INDEX(Tbl_MeasureList[],MATCH(Tbl_ROF_MeasureSummary[[#This Row],[Measure ID]:[Measure ID]],Tbl_MeasureList[[Measure ID]:[Measure ID]],0),MATCH(Tbl_ROF_MeasureSummary[[#Headers],[ROF High Measure Carbon Emissions Reduction, Source (tons CO2/yr)]],Tbl_MeasureList[#Headers],0))</f>
        <v>4.2427473077967566</v>
      </c>
      <c r="AO112" s="539">
        <f ca="1">INDEX(Tbl_MeasureList[],MATCH(Tbl_ROF_MeasureSummary[[#This Row],[Measure ID]:[Measure ID]],Tbl_MeasureList[[Measure ID]:[Measure ID]],0),MATCH(Tbl_ROF_MeasureSummary[[#Headers],[Current ROF Low Measure Coal Source Fuel Savings (lbs coal/year)]],Tbl_MeasureList[#Headers],0))</f>
        <v>-81.878741509738248</v>
      </c>
      <c r="AP112" s="447">
        <f ca="1">INDEX(Tbl_MeasureList[],MATCH(Tbl_ROF_MeasureSummary[[#This Row],[Measure ID]:[Measure ID]],Tbl_MeasureList[[Measure ID]:[Measure ID]],0),MATCH(Tbl_ROF_MeasureSummary[[#Headers],[Current ROF Low Measure Oil Total Fuel Savings (gallons oil/year)]],Tbl_MeasureList[#Headers],0))</f>
        <v>-7.7896635651996844</v>
      </c>
      <c r="AQ112" s="542">
        <f ca="1">INDEX(Tbl_MeasureList[],MATCH(Tbl_ROF_MeasureSummary[[#This Row],[Measure ID]:[Measure ID]],Tbl_MeasureList[[Measure ID]:[Measure ID]],0),MATCH(Tbl_ROF_MeasureSummary[[#Headers],[Current ROF Low Measure Gas Total Fuel Savings (1,000 cu.ft. gas/year)]],Tbl_MeasureList[#Headers],0))</f>
        <v>-33.723288816991293</v>
      </c>
      <c r="AR112" s="524">
        <f ca="1">INDEX(Tbl_MeasureList[],MATCH(Tbl_ROF_MeasureSummary[[#This Row],[Measure ID]:[Measure ID]],Tbl_MeasureList[[Measure ID]:[Measure ID]],0),MATCH(Tbl_ROF_MeasureSummary[[#Headers],[Current ROF High Measure Coal Source Fuel Savings (lbs coal/year)]],Tbl_MeasureList[#Headers],0))</f>
        <v>-67.787190453283102</v>
      </c>
      <c r="AS112" s="537">
        <f ca="1">INDEX(Tbl_MeasureList[],MATCH(Tbl_ROF_MeasureSummary[[#This Row],[Measure ID]:[Measure ID]],Tbl_MeasureList[[Measure ID]:[Measure ID]],0),MATCH(Tbl_ROF_MeasureSummary[[#Headers],[Current ROF High Measure Oil Total Fuel Savings (gallons oil/year)]],Tbl_MeasureList[#Headers],0))</f>
        <v>-6.4490415695799239</v>
      </c>
      <c r="AT112" s="448">
        <f ca="1">INDEX(Tbl_MeasureList[],MATCH(Tbl_ROF_MeasureSummary[[#This Row],[Measure ID]:[Measure ID]],Tbl_MeasureList[[Measure ID]:[Measure ID]],0),MATCH(Tbl_ROF_MeasureSummary[[#Headers],[Current ROF High Measure Gas Total Fuel Savings (1,000 cu.ft. gas/year)]],Tbl_MeasureList[#Headers],0))</f>
        <v>-27.919420347668321</v>
      </c>
    </row>
    <row r="113" spans="2:46" x14ac:dyDescent="0.2">
      <c r="B113" s="16"/>
      <c r="C113" s="441" t="s">
        <v>1317</v>
      </c>
      <c r="D113" s="442" t="str">
        <f>INDEX(Tbl_MeasureList[],MATCH(Tbl_ROF_MeasureSummary[[#This Row],[Measure ID]:[Measure ID]],Tbl_MeasureList[[Measure ID]:[Measure ID]],0),MATCH(Tbl_ROF_MeasureSummary[[#Headers],[Baseline Equipment ID]],Tbl_MeasureList[#Headers],0))</f>
        <v>EQUI017</v>
      </c>
      <c r="E113" s="526" t="str">
        <f>INDEX(Tbl_MeasureList[],MATCH(Tbl_ROF_MeasureSummary[[#This Row],[Measure ID]:[Measure ID]],Tbl_MeasureList[[Measure ID]:[Measure ID]],0),MATCH(Tbl_ROF_MeasureSummary[[#Headers],[Replacement ID]],Tbl_MeasureList[#Headers],0))</f>
        <v>EQUI022</v>
      </c>
      <c r="F113" s="442" t="str">
        <f>INDEX(Tbl_MeasureList[],MATCH(Tbl_ROF_MeasureSummary[[#This Row],[Measure ID]:[Measure ID]],Tbl_MeasureList[[Measure ID]:[Measure ID]],0),MATCH(Tbl_ROF_MeasureSummary[[#Headers],[Baseline Name]],Tbl_MeasureList[#Headers],0))</f>
        <v>Oil Boiler+Indirect WH</v>
      </c>
      <c r="G113" s="526" t="str">
        <f>INDEX(Tbl_MeasureList[],MATCH(Tbl_ROF_MeasureSummary[[#This Row],[Measure ID]:[Measure ID]],Tbl_MeasureList[[Measure ID]:[Measure ID]],0),MATCH(Tbl_ROF_MeasureSummary[[#Headers],[Replacement Name]],Tbl_MeasureList[#Headers],0))</f>
        <v>Gas Combination Boiler</v>
      </c>
      <c r="H113" s="442" t="str">
        <f>INDEX(Tbl_MeasureList[],MATCH(Tbl_ROF_MeasureSummary[[#This Row],[Measure ID]:[Measure ID]],Tbl_MeasureList[[Measure ID]:[Measure ID]],0),MATCH(Tbl_ROF_MeasureSummary[[#Headers],[Baseline Name]],Tbl_MeasureList[#Headers],0))&amp;" to "&amp;INDEX(Tbl_MeasureList[],MATCH(Tbl_ROF_MeasureSummary[[#This Row],[Measure ID]:[Measure ID]],Tbl_MeasureList[[Measure ID]:[Measure ID]],0),MATCH(Tbl_ROF_MeasureSummary[[#Headers],[Replacement Name]],Tbl_MeasureList[#Headers],0))</f>
        <v>Oil Boiler+Indirect WH to Gas Combination Boiler</v>
      </c>
      <c r="I113" s="527">
        <f>INDEX(Tbl_MeasureList[],MATCH(Tbl_ROF_MeasureSummary[[#This Row],[Measure ID]:[Measure ID]],Tbl_MeasureList[[Measure ID]:[Measure ID]],0),MATCH(Tbl_ROF_MeasureSummary[[#Headers],[New Unit Equipment Life (years)]],Tbl_MeasureList[#Headers],0))</f>
        <v>19</v>
      </c>
      <c r="J113" s="443" t="str">
        <f>INDEX(Tbl_MeasureList[],MATCH(Tbl_ROF_MeasureSummary[[#This Row],[Measure ID]:[Measure ID]],Tbl_MeasureList[[Measure ID]:[Measure ID]],0),MATCH(Tbl_ROF_MeasureSummary[[#Headers],[Baseline Function]],Tbl_MeasureList[#Headers],0))</f>
        <v>Heat+HW</v>
      </c>
      <c r="K113" s="526" t="str">
        <f>INDEX(Tbl_MeasureList[],MATCH(Tbl_ROF_MeasureSummary[[#This Row],[Measure ID]:[Measure ID]],Tbl_MeasureList[[Measure ID]:[Measure ID]],0),MATCH(Tbl_ROF_MeasureSummary[[#Headers],[Replacement Function]],Tbl_MeasureList[#Headers],0))</f>
        <v>Heat+HW</v>
      </c>
      <c r="L113" s="443" t="str">
        <f>INDEX(Tbl_MeasureList[],MATCH(Tbl_ROF_MeasureSummary[[#This Row],[Measure ID]:[Measure ID]],Tbl_MeasureList[[Measure ID]:[Measure ID]],0),MATCH(Tbl_ROF_MeasureSummary[[#Headers],[Keep Existing Heating Equipment?]],Tbl_MeasureList[#Headers],0))</f>
        <v>No</v>
      </c>
      <c r="M113" s="444" t="str">
        <f>INDEX(Tbl_MeasureList[Baseline Fuel 1],MATCH(Tbl_ROF_MeasureSummary[[#This Row],[Measure ID]],Tbl_MeasureList[Measure ID],0))&amp;
  IF(INDEX(Tbl_MeasureList[Baseline Fuel 2],MATCH(Tbl_ROF_MeasureSummary[[#This Row],[Measure ID]],Tbl_MeasureList[Measure ID],0))&lt;&gt;"-",
       "+"&amp;INDEX(Tbl_MeasureList[Baseline Fuel 2],MATCH(Tbl_ROF_MeasureSummary[[#This Row],[Measure ID]],Tbl_MeasureList[Measure ID],0)),"")</f>
        <v>Oil</v>
      </c>
      <c r="N113" s="544" t="str">
        <f>INDEX(Tbl_MeasureList[Replacement Fuel 1],MATCH(Tbl_ROF_MeasureSummary[[#This Row],[Measure ID]],Tbl_MeasureList[Measure ID],0))&amp;
  IF(INDEX(Tbl_MeasureList[Replacement Fuel 2],MATCH(Tbl_ROF_MeasureSummary[[#This Row],[Measure ID]],Tbl_MeasureList[Measure ID],0))&lt;&gt;"-",
       "+"&amp;INDEX(Tbl_MeasureList[Replacement Fuel 2],MATCH(Tbl_ROF_MeasureSummary[[#This Row],[Measure ID]],Tbl_MeasureList[Measure ID],0)),"")</f>
        <v>Natural Gas</v>
      </c>
      <c r="O113" s="529" t="str">
        <f>IF(Tbl_ROF_MeasureSummary[[#This Row],[Baseline Fuel]]="Oil",INDEX(Tbl_EquipmentDefinitions[Oil Baseline Efficiency],MATCH(Tbl_ROF_MeasureSummary[[#This Row],[Baseline Equipment ID]:[Baseline Equipment ID]],Tbl_EquipmentDefinitions[Equipment ID],0)),
  IF(Tbl_ROF_MeasureSummary[[#This Row],[Baseline Fuel]]="Propane",INDEX(Tbl_EquipmentDefinitions[Propane Baseline Efficiency],MATCH(Tbl_ROF_MeasureSummary[[#This Row],[Baseline Equipment ID]:[Baseline Equipment ID]],Tbl_EquipmentDefinitions[Equipment ID],0)),
  IF(Tbl_ROF_MeasureSummary[[#This Row],[Baseline Fuel]]="Electric+Oil",
        INDEX(Tbl_EquipmentDefinitions[Electricity Baseline Efficiency],MATCH(Tbl_ROF_MeasureSummary[[#This Row],[Baseline Equipment ID]:[Baseline Equipment ID]],Tbl_EquipmentDefinitions[Equipment ID],0))&amp;CHAR(10)&amp;
        INDEX(Tbl_EquipmentDefinitions[Oil Baseline Efficiency],MATCH(Tbl_ROF_MeasureSummary[[#This Row],[Baseline Equipment ID]:[Baseline Equipment ID]],Tbl_EquipmentDefinitions[Equipment ID],0)),
  IF(Tbl_ROF_MeasureSummary[[#This Row],[Baseline Fuel]]="Electric+Propane",
        INDEX(Tbl_EquipmentDefinitions[Electricity Baseline Efficiency],MATCH(Tbl_ROF_MeasureSummary[[#This Row],[Baseline Equipment ID]:[Baseline Equipment ID]],Tbl_EquipmentDefinitions[Equipment ID],0))&amp;CHAR(10)&amp;
        INDEX(Tbl_EquipmentDefinitions[Propane Baseline Efficiency],MATCH(Tbl_ROF_MeasureSummary[[#This Row],[Baseline Equipment ID]:[Baseline Equipment ID]],Tbl_EquipmentDefinitions[Equipment ID],0)),
  IF(Tbl_ROF_MeasureSummary[[#This Row],[Baseline Fuel]]="Electric+Electric",INDEX(Tbl_EquipmentDefinitions[Electricity Baseline Efficiency],MATCH(Tbl_ROF_MeasureSummary[[#This Row],[Baseline Equipment ID]:[Baseline Equipment ID]],Tbl_EquipmentDefinitions[Equipment ID],0)),
)))))</f>
        <v>75% AFUE, UA 4.1 Btu/hr-F</v>
      </c>
      <c r="P113" s="546" t="str">
        <f>IF(Tbl_ROF_MeasureSummary[[#This Row],[Baseline Fuel]]="Oil",INDEX(Tbl_EquipmentDefinitions[Oil Code Efficiency],MATCH(Tbl_ROF_MeasureSummary[[#This Row],[Baseline Equipment ID]:[Baseline Equipment ID]],Tbl_EquipmentDefinitions[Equipment ID],0)),
  IF(Tbl_ROF_MeasureSummary[[#This Row],[Baseline Fuel]]="Propane",INDEX(Tbl_EquipmentDefinitions[Propane Code Efficiency],MATCH(Tbl_ROF_MeasureSummary[[#This Row],[Baseline Equipment ID]:[Baseline Equipment ID]],Tbl_EquipmentDefinitions[Equipment ID],0)),
  IF(Tbl_ROF_MeasureSummary[[#This Row],[Baseline Fuel]]="Electric+Oil",
        INDEX(Tbl_EquipmentDefinitions[Electricity Code Efficiency],MATCH(Tbl_ROF_MeasureSummary[[#This Row],[Baseline Equipment ID]:[Baseline Equipment ID]],Tbl_EquipmentDefinitions[Equipment ID],0))&amp;CHAR(10)&amp;
        INDEX(Tbl_EquipmentDefinitions[Oil Code Efficiency],MATCH(Tbl_ROF_MeasureSummary[[#This Row],[Baseline Equipment ID]:[Baseline Equipment ID]],Tbl_EquipmentDefinitions[Equipment ID],0)),
  IF(Tbl_ROF_MeasureSummary[[#This Row],[Baseline Fuel]]="Electric+Propane",
        INDEX(Tbl_EquipmentDefinitions[Electricity Code Efficiency],MATCH(Tbl_ROF_MeasureSummary[[#This Row],[Baseline Equipment ID]:[Baseline Equipment ID]],Tbl_EquipmentDefinitions[Equipment ID],0))&amp;CHAR(10)&amp;
        INDEX(Tbl_EquipmentDefinitions[Propane Code Efficiency],MATCH(Tbl_ROF_MeasureSummary[[#This Row],[Baseline Equipment ID]:[Baseline Equipment ID]],Tbl_EquipmentDefinitions[Equipment ID],0)),
  IF(Tbl_ROF_MeasureSummary[[#This Row],[Baseline Fuel]]="Electric+Electric",INDEX(Tbl_EquipmentDefinitions[Electricity Code Efficiency],MATCH(Tbl_ROF_MeasureSummary[[#This Row],[Baseline Equipment ID]:[Baseline Equipment ID]],Tbl_EquipmentDefinitions[Equipment ID],0)),
)))))</f>
        <v>84% AFUE, UA 4.1 Btu/hr-F</v>
      </c>
      <c r="Q113" s="529" t="str">
        <f>IF(Tbl_ROF_MeasureSummary[[#This Row],[Replacement Fuel]]="Natural Gas",INDEX(Tbl_EquipmentDefinitions[Natural Gas Low Measure Efficiency],MATCH(Tbl_ROF_MeasureSummary[[#This Row],[Replacement ID]:[Replacement ID]],Tbl_EquipmentDefinitions[Equipment ID],0)),
  IF(Tbl_ROF_MeasureSummary[[#This Row],[Replacement Fuel]]="Electric",INDEX(Tbl_EquipmentDefinitions[Electricity Low Measure Efficiency],MATCH(Tbl_ROF_MeasureSummary[[#This Row],[Replacement ID]:[Replacement ID]],Tbl_EquipmentDefinitions[Equipment ID],0)),
  IF(Tbl_ROF_MeasureSummary[[#This Row],[Replacement Fuel]]="Electric+Oil",
        INDEX(Tbl_EquipmentDefinitions[Electricity Low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Low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Low Measure Efficiency],MATCH(Tbl_ROF_MeasureSummary[[#This Row],[Replacement ID]:[Replacement ID]],Tbl_EquipmentDefinitions[Equipment ID],0)),
)))))</f>
        <v>90% AFUE</v>
      </c>
      <c r="R113" s="548" t="str">
        <f>IF(Tbl_ROF_MeasureSummary[[#This Row],[Replacement Fuel]]="Natural Gas",INDEX(Tbl_EquipmentDefinitions[Natural Gas High Measure Efficiency],MATCH(Tbl_ROF_MeasureSummary[[#This Row],[Replacement ID]:[Replacement ID]],Tbl_EquipmentDefinitions[Equipment ID],0)),
  IF(Tbl_ROF_MeasureSummary[[#This Row],[Replacement Fuel]]="Electric",INDEX(Tbl_EquipmentDefinitions[Electricity High Measure Efficiency],MATCH(Tbl_ROF_MeasureSummary[[#This Row],[Replacement ID]:[Replacement ID]],Tbl_EquipmentDefinitions[Equipment ID],0)),
  IF(Tbl_ROF_MeasureSummary[[#This Row],[Replacement Fuel]]="Electric+Oil",
        INDEX(Tbl_EquipmentDefinitions[Electricity High Measure Efficiency],MATCH(Tbl_ROF_MeasureSummary[[#This Row],[Replacement ID]:[Replacement ID]],Tbl_EquipmentDefinitions[Equipment ID],0))&amp;CHAR(10)&amp;
        INDEX(Tbl_EquipmentDefinitions[Oil Baseline Efficiency],MATCH(Tbl_ROF_MeasureSummary[[#This Row],[Replacement ID]:[Replacement ID]],Tbl_EquipmentDefinitions[Equipment ID],0)),
  IF(Tbl_ROF_MeasureSummary[[#This Row],[Replacement Fuel]]="Electric+Propane",
        INDEX(Tbl_EquipmentDefinitions[Electricity High Measure Efficiency],MATCH(Tbl_ROF_MeasureSummary[[#This Row],[Replacement ID]:[Replacement ID]],Tbl_EquipmentDefinitions[Equipment ID],0))&amp;CHAR(10)&amp;
        INDEX(Tbl_EquipmentDefinitions[Propane Baseline Efficiency],MATCH(Tbl_ROF_MeasureSummary[[#This Row],[Replacement ID]:[Replacement ID]],Tbl_EquipmentDefinitions[Equipment ID],0)),
  IF(Tbl_ROF_MeasureSummary[[#This Row],[Replacement Fuel]]="Electric+Electric",INDEX(Tbl_EquipmentDefinitions[Electricity High Measure Efficiency],MATCH(Tbl_ROF_MeasureSummary[[#This Row],[Replacement ID]:[Replacement ID]],Tbl_EquipmentDefinitions[Equipment ID],0)),
)))))</f>
        <v>95% AFUE</v>
      </c>
      <c r="S113" s="531">
        <f ca="1">INDEX(Tbl_MeasureList[],MATCH(Tbl_ROF_MeasureSummary[[#This Row],[Measure ID]:[Measure ID]],Tbl_MeasureList[[Measure ID]:[Measure ID]],0),MATCH(Tbl_ROF_MeasureSummary[[#Headers],[ROF Low Measure Energy Cost Savings (USD/yr)]],Tbl_MeasureList[#Headers],0))</f>
        <v>781.676090720312</v>
      </c>
      <c r="T113" s="445">
        <f ca="1">INDEX(Tbl_MeasureList[],MATCH(Tbl_ROF_MeasureSummary[[#This Row],[Measure ID]:[Measure ID]],Tbl_MeasureList[[Measure ID]:[Measure ID]],0),MATCH(T$84,Tbl_MeasureList[#Headers],0))</f>
        <v>5678</v>
      </c>
      <c r="U113" s="533">
        <f ca="1">INDEX(Tbl_MeasureList[],MATCH(Tbl_ROF_MeasureSummary[[#This Row],[Measure ID]:[Measure ID]],Tbl_MeasureList[[Measure ID]:[Measure ID]],0),MATCH(Tbl_ROF_MeasureSummary[[#Headers],[ROF Low Measure Electric Annual Consumption Savings (kWh/yr)]],Tbl_MeasureList[#Headers],0))</f>
        <v>-99</v>
      </c>
      <c r="V113" s="446">
        <f ca="1">INDEX(Tbl_MeasureList[],MATCH(Tbl_ROF_MeasureSummary[[#This Row],[Measure ID]:[Measure ID]],Tbl_MeasureList[[Measure ID]:[Measure ID]],0),MATCH(Tbl_ROF_MeasureSummary[[#Headers],[ROF Low Measure Electric Winter Peak Demand Savings (kW)]],Tbl_MeasureList[#Headers],0))</f>
        <v>-1.5186960690316387E-2</v>
      </c>
      <c r="W113" s="535">
        <f ca="1">INDEX(Tbl_MeasureList[],MATCH(Tbl_ROF_MeasureSummary[[#This Row],[Measure ID]:[Measure ID]],Tbl_MeasureList[[Measure ID]:[Measure ID]],0),MATCH(Tbl_ROF_MeasureSummary[[#Headers],[ROF Low Measure Electric Summer Peak Demand Savings (kW)]],Tbl_MeasureList[#Headers],0))</f>
        <v>0</v>
      </c>
      <c r="X113" s="656">
        <f ca="1">INDEX(Tbl_MeasureList[],MATCH(Tbl_ROF_MeasureSummary[[#This Row],[Measure ID]:[Measure ID]],Tbl_MeasureList[[Measure ID]:[Measure ID]],0),MATCH(Tbl_ROF_MeasureSummary[[#Headers],[ROF Low Measure Natural Gas Annual Consumption Savings (therms/yr)]],Tbl_MeasureList[#Headers],0))</f>
        <v>-1006.6666666666667</v>
      </c>
      <c r="Y113" s="536">
        <f ca="1">INDEX(Tbl_MeasureList[],MATCH(Tbl_ROF_MeasureSummary[[#This Row],[Measure ID]:[Measure ID]],Tbl_MeasureList[[Measure ID]:[Measure ID]],0),MATCH(Tbl_ROF_MeasureSummary[[#Headers],[ROF Low Measure Propane Annual Consumption Savings (MMBtu/yr)]],Tbl_MeasureList[#Headers],0))</f>
        <v>0</v>
      </c>
      <c r="Z113" s="656">
        <f ca="1">INDEX(Tbl_MeasureList[],MATCH(Tbl_ROF_MeasureSummary[[#This Row],[Measure ID]:[Measure ID]],Tbl_MeasureList[[Measure ID]:[Measure ID]],0),MATCH(Tbl_ROF_MeasureSummary[[#Headers],[ROF Low Measure Oil Annual Consumption Savings (MMBtu/yr)]],Tbl_MeasureList[#Headers],0))</f>
        <v>109.99500000000002</v>
      </c>
      <c r="AA113" s="663">
        <f ca="1">INDEX(Tbl_MeasureList[],MATCH(Tbl_ROF_MeasureSummary[[#This Row],[Measure ID]:[Measure ID]],Tbl_MeasureList[[Measure ID]:[Measure ID]],0),MATCH(Tbl_ROF_MeasureSummary[[#Headers],[ROF Low Measure Annual Energy Savings on MMBtu Basis (MMBtu/yr)]],Tbl_MeasureList[#Headers],0))</f>
        <v>8.990545333333344</v>
      </c>
      <c r="AB113" s="657">
        <f ca="1">INDEX(Tbl_MeasureList[],MATCH(Tbl_ROF_MeasureSummary[[#This Row],[Measure ID]:[Measure ID]],Tbl_MeasureList[[Measure ID]:[Measure ID]],0),MATCH(Tbl_ROF_MeasureSummary[[#Headers],[ROF Low Measure Carbon Emissions Reduction, Site (tons CO2/yr)]],Tbl_MeasureList[#Headers],0))</f>
        <v>2.9820967500000028</v>
      </c>
      <c r="AC113" s="558">
        <f ca="1">INDEX(Tbl_MeasureList[],MATCH(Tbl_ROF_MeasureSummary[[#This Row],[Measure ID]:[Measure ID]],Tbl_MeasureList[[Measure ID]:[Measure ID]],0),MATCH(Tbl_ROF_MeasureSummary[[#Headers],[ROF Low Measure Carbon Emissions Reduction, Source (tons CO2/yr)]],Tbl_MeasureList[#Headers],0))</f>
        <v>2.9471339100000034</v>
      </c>
      <c r="AD113" s="531">
        <f ca="1">INDEX(Tbl_MeasureList[],MATCH(Tbl_ROF_MeasureSummary[[#This Row],[Measure ID]:[Measure ID]],Tbl_MeasureList[[Measure ID]:[Measure ID]],0),MATCH(Tbl_ROF_MeasureSummary[[#Headers],[ROF High Measure Energy Cost Savings (USD/yr)]],Tbl_MeasureList[#Headers],0))</f>
        <v>88.823301754385739</v>
      </c>
      <c r="AE113" s="445">
        <f ca="1">INDEX(Tbl_MeasureList[],MATCH(Tbl_ROF_MeasureSummary[[#This Row],[Measure ID]:[Measure ID]],Tbl_MeasureList[[Measure ID]:[Measure ID]],0),MATCH(AE$84,Tbl_MeasureList[#Headers],0))</f>
        <v>5678</v>
      </c>
      <c r="AF113" s="533">
        <f ca="1">INDEX(Tbl_MeasureList[],MATCH(Tbl_ROF_MeasureSummary[[#This Row],[Measure ID]:[Measure ID]],Tbl_MeasureList[[Measure ID]:[Measure ID]],0),MATCH(Tbl_ROF_MeasureSummary[[#Headers],[ROF High Measure Electric Annual Consumption Savings (kWh/yr)]],Tbl_MeasureList[#Headers],0))</f>
        <v>-82</v>
      </c>
      <c r="AG113" s="446">
        <f ca="1">INDEX(Tbl_MeasureList[],MATCH(Tbl_ROF_MeasureSummary[[#This Row],[Measure ID]:[Measure ID]],Tbl_MeasureList[[Measure ID]:[Measure ID]],0),MATCH(Tbl_ROF_MeasureSummary[[#Headers],[ROF High Measure Electric Winter Peak Demand Savings (kW)]],Tbl_MeasureList[#Headers],0))</f>
        <v>-1.2579098753595391E-2</v>
      </c>
      <c r="AH113" s="535">
        <f ca="1">INDEX(Tbl_MeasureList[],MATCH(Tbl_ROF_MeasureSummary[[#This Row],[Measure ID]:[Measure ID]],Tbl_MeasureList[[Measure ID]:[Measure ID]],0),MATCH(Tbl_ROF_MeasureSummary[[#Headers],[ROF High Measure Electric Summer Peak Demand Savings (kW)]],Tbl_MeasureList[#Headers],0))</f>
        <v>0</v>
      </c>
      <c r="AI113" s="656">
        <f ca="1">INDEX(Tbl_MeasureList[],MATCH(Tbl_ROF_MeasureSummary[[#This Row],[Measure ID]:[Measure ID]],Tbl_MeasureList[[Measure ID]:[Measure ID]],0),MATCH(Tbl_ROF_MeasureSummary[[#Headers],[ROF High Measure Natural Gas Annual Consumption Savings (therms/yr)]],Tbl_MeasureList[#Headers],0))</f>
        <v>-953.68421052631595</v>
      </c>
      <c r="AJ113" s="536">
        <f ca="1">INDEX(Tbl_MeasureList[],MATCH(Tbl_ROF_MeasureSummary[[#This Row],[Measure ID]:[Measure ID]],Tbl_MeasureList[[Measure ID]:[Measure ID]],0),MATCH(Tbl_ROF_MeasureSummary[[#Headers],[ROF High Measure Propane Annual Consumption Savings (MMBtu/yr)]],Tbl_MeasureList[#Headers],0))</f>
        <v>0</v>
      </c>
      <c r="AK113" s="656">
        <f ca="1">INDEX(Tbl_MeasureList[],MATCH(Tbl_ROF_MeasureSummary[[#This Row],[Measure ID]:[Measure ID]],Tbl_MeasureList[[Measure ID]:[Measure ID]],0),MATCH(Tbl_ROF_MeasureSummary[[#Headers],[ROF High Measure Oil Annual Consumption Savings (MMBtu/yr)]],Tbl_MeasureList[#Headers],0))</f>
        <v>109.99500000000002</v>
      </c>
      <c r="AL113" s="537">
        <f ca="1">INDEX(Tbl_MeasureList[],MATCH(Tbl_ROF_MeasureSummary[[#This Row],[Measure ID]:[Measure ID]],Tbl_MeasureList[[Measure ID]:[Measure ID]],0),MATCH(Tbl_ROF_MeasureSummary[[#Headers],[ROF High Measure Annual Energy Savings on MMBtu Basis (MMBtu/yr)]],Tbl_MeasureList[#Headers],0))</f>
        <v>14.346794947368423</v>
      </c>
      <c r="AM113" s="657">
        <f ca="1">INDEX(Tbl_MeasureList[],MATCH(Tbl_ROF_MeasureSummary[[#This Row],[Measure ID]:[Measure ID]],Tbl_MeasureList[[Measure ID]:[Measure ID]],0),MATCH(Tbl_ROF_MeasureSummary[[#Headers],[ROF High Measure Carbon Emissions Reduction, Site (tons CO2/yr)]],Tbl_MeasureList[#Headers],0))</f>
        <v>3.2920441184210549</v>
      </c>
      <c r="AN113" s="558">
        <f ca="1">INDEX(Tbl_MeasureList[],MATCH(Tbl_ROF_MeasureSummary[[#This Row],[Measure ID]:[Measure ID]],Tbl_MeasureList[[Measure ID]:[Measure ID]],0),MATCH(Tbl_ROF_MeasureSummary[[#Headers],[ROF High Measure Carbon Emissions Reduction, Source (tons CO2/yr)]],Tbl_MeasureList[#Headers],0))</f>
        <v>3.2630849984210544</v>
      </c>
      <c r="AO113" s="539">
        <f ca="1">INDEX(Tbl_MeasureList[],MATCH(Tbl_ROF_MeasureSummary[[#This Row],[Measure ID]:[Measure ID]],Tbl_MeasureList[[Measure ID]:[Measure ID]],0),MATCH(Tbl_ROF_MeasureSummary[[#Headers],[Current ROF Low Measure Coal Source Fuel Savings (lbs coal/year)]],Tbl_MeasureList[#Headers],0))</f>
        <v>-0.9558958382628473</v>
      </c>
      <c r="AP113" s="447">
        <f ca="1">INDEX(Tbl_MeasureList[],MATCH(Tbl_ROF_MeasureSummary[[#This Row],[Measure ID]:[Measure ID]],Tbl_MeasureList[[Measure ID]:[Measure ID]],0),MATCH(Tbl_ROF_MeasureSummary[[#Headers],[Current ROF Low Measure Oil Total Fuel Savings (gallons oil/year)]],Tbl_MeasureList[#Headers],0))</f>
        <v>797.29207430740689</v>
      </c>
      <c r="AQ113" s="542">
        <f ca="1">INDEX(Tbl_MeasureList[],MATCH(Tbl_ROF_MeasureSummary[[#This Row],[Measure ID]:[Measure ID]],Tbl_MeasureList[[Measure ID]:[Measure ID]],0),MATCH(Tbl_ROF_MeasureSummary[[#Headers],[Current ROF Low Measure Gas Total Fuel Savings (1,000 cu.ft. gas/year)]],Tbl_MeasureList[#Headers],0))</f>
        <v>-98.22331158650826</v>
      </c>
      <c r="AR113" s="524">
        <f ca="1">INDEX(Tbl_MeasureList[],MATCH(Tbl_ROF_MeasureSummary[[#This Row],[Measure ID]:[Measure ID]],Tbl_MeasureList[[Measure ID]:[Measure ID]],0),MATCH(Tbl_ROF_MeasureSummary[[#Headers],[Current ROF High Measure Coal Source Fuel Savings (lbs coal/year)]],Tbl_MeasureList[#Headers],0))</f>
        <v>-0.79175210846013611</v>
      </c>
      <c r="AS113" s="537">
        <f ca="1">INDEX(Tbl_MeasureList[],MATCH(Tbl_ROF_MeasureSummary[[#This Row],[Measure ID]:[Measure ID]],Tbl_MeasureList[[Measure ID]:[Measure ID]],0),MATCH(Tbl_ROF_MeasureSummary[[#Headers],[Current ROF High Measure Oil Total Fuel Savings (gallons oil/year)]],Tbl_MeasureList[#Headers],0))</f>
        <v>797.30769038073583</v>
      </c>
      <c r="AT113" s="448">
        <f ca="1">INDEX(Tbl_MeasureList[],MATCH(Tbl_ROF_MeasureSummary[[#This Row],[Measure ID]:[Measure ID]],Tbl_MeasureList[[Measure ID]:[Measure ID]],0),MATCH(Tbl_ROF_MeasureSummary[[#Headers],[Current ROF High Measure Gas Total Fuel Savings (1,000 cu.ft. gas/year)]],Tbl_MeasureList[#Headers],0))</f>
        <v>-93.006779187308013</v>
      </c>
    </row>
    <row r="114" spans="2:46" x14ac:dyDescent="0.2">
      <c r="B114" s="16"/>
    </row>
    <row r="115" spans="2:46" x14ac:dyDescent="0.2">
      <c r="B115" s="16"/>
      <c r="C115" s="577" t="s">
        <v>1454</v>
      </c>
      <c r="T115" s="600"/>
      <c r="AB115" s="600"/>
    </row>
    <row r="116" spans="2:46" x14ac:dyDescent="0.2">
      <c r="B116" s="16"/>
    </row>
    <row r="117" spans="2:46" x14ac:dyDescent="0.2">
      <c r="B117" s="16"/>
    </row>
    <row r="118" spans="2:46" x14ac:dyDescent="0.2">
      <c r="B118" s="16"/>
    </row>
  </sheetData>
  <pageMargins left="0.7" right="0.7" top="0.75" bottom="0.75" header="0.3" footer="0.3"/>
  <pageSetup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BK47"/>
  <sheetViews>
    <sheetView workbookViewId="0"/>
  </sheetViews>
  <sheetFormatPr defaultColWidth="9.33203125" defaultRowHeight="11.25" x14ac:dyDescent="0.2"/>
  <cols>
    <col min="1" max="2" width="3.33203125" style="6" customWidth="1"/>
    <col min="3" max="3" width="9.33203125" style="6" bestFit="1" customWidth="1"/>
    <col min="4" max="4" width="21.1640625" style="6" customWidth="1"/>
    <col min="5" max="5" width="15.5" style="6" customWidth="1"/>
    <col min="6" max="6" width="38.5" style="6" customWidth="1"/>
    <col min="7" max="7" width="28.83203125" style="6" customWidth="1"/>
    <col min="8" max="8" width="18.6640625" style="6" customWidth="1"/>
    <col min="9" max="9" width="24.6640625" style="6" customWidth="1"/>
    <col min="10" max="11" width="18.6640625" style="6" customWidth="1"/>
    <col min="12" max="12" width="14.5" style="6" bestFit="1" customWidth="1"/>
    <col min="13" max="14" width="17.1640625" style="6" customWidth="1"/>
    <col min="15" max="15" width="17.6640625" style="6" customWidth="1"/>
    <col min="16" max="16" width="16.33203125" style="6" customWidth="1"/>
    <col min="17" max="17" width="17.83203125" style="6" customWidth="1"/>
    <col min="18" max="28" width="16.33203125" style="6" customWidth="1"/>
    <col min="29" max="56" width="14" style="6" customWidth="1"/>
    <col min="57" max="59" width="16.33203125" style="6" customWidth="1"/>
    <col min="60" max="60" width="17" style="6" customWidth="1"/>
    <col min="61" max="61" width="14.33203125" style="6" customWidth="1"/>
    <col min="62" max="16384" width="9.33203125" style="6"/>
  </cols>
  <sheetData>
    <row r="1" spans="1:63" ht="17.25" thickBot="1" x14ac:dyDescent="0.3">
      <c r="A1" s="4"/>
      <c r="B1" s="4" t="s">
        <v>1211</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row>
    <row r="2" spans="1:63" ht="12" thickTop="1" x14ac:dyDescent="0.2"/>
    <row r="3" spans="1:63" x14ac:dyDescent="0.2">
      <c r="B3" s="1" t="s">
        <v>1213</v>
      </c>
    </row>
    <row r="4" spans="1:63" x14ac:dyDescent="0.2">
      <c r="B4" s="1" t="s">
        <v>1212</v>
      </c>
      <c r="T4" s="6">
        <f>431*0.0034095106405145</f>
        <v>1.4694990860617496</v>
      </c>
    </row>
    <row r="5" spans="1:63" x14ac:dyDescent="0.2">
      <c r="B5" s="1" t="s">
        <v>1214</v>
      </c>
    </row>
    <row r="6" spans="1:63" x14ac:dyDescent="0.2">
      <c r="B6" s="19"/>
    </row>
    <row r="7" spans="1:63" ht="13.5" thickBot="1" x14ac:dyDescent="0.25">
      <c r="B7" s="9" t="s">
        <v>1191</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row>
    <row r="8" spans="1:63" x14ac:dyDescent="0.2">
      <c r="B8" s="15"/>
    </row>
    <row r="9" spans="1:63" ht="12" thickBot="1" x14ac:dyDescent="0.25">
      <c r="B9" s="16"/>
      <c r="C9" s="574" t="s">
        <v>1450</v>
      </c>
      <c r="D9" s="574"/>
      <c r="E9" s="574"/>
      <c r="F9" s="574"/>
      <c r="G9" s="574"/>
      <c r="H9" s="574"/>
      <c r="I9" s="574"/>
      <c r="J9" s="574"/>
      <c r="K9" s="574"/>
      <c r="L9" s="610"/>
      <c r="M9" s="608" t="s">
        <v>120</v>
      </c>
      <c r="N9" s="576"/>
      <c r="O9" s="576"/>
      <c r="P9" s="576"/>
      <c r="Q9" s="609"/>
      <c r="R9" s="608" t="s">
        <v>1451</v>
      </c>
      <c r="S9" s="604"/>
      <c r="T9" s="608" t="s">
        <v>1452</v>
      </c>
      <c r="U9" s="575"/>
      <c r="V9" s="575"/>
      <c r="W9" s="604"/>
      <c r="X9" s="605" t="s">
        <v>1453</v>
      </c>
      <c r="Y9" s="575"/>
      <c r="Z9" s="575"/>
      <c r="AA9" s="575"/>
      <c r="AB9" s="575" t="s">
        <v>1620</v>
      </c>
    </row>
    <row r="10" spans="1:63" ht="80.25" customHeight="1" thickBot="1" x14ac:dyDescent="0.25">
      <c r="B10" s="16"/>
      <c r="C10" s="280" t="s">
        <v>76</v>
      </c>
      <c r="D10" s="280" t="s">
        <v>1215</v>
      </c>
      <c r="E10" s="280" t="s">
        <v>80</v>
      </c>
      <c r="F10" s="280" t="s">
        <v>79</v>
      </c>
      <c r="G10" s="280" t="s">
        <v>81</v>
      </c>
      <c r="H10" s="280" t="s">
        <v>1071</v>
      </c>
      <c r="I10" s="280" t="s">
        <v>1075</v>
      </c>
      <c r="J10" s="280" t="s">
        <v>751</v>
      </c>
      <c r="K10" s="280" t="s">
        <v>1189</v>
      </c>
      <c r="L10" s="606" t="s">
        <v>1190</v>
      </c>
      <c r="M10" s="607" t="s">
        <v>634</v>
      </c>
      <c r="N10" s="280" t="s">
        <v>1193</v>
      </c>
      <c r="O10" s="280" t="s">
        <v>1194</v>
      </c>
      <c r="P10" s="280" t="s">
        <v>1570</v>
      </c>
      <c r="Q10" s="606" t="s">
        <v>1534</v>
      </c>
      <c r="R10" s="607" t="s">
        <v>1520</v>
      </c>
      <c r="S10" s="606" t="s">
        <v>1521</v>
      </c>
      <c r="T10" s="607" t="s">
        <v>1522</v>
      </c>
      <c r="U10" s="24" t="s">
        <v>1523</v>
      </c>
      <c r="V10" s="24" t="s">
        <v>1325</v>
      </c>
      <c r="W10" s="606" t="s">
        <v>1326</v>
      </c>
      <c r="X10" s="607" t="s">
        <v>1524</v>
      </c>
      <c r="Y10" s="24" t="s">
        <v>1525</v>
      </c>
      <c r="Z10" s="24" t="s">
        <v>1526</v>
      </c>
      <c r="AA10" s="24" t="s">
        <v>1527</v>
      </c>
      <c r="AB10" s="259" t="s">
        <v>1621</v>
      </c>
    </row>
    <row r="11" spans="1:63" s="581" customFormat="1" ht="22.5" x14ac:dyDescent="0.2">
      <c r="B11" s="582"/>
      <c r="C11" s="583" t="s">
        <v>82</v>
      </c>
      <c r="D11" s="583" t="s">
        <v>1509</v>
      </c>
      <c r="E11" s="83" t="str">
        <f>INDEX(Tbl_MeasureList[],MATCH(Tbl_BCROutputs_Electric[[#This Row],[Measure ID]],Tbl_MeasureList[[Measure ID]:[Measure ID]],0),MATCH(Tbl_BCROutputs_Electric[[#Headers],[Replacement ID]],Tbl_MeasureList[#Headers],0))</f>
        <v>EQUI005</v>
      </c>
      <c r="F11" s="83" t="str">
        <f>INDEX(Tbl_MeasureList[[Measure ID]:[Current ER (EE) High Measure Gas Fuel Savings (1,000 cu.ft. gas/year)]],
               MATCH(Tbl_BCROutputs_Electric[[#This Row],[Measure ID]:[Measure ID]],Tbl_MeasureList[[Measure ID]:[Measure ID]],0),
               MATCH(F$10,Tbl_MeasureList[#Headers],0))</f>
        <v>Baseline A/C Blend+Oil Furnace</v>
      </c>
      <c r="G11" s="83" t="str">
        <f>INDEX(Tbl_MeasureList[[Measure ID]:[Current ER (EE) High Measure Gas Fuel Savings (1,000 cu.ft. gas/year)]],
               MATCH(Tbl_BCROutputs_Electric[[#This Row],[Measure ID]:[Measure ID]],Tbl_MeasureList[[Measure ID]:[Measure ID]],0),
               MATCH(G$10,Tbl_MeasureList[#Headers],0))</f>
        <v>Central HP+Oil Furnace</v>
      </c>
      <c r="H11" s="83" t="str">
        <f>INDEX(Tbl_MeasureList[Replacement Fuel 1],MATCH(Tbl_BCROutputs_Electric[[#This Row],[Measure ID]],Tbl_MeasureList[Measure ID],0))&amp;
  IF(INDEX(Tbl_MeasureList[Replacement Fuel 2],MATCH(Tbl_BCROutputs_Electric[[#This Row],[Measure ID]],Tbl_MeasureList[Measure ID],0))&lt;&gt;"-",
       "+"&amp;INDEX(Tbl_MeasureList[Replacement Fuel 2],MATCH(Tbl_BCROutputs_Electric[[#This Row],[Measure ID]],Tbl_MeasureList[Measure ID],0)),"")</f>
        <v>Electric+Oil</v>
      </c>
      <c r="I11" s="629" t="str">
        <f>IF(Tbl_BCROutputs_Electric[[#This Row],[Replacement Fuel]]="Natural Gas",INDEX(Tbl_EquipmentDefinitions[Natural Gas High Measure Efficiency],MATCH(Tbl_BCROutputs_Electric[[#This Row],[Replacement ID]],Tbl_EquipmentDefinitions[Equipment ID],0)),
  IF(Tbl_BCROutputs_Electric[[#This Row],[Replacement Fuel]]="Electric",INDEX(Tbl_EquipmentDefinitions[Electricity High Measure Efficiency],MATCH(Tbl_BCROutputs_Electric[[#This Row],[Replacement ID]],Tbl_EquipmentDefinitions[Equipment ID],0)),
  IF(Tbl_BCROutputs_Electric[[#This Row],[Replacement Fuel]]="Electric+Oil",
        INDEX(Tbl_EquipmentDefinitions[Electricity High Measure Efficiency],MATCH(Tbl_BCROutputs_Electric[[#This Row],[Replacement ID]],Tbl_EquipmentDefinitions[Equipment ID],0))&amp;CHAR(10)&amp;
        INDEX(Tbl_EquipmentDefinitions[Oil Baseline Efficiency],MATCH(Tbl_BCROutputs_Electric[[#This Row],[Replacement ID]],Tbl_EquipmentDefinitions[Equipment ID],0)),
  IF(Tbl_BCROutputs_Electric[[#This Row],[Replacement Fuel]]="Electric+Propane",
        INDEX(Tbl_EquipmentDefinitions[Electricity High Measure Efficiency],MATCH(Tbl_BCROutputs_Electric[[#This Row],[Replacement ID]],Tbl_EquipmentDefinitions[Equipment ID],0))&amp;CHAR(10)&amp;
        INDEX(Tbl_EquipmentDefinitions[Propane Baseline Efficiency],MATCH(Tbl_BCROutputs_Electric[[#This Row],[Replacement ID]],Tbl_EquipmentDefinitions[Equipment ID],0)),
  IF(Tbl_BCROutputs_Electric[[#This Row],[Replacement Fuel]]="Electric+Electric",INDEX(Tbl_EquipmentDefinitions[Electricity High Measure Efficiency],MATCH(Tbl_BCROutputs_Electric[[#This Row],[Replacement ID]],Tbl_EquipmentDefinitions[Equipment ID],0)),
)))))</f>
        <v>18 SEER/9.6 HSPF
78% AFUE (78.9%)</v>
      </c>
      <c r="J11" s="83" t="str">
        <f>INDEX(Tbl_MeasureList[[Measure ID]:[Current ER (EE) High Measure Gas Fuel Savings (1,000 cu.ft. gas/year)]],
               MATCH(Tbl_BCROutputs_Electric[[#This Row],[Measure ID]:[Measure ID]],Tbl_MeasureList[[Measure ID]:[Measure ID]],0),
               MATCH(J$10,Tbl_MeasureList[#Headers],0))</f>
        <v>Yes</v>
      </c>
      <c r="K11" s="630" t="str">
        <f>IF(Tbl_BCROutputs_Electric[[#This Row],[Keep Existing Heating Equipment?]]="Yes","Partial Displacement","Full Replacement")</f>
        <v>Partial Displacement</v>
      </c>
      <c r="L11" s="631">
        <f>IF(Tbl_BCROutputs_Electric[[#This Row],[Replacement Type]]="Partial Displacement",
        INDEX(Tbl_EquipmentDefinitions[New Unit Equipment Life (years)],
                       MATCH(INDEX(Tbl_MeasureList[[Measure ID]:[Current ER (EE) High Measure Gas Fuel Savings (1,000 cu.ft. gas/year)]],
                                                      MATCH(Tbl_BCROutputs_Electric[[#This Row],[Measure ID]:[Measure ID]],Tbl_MeasureList[Measure ID],0),
                                                      MATCH(L$24,Tbl_MeasureList[#Headers],0)),
                                        Tbl_EquipmentDefinitions[Equipment ID],
                                        0)),
        IF(Tbl_BCROutputs_Electric[[#This Row],[Savings Stream]]="Retire",
             INDEX(Tbl_MeasureList[],MATCH(Tbl_BCROutputs_Electric[[#This Row],[Measure ID]],Tbl_MeasureList[[Measure ID]:[Measure ID]],0),MATCH($L$26,Tbl_MeasureList[#Headers],0)),
             INDEX(Tbl_MeasureList[],MATCH(Tbl_BCROutputs_Electric[[#This Row],[Measure ID]],Tbl_MeasureList[[Measure ID]:[Measure ID]],0),MATCH($L$25,Tbl_MeasureList[#Headers],0)))
        )</f>
        <v>17</v>
      </c>
      <c r="M11" s="632">
        <f>IF(Tbl_BCROutputs_Electric[[#This Row],[Replacement Type]]="Partial Displacement",
       INDEX(Tbl_MeasureList[[Measure ID]:[Current ER (EE) High Measure Gas Fuel Savings (1,000 cu.ft. gas/year)]],
                      MATCH(Tbl_BCROutputs_Electric[[#This Row],[Measure ID]:[Measure ID]],Tbl_MeasureList[[Measure ID]:[Measure ID]],0),
                      MATCH(M$25,Tbl_MeasureList[#Headers],0)),
       IF(Tbl_BCROutputs_Electric[[#This Row],[Savings Stream]]="Retire",0,
              INDEX(Tbl_MeasureList[[Measure ID]:[Current ER (EE) High Measure Gas Fuel Savings (1,000 cu.ft. gas/year)]],
                      MATCH(Tbl_BCROutputs_Electric[[#This Row],[Measure ID]:[Measure ID]],Tbl_MeasureList[[Measure ID]:[Measure ID]],0),
                      MATCH(M$24,Tbl_MeasureList[#Headers],0))))</f>
        <v>2736.686075169398</v>
      </c>
      <c r="N11" s="633">
        <f>IF(Tbl_BCROutputs_Electric[[#This Row],[Replacement Type]]="Partial Displacement",INPUT_SYSTEMINTEGRATIONCOST,0)</f>
        <v>400</v>
      </c>
      <c r="O11" s="634">
        <f>IF(AND(ISNUMBER(SEARCH("DMSHP",Tbl_BCROutputs_Electric[[#This Row],[Replacement Name]])),Tbl_BCROutputs_Electric[[#This Row],[Savings Stream]]="EE"),INPUT_ELECTRICALSYSTEMUPGRADECOST,0)</f>
        <v>0</v>
      </c>
      <c r="P11" s="394">
        <f ca="1">IF(OR(Tbl_BCROutputs_Electric[[#This Row],[Replacement Type]]="Partial Displacement",Tbl_BCROutputs_Electric[[#This Row],[Savings Stream]]="EE"),
        INDEX(Tbl_MeasureList[[Measure ID]:[Current ER (EE) High Measure Gas Fuel Savings (1,000 cu.ft. gas/year)]],
                      MATCH(Tbl_BCROutputs_Electric[[#This Row],[Measure ID]],Tbl_MeasureList[[Measure ID]:[Measure ID]],0),
                      MATCH(P$24,Tbl_MeasureList[#Headers],0)),
        0
       )</f>
        <v>12982.5</v>
      </c>
      <c r="Q11" s="635">
        <f ca="1">IF(Tbl_BCROutputs_Electric[[#This Row],[Total Cost New Equipment, not including deferred replacement (USD)]]="-","-",Tbl_BCROutputs_Electric[[#This Row],[Total Cost New Equipment, not including deferred replacement (USD)]]-Tbl_BCROutputs_Electric[[#This Row],[Deferred Replacement Credit (USD)]])</f>
        <v>10245.813924830602</v>
      </c>
      <c r="R11" s="636">
        <f ca="1">IF(Tbl_BCROutputs_Electric[[#This Row],[Replacement Type]]="Partial Displacement",
        INDEX(Tbl_MeasureList[[Measure ID]:[Current ER (EE) High Measure Gas Fuel Savings (1,000 cu.ft. gas/year)]],
                      MATCH(Tbl_BCROutputs_Electric[[#This Row],[Measure ID]:[Measure ID]],Tbl_MeasureList[[Measure ID]:[Measure ID]],0),
                      MATCH(R$26,Tbl_MeasureList[#Headers],0)),
        IF(Tbl_BCROutputs_Electric[[#This Row],[Savings Stream]]="Retire",
              INDEX(Tbl_MeasureList[],MATCH(Tbl_BCROutputs_Electric[[#This Row],[Measure ID]:[Measure ID]],Tbl_MeasureList[[Measure ID]:[Measure ID]],0),MATCH(R$25,Tbl_MeasureList[#Headers],0)),
              INDEX(Tbl_MeasureList[],MATCH(Tbl_BCROutputs_Electric[[#This Row],[Measure ID]:[Measure ID]],Tbl_MeasureList[[Measure ID]:[Measure ID]],0),MATCH(R$24,Tbl_MeasureList[#Headers],0))
            )
       )</f>
        <v>-3285.1288818782778</v>
      </c>
      <c r="S11" s="637">
        <f ca="1">IF(Tbl_BCROutputs_Electric[[#This Row],[Replacement Type]]="Partial Displacement",
        INDEX(Tbl_MeasureList[[Measure ID]:[Current ER (EE) High Measure Gas Fuel Savings (1,000 cu.ft. gas/year)]],
                      MATCH(Tbl_BCROutputs_Electric[[#This Row],[Measure ID]:[Measure ID]],Tbl_MeasureList[[Measure ID]:[Measure ID]],0),
                      MATCH(S$26,Tbl_MeasureList[#Headers],0)),
       IF(Tbl_BCROutputs_Electric[[#This Row],[Savings Stream]]="Retire",
             INDEX(Tbl_MeasureList[],MATCH(Tbl_BCROutputs_Electric[[#This Row],[Measure ID]:[Measure ID]],Tbl_MeasureList[[Measure ID]:[Measure ID]],0),MATCH(S$25,Tbl_MeasureList[#Headers],0)),
             INDEX(Tbl_MeasureList[],MATCH(Tbl_BCROutputs_Electric[[#This Row],[Measure ID]:[Measure ID]],Tbl_MeasureList[[Measure ID]:[Measure ID]],0),MATCH(S$24,Tbl_MeasureList[#Headers],0))))</f>
        <v>37.807663474610358</v>
      </c>
      <c r="T11" s="638">
        <f ca="1">IF(Tbl_BCROutputs_Electric[[#This Row],[Replacement Type]]="Partial Displacement",
        INDEX(Tbl_MeasureList[[Measure ID]:[Current ER (EE) High Measure Gas Fuel Savings (1,000 cu.ft. gas/year)]],
                      MATCH(Tbl_BCROutputs_Electric[[#This Row],[Measure ID]:[Measure ID]],Tbl_MeasureList[[Measure ID]:[Measure ID]],0),
                      MATCH(T$26,Tbl_MeasureList[#Headers],0)),
       IF(Tbl_BCROutputs_Electric[[#This Row],[Savings Stream]]="Retire",
              INDEX(Tbl_MeasureList[],MATCH(Tbl_BCROutputs_Electric[[#This Row],[Measure ID]:[Measure ID]],Tbl_MeasureList[[Measure ID]:[Measure ID]],0),MATCH(T$25,Tbl_MeasureList[#Headers],0)),
              INDEX(Tbl_MeasureList[],MATCH(Tbl_BCROutputs_Electric[[#This Row],[Measure ID]:[Measure ID]],Tbl_MeasureList[[Measure ID]:[Measure ID]],0),MATCH(T$24,Tbl_MeasureList[#Headers],0))
            ))</f>
        <v>0</v>
      </c>
      <c r="U11" s="397">
        <f ca="1">IF(Tbl_BCROutputs_Electric[[#This Row],[Replacement Type]]="Partial Displacement",
        INDEX(Tbl_MeasureList[[Measure ID]:[Current ER (EE) High Measure Gas Fuel Savings (1,000 cu.ft. gas/year)]],
                      MATCH(Tbl_BCROutputs_Electric[[#This Row],[Measure ID]:[Measure ID]],Tbl_MeasureList[[Measure ID]:[Measure ID]],0),
                      MATCH(U$26,Tbl_MeasureList[#Headers],0)),
       IF(Tbl_BCROutputs_Electric[[#This Row],[Savings Stream]]="Retire",
              INDEX(Tbl_MeasureList[],MATCH(Tbl_BCROutputs_Electric[[#This Row],[Measure ID]:[Measure ID]],Tbl_MeasureList[[Measure ID]:[Measure ID]],0),MATCH(U$25,Tbl_MeasureList[#Headers],0)),
              INDEX(Tbl_MeasureList[],MATCH(Tbl_BCROutputs_Electric[[#This Row],[Measure ID]:[Measure ID]],Tbl_MeasureList[[Measure ID]:[Measure ID]],0),MATCH(U$24,Tbl_MeasureList[#Headers],0))
            ))</f>
        <v>49.016523219579042</v>
      </c>
      <c r="V11" s="639">
        <f ca="1">IF(OR(Tbl_BCROutputs_Electric[[#This Row],[Replacement Type]]="Partial Displacement",Tbl_BCROutputs_Electric[[#This Row],[Savings Stream]]="EE"),
        INDEX(Tbl_MeasureList[[Measure ID]:[Current ER (EE) High Measure Gas Fuel Savings (1,000 cu.ft. gas/year)]],
                      MATCH(Tbl_BCROutputs_Electric[[#This Row],[Measure ID]:[Measure ID]],Tbl_MeasureList[[Measure ID]:[Measure ID]],0),
                      MATCH(V$10,Tbl_MeasureList[#Headers],0)),
      0)</f>
        <v>0</v>
      </c>
      <c r="W11" s="640">
        <f ca="1">IF(OR(Tbl_BCROutputs_Electric[[#This Row],[Replacement Type]]="Partial Displacement",Tbl_BCROutputs_Electric[[#This Row],[Savings Stream]]="EE"),
        INDEX(Tbl_MeasureList[[Measure ID]:[Current ER (EE) High Measure Gas Fuel Savings (1,000 cu.ft. gas/year)]],
                      MATCH(Tbl_BCROutputs_Electric[[#This Row],[Measure ID]:[Measure ID]],Tbl_MeasureList[[Measure ID]:[Measure ID]],0),
                      MATCH(W$10,Tbl_MeasureList[#Headers],0)),
       0)</f>
        <v>44.734146564670453</v>
      </c>
      <c r="X11" s="636">
        <f ca="1">IF(Tbl_BCROutputs_Electric[[#This Row],[Replacement Type]]="Partial Displacement",
        INDEX(Tbl_MeasureList[[Measure ID]:[Current ER (EE) High Measure Gas Fuel Savings (1,000 cu.ft. gas/year)]],
                      MATCH(Tbl_BCROutputs_Electric[[#This Row],[Measure ID]:[Measure ID]],Tbl_MeasureList[[Measure ID]:[Measure ID]],0),
                      MATCH(X$26,Tbl_MeasureList[#Headers],0)),
       IF(Tbl_BCROutputs_Electric[[#This Row],[Savings Stream]]="Retire",
              INDEX(Tbl_MeasureList[],MATCH(Tbl_BCROutputs_Electric[[#This Row],[Measure ID]:[Measure ID]],Tbl_MeasureList[[Measure ID]:[Measure ID]],0),MATCH(X$25,Tbl_MeasureList[#Headers],0)),
              INDEX(Tbl_MeasureList[],MATCH(Tbl_BCROutputs_Electric[[#This Row],[Measure ID]:[Measure ID]],Tbl_MeasureList[[Measure ID]:[Measure ID]],0),MATCH(X$24,Tbl_MeasureList[#Headers],0))
            ))</f>
        <v>-3963.0184552116116</v>
      </c>
      <c r="Y11" s="641">
        <f ca="1">IF(Tbl_BCROutputs_Electric[[#This Row],[Replacement Type]]="Partial Displacement",
        INDEX(Tbl_MeasureList[[Measure ID]:[Current ER (EE) High Measure Gas Fuel Savings (1,000 cu.ft. gas/year)]],
                      MATCH(Tbl_BCROutputs_Electric[[#This Row],[Measure ID]:[Measure ID]],Tbl_MeasureList[[Measure ID]:[Measure ID]],0),
                      MATCH(Y$26,Tbl_MeasureList[#Headers],0)),
       IF(Tbl_BCROutputs_Electric[[#This Row],[Savings Stream]]="Retire",
              INDEX(Tbl_MeasureList[],MATCH(Tbl_BCROutputs_Electric[[#This Row],[Measure ID]:[Measure ID]],Tbl_MeasureList[[Measure ID]:[Measure ID]],0),MATCH(Y$25,Tbl_MeasureList[#Headers],0)),
              INDEX(Tbl_MeasureList[],MATCH(Tbl_BCROutputs_Electric[[#This Row],[Measure ID]:[Measure ID]],Tbl_MeasureList[[Measure ID]:[Measure ID]],0),MATCH(Y$24,Tbl_MeasureList[#Headers],0))
            ))</f>
        <v>677.88957333333349</v>
      </c>
      <c r="Z11" s="396">
        <f ca="1">IF(Tbl_BCROutputs_Electric[[#This Row],[Replacement Type]]="Partial Displacement",
        INDEX(Tbl_MeasureList[[Measure ID]:[Current ER (EE) High Measure Gas Fuel Savings (1,000 cu.ft. gas/year)]],
                      MATCH(Tbl_BCROutputs_Electric[[#This Row],[Measure ID]:[Measure ID]],Tbl_MeasureList[[Measure ID]:[Measure ID]],0),
                      MATCH(Z$26,Tbl_MeasureList[#Headers],0)),
       IF(Tbl_BCROutputs_Electric[[#This Row],[Savings Stream]]="Retire",
              INDEX(Tbl_MeasureList[],MATCH(Tbl_BCROutputs_Electric[[#This Row],[Measure ID]:[Measure ID]],Tbl_MeasureList[[Measure ID]:[Measure ID]],0),MATCH(Z$25,Tbl_MeasureList[#Headers],0)),
              INDEX(Tbl_MeasureList[],MATCH(Tbl_BCROutputs_Electric[[#This Row],[Measure ID]:[Measure ID]],Tbl_MeasureList[[Measure ID]:[Measure ID]],0),MATCH(Z$24,Tbl_MeasureList[#Headers],0))
            ))</f>
        <v>-1.6300426653883033</v>
      </c>
      <c r="AA11" s="654">
        <f ca="1">IF(Tbl_BCROutputs_Electric[[#This Row],[Replacement Type]]="Partial Displacement",
        INDEX(Tbl_MeasureList[[Measure ID]:[Current ER (EE) High Measure Gas Fuel Savings (1,000 cu.ft. gas/year)]],
                      MATCH(Tbl_BCROutputs_Electric[[#This Row],[Measure ID]:[Measure ID]],Tbl_MeasureList[[Measure ID]:[Measure ID]],0),
                      MATCH(AA$26,Tbl_MeasureList[#Headers],0)),
       IF(Tbl_BCROutputs_Electric[[#This Row],[Savings Stream]]="Retire",
              INDEX(Tbl_MeasureList[],MATCH(Tbl_BCROutputs_Electric[[#This Row],[Measure ID]:[Measure ID]],Tbl_MeasureList[[Measure ID]:[Measure ID]],0),MATCH(AA$25,Tbl_MeasureList[#Headers],0)),
              INDEX(Tbl_MeasureList[],MATCH(Tbl_BCROutputs_Electric[[#This Row],[Measure ID]:[Measure ID]],Tbl_MeasureList[[Measure ID]:[Measure ID]],0),MATCH(AA$24,Tbl_MeasureList[#Headers],0))
            ))</f>
        <v>0.60974165912518852</v>
      </c>
      <c r="AB11" s="655">
        <f>IF(Tbl_BCROutputs_Electric[[#This Row],[Replacement Fuel]]="Electric+Oil", INPUT_OILHEATSWITCHOVER,
         IF(Tbl_BCROutputs_Electric[[#This Row],[Replacement Fuel]]="Electric+Propane", INPUT_PROPANEHEATSWITCHOVER,
                IF(Tbl_BCROutputs_Electric[[#This Row],[Replacement Fuel]]="Electric+Gas", INPUT_GASHEATSWITCHOVER,
                       IF(Tbl_BCROutputs_Electric[[#This Row],[Replacement Fuel]]="Electric", INPUT_RESISTANCEHEAT_SWITCHOVER,0))))</f>
        <v>25</v>
      </c>
    </row>
    <row r="12" spans="1:63" s="581" customFormat="1" ht="22.5" x14ac:dyDescent="0.2">
      <c r="B12" s="582"/>
      <c r="C12" s="583" t="s">
        <v>83</v>
      </c>
      <c r="D12" s="583" t="s">
        <v>1509</v>
      </c>
      <c r="E12" s="83" t="str">
        <f>INDEX(Tbl_MeasureList[],MATCH(Tbl_BCROutputs_Electric[[#This Row],[Measure ID]],Tbl_MeasureList[[Measure ID]:[Measure ID]],0),MATCH(Tbl_BCROutputs_Electric[[#Headers],[Replacement ID]],Tbl_MeasureList[#Headers],0))</f>
        <v>EQUI006</v>
      </c>
      <c r="F12" s="83" t="str">
        <f>INDEX(Tbl_MeasureList[[Measure ID]:[Current ER (EE) High Measure Gas Fuel Savings (1,000 cu.ft. gas/year)]],
               MATCH(Tbl_BCROutputs_Electric[[#This Row],[Measure ID]:[Measure ID]],Tbl_MeasureList[[Measure ID]:[Measure ID]],0),
               MATCH(F$10,Tbl_MeasureList[#Headers],0))</f>
        <v>Baseline A/C Blend+Propane Furnace</v>
      </c>
      <c r="G12" s="83" t="str">
        <f>INDEX(Tbl_MeasureList[[Measure ID]:[Current ER (EE) High Measure Gas Fuel Savings (1,000 cu.ft. gas/year)]],
               MATCH(Tbl_BCROutputs_Electric[[#This Row],[Measure ID]:[Measure ID]],Tbl_MeasureList[[Measure ID]:[Measure ID]],0),
               MATCH(G$10,Tbl_MeasureList[#Headers],0))</f>
        <v>Central HP+Propane Furnace</v>
      </c>
      <c r="H12" s="83" t="str">
        <f>INDEX(Tbl_MeasureList[Replacement Fuel 1],MATCH(Tbl_BCROutputs_Electric[[#This Row],[Measure ID]],Tbl_MeasureList[Measure ID],0))&amp;
  IF(INDEX(Tbl_MeasureList[Replacement Fuel 2],MATCH(Tbl_BCROutputs_Electric[[#This Row],[Measure ID]],Tbl_MeasureList[Measure ID],0))&lt;&gt;"-",
       "+"&amp;INDEX(Tbl_MeasureList[Replacement Fuel 2],MATCH(Tbl_BCROutputs_Electric[[#This Row],[Measure ID]],Tbl_MeasureList[Measure ID],0)),"")</f>
        <v>Electric+Propane</v>
      </c>
      <c r="I12" s="629" t="str">
        <f>IF(Tbl_BCROutputs_Electric[[#This Row],[Replacement Fuel]]="Natural Gas",INDEX(Tbl_EquipmentDefinitions[Natural Gas High Measure Efficiency],MATCH(Tbl_BCROutputs_Electric[[#This Row],[Replacement ID]],Tbl_EquipmentDefinitions[Equipment ID],0)),
  IF(Tbl_BCROutputs_Electric[[#This Row],[Replacement Fuel]]="Electric",INDEX(Tbl_EquipmentDefinitions[Electricity High Measure Efficiency],MATCH(Tbl_BCROutputs_Electric[[#This Row],[Replacement ID]],Tbl_EquipmentDefinitions[Equipment ID],0)),
  IF(Tbl_BCROutputs_Electric[[#This Row],[Replacement Fuel]]="Electric+Oil",
        INDEX(Tbl_EquipmentDefinitions[Electricity High Measure Efficiency],MATCH(Tbl_BCROutputs_Electric[[#This Row],[Replacement ID]],Tbl_EquipmentDefinitions[Equipment ID],0))&amp;CHAR(10)&amp;
        INDEX(Tbl_EquipmentDefinitions[Oil Baseline Efficiency],MATCH(Tbl_BCROutputs_Electric[[#This Row],[Replacement ID]],Tbl_EquipmentDefinitions[Equipment ID],0)),
  IF(Tbl_BCROutputs_Electric[[#This Row],[Replacement Fuel]]="Electric+Propane",
        INDEX(Tbl_EquipmentDefinitions[Electricity High Measure Efficiency],MATCH(Tbl_BCROutputs_Electric[[#This Row],[Replacement ID]],Tbl_EquipmentDefinitions[Equipment ID],0))&amp;CHAR(10)&amp;
        INDEX(Tbl_EquipmentDefinitions[Propane Baseline Efficiency],MATCH(Tbl_BCROutputs_Electric[[#This Row],[Replacement ID]],Tbl_EquipmentDefinitions[Equipment ID],0)),
  IF(Tbl_BCROutputs_Electric[[#This Row],[Replacement Fuel]]="Electric+Electric",INDEX(Tbl_EquipmentDefinitions[Electricity High Measure Efficiency],MATCH(Tbl_BCROutputs_Electric[[#This Row],[Replacement ID]],Tbl_EquipmentDefinitions[Equipment ID],0)),
)))))</f>
        <v>18 SEER/9.6 HSPF
78% AFUE (78.9%)</v>
      </c>
      <c r="J12" s="83" t="str">
        <f>INDEX(Tbl_MeasureList[[Measure ID]:[Current ER (EE) High Measure Gas Fuel Savings (1,000 cu.ft. gas/year)]],
               MATCH(Tbl_BCROutputs_Electric[[#This Row],[Measure ID]:[Measure ID]],Tbl_MeasureList[[Measure ID]:[Measure ID]],0),
               MATCH(J$10,Tbl_MeasureList[#Headers],0))</f>
        <v>Yes</v>
      </c>
      <c r="K12" s="630" t="str">
        <f>IF(Tbl_BCROutputs_Electric[[#This Row],[Keep Existing Heating Equipment?]]="Yes","Partial Displacement","Full Replacement")</f>
        <v>Partial Displacement</v>
      </c>
      <c r="L12" s="631">
        <f>IF(Tbl_BCROutputs_Electric[[#This Row],[Replacement Type]]="Partial Displacement",
        INDEX(Tbl_EquipmentDefinitions[New Unit Equipment Life (years)],
                       MATCH(INDEX(Tbl_MeasureList[[Measure ID]:[Current ER (EE) High Measure Gas Fuel Savings (1,000 cu.ft. gas/year)]],
                                                      MATCH(Tbl_BCROutputs_Electric[[#This Row],[Measure ID]:[Measure ID]],Tbl_MeasureList[Measure ID],0),
                                                      MATCH(L$24,Tbl_MeasureList[#Headers],0)),
                                        Tbl_EquipmentDefinitions[Equipment ID],
                                        0)),
        IF(Tbl_BCROutputs_Electric[[#This Row],[Savings Stream]]="Retire",
             INDEX(Tbl_MeasureList[],MATCH(Tbl_BCROutputs_Electric[[#This Row],[Measure ID]],Tbl_MeasureList[[Measure ID]:[Measure ID]],0),MATCH($L$26,Tbl_MeasureList[#Headers],0)),
             INDEX(Tbl_MeasureList[],MATCH(Tbl_BCROutputs_Electric[[#This Row],[Measure ID]],Tbl_MeasureList[[Measure ID]:[Measure ID]],0),MATCH($L$25,Tbl_MeasureList[#Headers],0)))
        )</f>
        <v>17</v>
      </c>
      <c r="M12" s="632">
        <f>IF(Tbl_BCROutputs_Electric[[#This Row],[Replacement Type]]="Partial Displacement",
       INDEX(Tbl_MeasureList[[Measure ID]:[Current ER (EE) High Measure Gas Fuel Savings (1,000 cu.ft. gas/year)]],
                      MATCH(Tbl_BCROutputs_Electric[[#This Row],[Measure ID]:[Measure ID]],Tbl_MeasureList[[Measure ID]:[Measure ID]],0),
                      MATCH(M$25,Tbl_MeasureList[#Headers],0)),
       IF(Tbl_BCROutputs_Electric[[#This Row],[Savings Stream]]="Retire",0,
              INDEX(Tbl_MeasureList[[Measure ID]:[Current ER (EE) High Measure Gas Fuel Savings (1,000 cu.ft. gas/year)]],
                      MATCH(Tbl_BCROutputs_Electric[[#This Row],[Measure ID]:[Measure ID]],Tbl_MeasureList[[Measure ID]:[Measure ID]],0),
                      MATCH(M$24,Tbl_MeasureList[#Headers],0))))</f>
        <v>2736.686075169398</v>
      </c>
      <c r="N12" s="633">
        <f>IF(Tbl_BCROutputs_Electric[[#This Row],[Replacement Type]]="Partial Displacement",INPUT_SYSTEMINTEGRATIONCOST,0)</f>
        <v>400</v>
      </c>
      <c r="O12" s="634">
        <f>IF(AND(ISNUMBER(SEARCH("DMSHP",Tbl_BCROutputs_Electric[[#This Row],[Replacement Name]])),Tbl_BCROutputs_Electric[[#This Row],[Savings Stream]]="EE"),INPUT_ELECTRICALSYSTEMUPGRADECOST,0)</f>
        <v>0</v>
      </c>
      <c r="P12" s="394">
        <f ca="1">IF(OR(Tbl_BCROutputs_Electric[[#This Row],[Replacement Type]]="Partial Displacement",Tbl_BCROutputs_Electric[[#This Row],[Savings Stream]]="EE"),
        INDEX(Tbl_MeasureList[[Measure ID]:[Current ER (EE) High Measure Gas Fuel Savings (1,000 cu.ft. gas/year)]],
                      MATCH(Tbl_BCROutputs_Electric[[#This Row],[Measure ID]],Tbl_MeasureList[[Measure ID]:[Measure ID]],0),
                      MATCH(P$24,Tbl_MeasureList[#Headers],0)),
        0
       )</f>
        <v>12982.5</v>
      </c>
      <c r="Q12" s="635">
        <f ca="1">IF(Tbl_BCROutputs_Electric[[#This Row],[Total Cost New Equipment, not including deferred replacement (USD)]]="-","-",Tbl_BCROutputs_Electric[[#This Row],[Total Cost New Equipment, not including deferred replacement (USD)]]-Tbl_BCROutputs_Electric[[#This Row],[Deferred Replacement Credit (USD)]])</f>
        <v>10245.813924830602</v>
      </c>
      <c r="R12" s="636">
        <f ca="1">IF(Tbl_BCROutputs_Electric[[#This Row],[Replacement Type]]="Partial Displacement",
        INDEX(Tbl_MeasureList[[Measure ID]:[Current ER (EE) High Measure Gas Fuel Savings (1,000 cu.ft. gas/year)]],
                      MATCH(Tbl_BCROutputs_Electric[[#This Row],[Measure ID]:[Measure ID]],Tbl_MeasureList[[Measure ID]:[Measure ID]],0),
                      MATCH(R$26,Tbl_MeasureList[#Headers],0)),
        IF(Tbl_BCROutputs_Electric[[#This Row],[Savings Stream]]="Retire",
              INDEX(Tbl_MeasureList[],MATCH(Tbl_BCROutputs_Electric[[#This Row],[Measure ID]:[Measure ID]],Tbl_MeasureList[[Measure ID]:[Measure ID]],0),MATCH(R$25,Tbl_MeasureList[#Headers],0)),
              INDEX(Tbl_MeasureList[],MATCH(Tbl_BCROutputs_Electric[[#This Row],[Measure ID]:[Measure ID]],Tbl_MeasureList[[Measure ID]:[Measure ID]],0),MATCH(R$24,Tbl_MeasureList[#Headers],0))
            )
       )</f>
        <v>-5026.8235347758609</v>
      </c>
      <c r="S12" s="637">
        <f ca="1">IF(Tbl_BCROutputs_Electric[[#This Row],[Replacement Type]]="Partial Displacement",
        INDEX(Tbl_MeasureList[[Measure ID]:[Current ER (EE) High Measure Gas Fuel Savings (1,000 cu.ft. gas/year)]],
                      MATCH(Tbl_BCROutputs_Electric[[#This Row],[Measure ID]:[Measure ID]],Tbl_MeasureList[[Measure ID]:[Measure ID]],0),
                      MATCH(S$26,Tbl_MeasureList[#Headers],0)),
       IF(Tbl_BCROutputs_Electric[[#This Row],[Savings Stream]]="Retire",
             INDEX(Tbl_MeasureList[],MATCH(Tbl_BCROutputs_Electric[[#This Row],[Measure ID]:[Measure ID]],Tbl_MeasureList[[Measure ID]:[Measure ID]],0),MATCH(S$25,Tbl_MeasureList[#Headers],0)),
             INDEX(Tbl_MeasureList[],MATCH(Tbl_BCROutputs_Electric[[#This Row],[Measure ID]:[Measure ID]],Tbl_MeasureList[[Measure ID]:[Measure ID]],0),MATCH(S$24,Tbl_MeasureList[#Headers],0))))</f>
        <v>51.673582978825209</v>
      </c>
      <c r="T12" s="638">
        <f ca="1">IF(Tbl_BCROutputs_Electric[[#This Row],[Replacement Type]]="Partial Displacement",
        INDEX(Tbl_MeasureList[[Measure ID]:[Current ER (EE) High Measure Gas Fuel Savings (1,000 cu.ft. gas/year)]],
                      MATCH(Tbl_BCROutputs_Electric[[#This Row],[Measure ID]:[Measure ID]],Tbl_MeasureList[[Measure ID]:[Measure ID]],0),
                      MATCH(T$26,Tbl_MeasureList[#Headers],0)),
       IF(Tbl_BCROutputs_Electric[[#This Row],[Savings Stream]]="Retire",
              INDEX(Tbl_MeasureList[],MATCH(Tbl_BCROutputs_Electric[[#This Row],[Measure ID]:[Measure ID]],Tbl_MeasureList[[Measure ID]:[Measure ID]],0),MATCH(T$25,Tbl_MeasureList[#Headers],0)),
              INDEX(Tbl_MeasureList[],MATCH(Tbl_BCROutputs_Electric[[#This Row],[Measure ID]:[Measure ID]],Tbl_MeasureList[[Measure ID]:[Measure ID]],0),MATCH(T$24,Tbl_MeasureList[#Headers],0))
            ))</f>
        <v>68.825104879480449</v>
      </c>
      <c r="U12" s="397">
        <f ca="1">IF(Tbl_BCROutputs_Electric[[#This Row],[Replacement Type]]="Partial Displacement",
        INDEX(Tbl_MeasureList[[Measure ID]:[Current ER (EE) High Measure Gas Fuel Savings (1,000 cu.ft. gas/year)]],
                      MATCH(Tbl_BCROutputs_Electric[[#This Row],[Measure ID]:[Measure ID]],Tbl_MeasureList[[Measure ID]:[Measure ID]],0),
                      MATCH(U$26,Tbl_MeasureList[#Headers],0)),
       IF(Tbl_BCROutputs_Electric[[#This Row],[Savings Stream]]="Retire",
              INDEX(Tbl_MeasureList[],MATCH(Tbl_BCROutputs_Electric[[#This Row],[Measure ID]:[Measure ID]],Tbl_MeasureList[[Measure ID]:[Measure ID]],0),MATCH(U$25,Tbl_MeasureList[#Headers],0)),
              INDEX(Tbl_MeasureList[],MATCH(Tbl_BCROutputs_Electric[[#This Row],[Measure ID]:[Measure ID]],Tbl_MeasureList[[Measure ID]:[Measure ID]],0),MATCH(U$24,Tbl_MeasureList[#Headers],0))
            ))</f>
        <v>0</v>
      </c>
      <c r="V12" s="639">
        <f ca="1">IF(OR(Tbl_BCROutputs_Electric[[#This Row],[Replacement Type]]="Partial Displacement",Tbl_BCROutputs_Electric[[#This Row],[Savings Stream]]="EE"),
        INDEX(Tbl_MeasureList[[Measure ID]:[Current ER (EE) High Measure Gas Fuel Savings (1,000 cu.ft. gas/year)]],
                      MATCH(Tbl_BCROutputs_Electric[[#This Row],[Measure ID]:[Measure ID]],Tbl_MeasureList[[Measure ID]:[Measure ID]],0),
                      MATCH(V$10,Tbl_MeasureList[#Headers],0)),
      0)</f>
        <v>62.603677905649107</v>
      </c>
      <c r="W12" s="640">
        <f ca="1">IF(OR(Tbl_BCROutputs_Electric[[#This Row],[Replacement Type]]="Partial Displacement",Tbl_BCROutputs_Electric[[#This Row],[Savings Stream]]="EE"),
        INDEX(Tbl_MeasureList[[Measure ID]:[Current ER (EE) High Measure Gas Fuel Savings (1,000 cu.ft. gas/year)]],
                      MATCH(Tbl_BCROutputs_Electric[[#This Row],[Measure ID]:[Measure ID]],Tbl_MeasureList[[Measure ID]:[Measure ID]],0),
                      MATCH(W$10,Tbl_MeasureList[#Headers],0)),
       0)</f>
        <v>0</v>
      </c>
      <c r="X12" s="636">
        <f ca="1">IF(Tbl_BCROutputs_Electric[[#This Row],[Replacement Type]]="Partial Displacement",
        INDEX(Tbl_MeasureList[[Measure ID]:[Current ER (EE) High Measure Gas Fuel Savings (1,000 cu.ft. gas/year)]],
                      MATCH(Tbl_BCROutputs_Electric[[#This Row],[Measure ID]:[Measure ID]],Tbl_MeasureList[[Measure ID]:[Measure ID]],0),
                      MATCH(X$26,Tbl_MeasureList[#Headers],0)),
       IF(Tbl_BCROutputs_Electric[[#This Row],[Savings Stream]]="Retire",
              INDEX(Tbl_MeasureList[],MATCH(Tbl_BCROutputs_Electric[[#This Row],[Measure ID]:[Measure ID]],Tbl_MeasureList[[Measure ID]:[Measure ID]],0),MATCH(X$25,Tbl_MeasureList[#Headers],0)),
              INDEX(Tbl_MeasureList[],MATCH(Tbl_BCROutputs_Electric[[#This Row],[Measure ID]:[Measure ID]],Tbl_MeasureList[[Measure ID]:[Measure ID]],0),MATCH(X$24,Tbl_MeasureList[#Headers],0))
            ))</f>
        <v>-5704.7131081091948</v>
      </c>
      <c r="Y12" s="641">
        <f ca="1">IF(Tbl_BCROutputs_Electric[[#This Row],[Replacement Type]]="Partial Displacement",
        INDEX(Tbl_MeasureList[[Measure ID]:[Current ER (EE) High Measure Gas Fuel Savings (1,000 cu.ft. gas/year)]],
                      MATCH(Tbl_BCROutputs_Electric[[#This Row],[Measure ID]:[Measure ID]],Tbl_MeasureList[[Measure ID]:[Measure ID]],0),
                      MATCH(Y$26,Tbl_MeasureList[#Headers],0)),
       IF(Tbl_BCROutputs_Electric[[#This Row],[Savings Stream]]="Retire",
              INDEX(Tbl_MeasureList[],MATCH(Tbl_BCROutputs_Electric[[#This Row],[Measure ID]:[Measure ID]],Tbl_MeasureList[[Measure ID]:[Measure ID]],0),MATCH(Y$25,Tbl_MeasureList[#Headers],0)),
              INDEX(Tbl_MeasureList[],MATCH(Tbl_BCROutputs_Electric[[#This Row],[Measure ID]:[Measure ID]],Tbl_MeasureList[[Measure ID]:[Measure ID]],0),MATCH(Y$24,Tbl_MeasureList[#Headers],0))
            ))</f>
        <v>677.88957333333349</v>
      </c>
      <c r="Z12" s="396">
        <f ca="1">IF(Tbl_BCROutputs_Electric[[#This Row],[Replacement Type]]="Partial Displacement",
        INDEX(Tbl_MeasureList[[Measure ID]:[Current ER (EE) High Measure Gas Fuel Savings (1,000 cu.ft. gas/year)]],
                      MATCH(Tbl_BCROutputs_Electric[[#This Row],[Measure ID]:[Measure ID]],Tbl_MeasureList[[Measure ID]:[Measure ID]],0),
                      MATCH(Z$26,Tbl_MeasureList[#Headers],0)),
       IF(Tbl_BCROutputs_Electric[[#This Row],[Savings Stream]]="Retire",
              INDEX(Tbl_MeasureList[],MATCH(Tbl_BCROutputs_Electric[[#This Row],[Measure ID]:[Measure ID]],Tbl_MeasureList[[Measure ID]:[Measure ID]],0),MATCH(Z$25,Tbl_MeasureList[#Headers],0)),
              INDEX(Tbl_MeasureList[],MATCH(Tbl_BCROutputs_Electric[[#This Row],[Measure ID]:[Measure ID]],Tbl_MeasureList[[Measure ID]:[Measure ID]],0),MATCH(Z$24,Tbl_MeasureList[#Headers],0))
            ))</f>
        <v>-1.6300426653883033</v>
      </c>
      <c r="AA12" s="654">
        <f ca="1">IF(Tbl_BCROutputs_Electric[[#This Row],[Replacement Type]]="Partial Displacement",
        INDEX(Tbl_MeasureList[[Measure ID]:[Current ER (EE) High Measure Gas Fuel Savings (1,000 cu.ft. gas/year)]],
                      MATCH(Tbl_BCROutputs_Electric[[#This Row],[Measure ID]:[Measure ID]],Tbl_MeasureList[[Measure ID]:[Measure ID]],0),
                      MATCH(AA$26,Tbl_MeasureList[#Headers],0)),
       IF(Tbl_BCROutputs_Electric[[#This Row],[Savings Stream]]="Retire",
              INDEX(Tbl_MeasureList[],MATCH(Tbl_BCROutputs_Electric[[#This Row],[Measure ID]:[Measure ID]],Tbl_MeasureList[[Measure ID]:[Measure ID]],0),MATCH(AA$25,Tbl_MeasureList[#Headers],0)),
              INDEX(Tbl_MeasureList[],MATCH(Tbl_BCROutputs_Electric[[#This Row],[Measure ID]:[Measure ID]],Tbl_MeasureList[[Measure ID]:[Measure ID]],0),MATCH(AA$24,Tbl_MeasureList[#Headers],0))
            ))</f>
        <v>0.60974165912518852</v>
      </c>
      <c r="AB12" s="655">
        <f>IF(Tbl_BCROutputs_Electric[[#This Row],[Replacement Fuel]]="Electric+Oil", INPUT_OILHEATSWITCHOVER,
         IF(Tbl_BCROutputs_Electric[[#This Row],[Replacement Fuel]]="Electric+Propane", INPUT_PROPANEHEATSWITCHOVER,
                IF(Tbl_BCROutputs_Electric[[#This Row],[Replacement Fuel]]="Electric+Gas", INPUT_GASHEATSWITCHOVER,
                       IF(Tbl_BCROutputs_Electric[[#This Row],[Replacement Fuel]]="Electric", INPUT_RESISTANCEHEAT_SWITCHOVER,0))))</f>
        <v>15</v>
      </c>
    </row>
    <row r="13" spans="1:63" s="581" customFormat="1" x14ac:dyDescent="0.2">
      <c r="B13" s="582"/>
      <c r="C13" s="583" t="s">
        <v>86</v>
      </c>
      <c r="D13" s="583" t="s">
        <v>1216</v>
      </c>
      <c r="E13" s="83" t="str">
        <f>INDEX(Tbl_MeasureList[],MATCH(Tbl_BCROutputs_Electric[[#This Row],[Measure ID]],Tbl_MeasureList[[Measure ID]:[Measure ID]],0),MATCH(Tbl_BCROutputs_Electric[[#Headers],[Replacement ID]],Tbl_MeasureList[#Headers],0))</f>
        <v>EQUI007</v>
      </c>
      <c r="F13" s="83" t="str">
        <f>INDEX(Tbl_MeasureList[[Measure ID]:[Current ER (EE) High Measure Gas Fuel Savings (1,000 cu.ft. gas/year)]],
               MATCH(Tbl_BCROutputs_Electric[[#This Row],[Measure ID]:[Measure ID]],Tbl_MeasureList[[Measure ID]:[Measure ID]],0),
               MATCH(F$10,Tbl_MeasureList[#Headers],0))</f>
        <v>Baseline A/C Blend+Oil Furnace</v>
      </c>
      <c r="G13" s="83" t="str">
        <f>INDEX(Tbl_MeasureList[[Measure ID]:[Current ER (EE) High Measure Gas Fuel Savings (1,000 cu.ft. gas/year)]],
               MATCH(Tbl_BCROutputs_Electric[[#This Row],[Measure ID]:[Measure ID]],Tbl_MeasureList[[Measure ID]:[Measure ID]],0),
               MATCH(G$10,Tbl_MeasureList[#Headers],0))</f>
        <v>Central HP</v>
      </c>
      <c r="H13" s="83" t="str">
        <f>INDEX(Tbl_MeasureList[Replacement Fuel 1],MATCH(Tbl_BCROutputs_Electric[[#This Row],[Measure ID]],Tbl_MeasureList[Measure ID],0))&amp;
  IF(INDEX(Tbl_MeasureList[Replacement Fuel 2],MATCH(Tbl_BCROutputs_Electric[[#This Row],[Measure ID]],Tbl_MeasureList[Measure ID],0))&lt;&gt;"-",
       "+"&amp;INDEX(Tbl_MeasureList[Replacement Fuel 2],MATCH(Tbl_BCROutputs_Electric[[#This Row],[Measure ID]],Tbl_MeasureList[Measure ID],0)),"")</f>
        <v>Electric</v>
      </c>
      <c r="I13" s="629" t="str">
        <f>IF(Tbl_BCROutputs_Electric[[#This Row],[Replacement Fuel]]="Natural Gas",INDEX(Tbl_EquipmentDefinitions[Natural Gas High Measure Efficiency],MATCH(Tbl_BCROutputs_Electric[[#This Row],[Replacement ID]],Tbl_EquipmentDefinitions[Equipment ID],0)),
  IF(Tbl_BCROutputs_Electric[[#This Row],[Replacement Fuel]]="Electric",INDEX(Tbl_EquipmentDefinitions[Electricity High Measure Efficiency],MATCH(Tbl_BCROutputs_Electric[[#This Row],[Replacement ID]],Tbl_EquipmentDefinitions[Equipment ID],0)),
  IF(Tbl_BCROutputs_Electric[[#This Row],[Replacement Fuel]]="Electric+Oil",
        INDEX(Tbl_EquipmentDefinitions[Electricity High Measure Efficiency],MATCH(Tbl_BCROutputs_Electric[[#This Row],[Replacement ID]],Tbl_EquipmentDefinitions[Equipment ID],0))&amp;CHAR(10)&amp;
        INDEX(Tbl_EquipmentDefinitions[Oil Baseline Efficiency],MATCH(Tbl_BCROutputs_Electric[[#This Row],[Replacement ID]],Tbl_EquipmentDefinitions[Equipment ID],0)),
  IF(Tbl_BCROutputs_Electric[[#This Row],[Replacement Fuel]]="Electric+Propane",
        INDEX(Tbl_EquipmentDefinitions[Electricity High Measure Efficiency],MATCH(Tbl_BCROutputs_Electric[[#This Row],[Replacement ID]],Tbl_EquipmentDefinitions[Equipment ID],0))&amp;CHAR(10)&amp;
        INDEX(Tbl_EquipmentDefinitions[Propane Baseline Efficiency],MATCH(Tbl_BCROutputs_Electric[[#This Row],[Replacement ID]],Tbl_EquipmentDefinitions[Equipment ID],0)),
  IF(Tbl_BCROutputs_Electric[[#This Row],[Replacement Fuel]]="Electric+Electric",INDEX(Tbl_EquipmentDefinitions[Electricity High Measure Efficiency],MATCH(Tbl_BCROutputs_Electric[[#This Row],[Replacement ID]],Tbl_EquipmentDefinitions[Equipment ID],0)),
)))))</f>
        <v>18 SEER/9.6 HSPF</v>
      </c>
      <c r="J13" s="83" t="str">
        <f>INDEX(Tbl_MeasureList[[Measure ID]:[Current ER (EE) High Measure Gas Fuel Savings (1,000 cu.ft. gas/year)]],
               MATCH(Tbl_BCROutputs_Electric[[#This Row],[Measure ID]:[Measure ID]],Tbl_MeasureList[[Measure ID]:[Measure ID]],0),
               MATCH(J$10,Tbl_MeasureList[#Headers],0))</f>
        <v>No</v>
      </c>
      <c r="K13" s="630" t="str">
        <f>IF(Tbl_BCROutputs_Electric[[#This Row],[Keep Existing Heating Equipment?]]="Yes","Partial Displacement","Full Replacement")</f>
        <v>Full Replacement</v>
      </c>
      <c r="L13" s="631">
        <f>IF(Tbl_BCROutputs_Electric[[#This Row],[Replacement Type]]="Partial Displacement",
        INDEX(Tbl_EquipmentDefinitions[New Unit Equipment Life (years)],
                       MATCH(INDEX(Tbl_MeasureList[[Measure ID]:[Current ER (EE) High Measure Gas Fuel Savings (1,000 cu.ft. gas/year)]],
                                                      MATCH(Tbl_BCROutputs_Electric[[#This Row],[Measure ID]:[Measure ID]],Tbl_MeasureList[Measure ID],0),
                                                      MATCH(L$24,Tbl_MeasureList[#Headers],0)),
                                        Tbl_EquipmentDefinitions[Equipment ID],
                                        0)),
        IF(Tbl_BCROutputs_Electric[[#This Row],[Savings Stream]]="Retire",
             INDEX(Tbl_MeasureList[],MATCH(Tbl_BCROutputs_Electric[[#This Row],[Measure ID]],Tbl_MeasureList[[Measure ID]:[Measure ID]],0),MATCH($L$26,Tbl_MeasureList[#Headers],0)),
             INDEX(Tbl_MeasureList[],MATCH(Tbl_BCROutputs_Electric[[#This Row],[Measure ID]],Tbl_MeasureList[[Measure ID]:[Measure ID]],0),MATCH($L$25,Tbl_MeasureList[#Headers],0)))
        )</f>
        <v>17</v>
      </c>
      <c r="M13" s="632">
        <f>IF(Tbl_BCROutputs_Electric[[#This Row],[Replacement Type]]="Partial Displacement",
       INDEX(Tbl_MeasureList[[Measure ID]:[Current ER (EE) High Measure Gas Fuel Savings (1,000 cu.ft. gas/year)]],
                      MATCH(Tbl_BCROutputs_Electric[[#This Row],[Measure ID]:[Measure ID]],Tbl_MeasureList[[Measure ID]:[Measure ID]],0),
                      MATCH(M$25,Tbl_MeasureList[#Headers],0)),
       IF(Tbl_BCROutputs_Electric[[#This Row],[Savings Stream]]="Retire",0,
              INDEX(Tbl_MeasureList[[Measure ID]:[Current ER (EE) High Measure Gas Fuel Savings (1,000 cu.ft. gas/year)]],
                      MATCH(Tbl_BCROutputs_Electric[[#This Row],[Measure ID]:[Measure ID]],Tbl_MeasureList[[Measure ID]:[Measure ID]],0),
                      MATCH(M$24,Tbl_MeasureList[#Headers],0))))</f>
        <v>5595.8202308573791</v>
      </c>
      <c r="N13" s="633">
        <f>IF(Tbl_BCROutputs_Electric[[#This Row],[Replacement Type]]="Partial Displacement",INPUT_SYSTEMINTEGRATIONCOST,0)</f>
        <v>0</v>
      </c>
      <c r="O13" s="634">
        <f>IF(AND(ISNUMBER(SEARCH("DMSHP",Tbl_BCROutputs_Electric[[#This Row],[Replacement Name]])),Tbl_BCROutputs_Electric[[#This Row],[Savings Stream]]="EE"),INPUT_ELECTRICALSYSTEMUPGRADECOST,0)</f>
        <v>0</v>
      </c>
      <c r="P13" s="394">
        <f ca="1">IF(OR(Tbl_BCROutputs_Electric[[#This Row],[Replacement Type]]="Partial Displacement",Tbl_BCROutputs_Electric[[#This Row],[Savings Stream]]="EE"),
        INDEX(Tbl_MeasureList[[Measure ID]:[Current ER (EE) High Measure Gas Fuel Savings (1,000 cu.ft. gas/year)]],
                      MATCH(Tbl_BCROutputs_Electric[[#This Row],[Measure ID]],Tbl_MeasureList[[Measure ID]:[Measure ID]],0),
                      MATCH(P$24,Tbl_MeasureList[#Headers],0)),
        0
       )</f>
        <v>20132</v>
      </c>
      <c r="Q13" s="635">
        <f ca="1">IF(Tbl_BCROutputs_Electric[[#This Row],[Total Cost New Equipment, not including deferred replacement (USD)]]="-","-",Tbl_BCROutputs_Electric[[#This Row],[Total Cost New Equipment, not including deferred replacement (USD)]]-Tbl_BCROutputs_Electric[[#This Row],[Deferred Replacement Credit (USD)]])</f>
        <v>14536.179769142622</v>
      </c>
      <c r="R13" s="636">
        <f ca="1">IF(Tbl_BCROutputs_Electric[[#This Row],[Replacement Type]]="Partial Displacement",
        INDEX(Tbl_MeasureList[[Measure ID]:[Current ER (EE) High Measure Gas Fuel Savings (1,000 cu.ft. gas/year)]],
                      MATCH(Tbl_BCROutputs_Electric[[#This Row],[Measure ID]:[Measure ID]],Tbl_MeasureList[[Measure ID]:[Measure ID]],0),
                      MATCH(R$26,Tbl_MeasureList[#Headers],0)),
        IF(Tbl_BCROutputs_Electric[[#This Row],[Savings Stream]]="Retire",
              INDEX(Tbl_MeasureList[],MATCH(Tbl_BCROutputs_Electric[[#This Row],[Measure ID]:[Measure ID]],Tbl_MeasureList[[Measure ID]:[Measure ID]],0),MATCH(R$25,Tbl_MeasureList[#Headers],0)),
              INDEX(Tbl_MeasureList[],MATCH(Tbl_BCROutputs_Electric[[#This Row],[Measure ID]:[Measure ID]],Tbl_MeasureList[[Measure ID]:[Measure ID]],0),MATCH(R$24,Tbl_MeasureList[#Headers],0))
            )
       )</f>
        <v>-6947.156061277351</v>
      </c>
      <c r="S13" s="637">
        <f ca="1">IF(Tbl_BCROutputs_Electric[[#This Row],[Replacement Type]]="Partial Displacement",
        INDEX(Tbl_MeasureList[[Measure ID]:[Current ER (EE) High Measure Gas Fuel Savings (1,000 cu.ft. gas/year)]],
                      MATCH(Tbl_BCROutputs_Electric[[#This Row],[Measure ID]:[Measure ID]],Tbl_MeasureList[[Measure ID]:[Measure ID]],0),
                      MATCH(S$26,Tbl_MeasureList[#Headers],0)),
       IF(Tbl_BCROutputs_Electric[[#This Row],[Savings Stream]]="Retire",
             INDEX(Tbl_MeasureList[],MATCH(Tbl_BCROutputs_Electric[[#This Row],[Measure ID]:[Measure ID]],Tbl_MeasureList[[Measure ID]:[Measure ID]],0),MATCH(S$25,Tbl_MeasureList[#Headers],0)),
             INDEX(Tbl_MeasureList[],MATCH(Tbl_BCROutputs_Electric[[#This Row],[Measure ID]:[Measure ID]],Tbl_MeasureList[[Measure ID]:[Measure ID]],0),MATCH(S$24,Tbl_MeasureList[#Headers],0))))</f>
        <v>58.705942073138566</v>
      </c>
      <c r="T13" s="638">
        <f ca="1">IF(Tbl_BCROutputs_Electric[[#This Row],[Replacement Type]]="Partial Displacement",
        INDEX(Tbl_MeasureList[[Measure ID]:[Current ER (EE) High Measure Gas Fuel Savings (1,000 cu.ft. gas/year)]],
                      MATCH(Tbl_BCROutputs_Electric[[#This Row],[Measure ID]:[Measure ID]],Tbl_MeasureList[[Measure ID]:[Measure ID]],0),
                      MATCH(T$26,Tbl_MeasureList[#Headers],0)),
       IF(Tbl_BCROutputs_Electric[[#This Row],[Savings Stream]]="Retire",
              INDEX(Tbl_MeasureList[],MATCH(Tbl_BCROutputs_Electric[[#This Row],[Measure ID]:[Measure ID]],Tbl_MeasureList[[Measure ID]:[Measure ID]],0),MATCH(T$25,Tbl_MeasureList[#Headers],0)),
              INDEX(Tbl_MeasureList[],MATCH(Tbl_BCROutputs_Electric[[#This Row],[Measure ID]:[Measure ID]],Tbl_MeasureList[[Measure ID]:[Measure ID]],0),MATCH(T$24,Tbl_MeasureList[#Headers],0))
            ))</f>
        <v>0</v>
      </c>
      <c r="U13" s="397">
        <f ca="1">IF(Tbl_BCROutputs_Electric[[#This Row],[Replacement Type]]="Partial Displacement",
        INDEX(Tbl_MeasureList[[Measure ID]:[Current ER (EE) High Measure Gas Fuel Savings (1,000 cu.ft. gas/year)]],
                      MATCH(Tbl_BCROutputs_Electric[[#This Row],[Measure ID]:[Measure ID]],Tbl_MeasureList[[Measure ID]:[Measure ID]],0),
                      MATCH(U$26,Tbl_MeasureList[#Headers],0)),
       IF(Tbl_BCROutputs_Electric[[#This Row],[Savings Stream]]="Retire",
              INDEX(Tbl_MeasureList[],MATCH(Tbl_BCROutputs_Electric[[#This Row],[Measure ID]:[Measure ID]],Tbl_MeasureList[[Measure ID]:[Measure ID]],0),MATCH(U$25,Tbl_MeasureList[#Headers],0)),
              INDEX(Tbl_MeasureList[],MATCH(Tbl_BCROutputs_Electric[[#This Row],[Measure ID]:[Measure ID]],Tbl_MeasureList[[Measure ID]:[Measure ID]],0),MATCH(U$24,Tbl_MeasureList[#Headers],0))
            ))</f>
        <v>82.409638554216883</v>
      </c>
      <c r="V13" s="639">
        <f ca="1">IF(OR(Tbl_BCROutputs_Electric[[#This Row],[Replacement Type]]="Partial Displacement",Tbl_BCROutputs_Electric[[#This Row],[Savings Stream]]="EE"),
        INDEX(Tbl_MeasureList[[Measure ID]:[Current ER (EE) High Measure Gas Fuel Savings (1,000 cu.ft. gas/year)]],
                      MATCH(Tbl_BCROutputs_Electric[[#This Row],[Measure ID]:[Measure ID]],Tbl_MeasureList[[Measure ID]:[Measure ID]],0),
                      MATCH(V$10,Tbl_MeasureList[#Headers],0)),
      0)</f>
        <v>0</v>
      </c>
      <c r="W13" s="640">
        <f ca="1">IF(OR(Tbl_BCROutputs_Electric[[#This Row],[Replacement Type]]="Partial Displacement",Tbl_BCROutputs_Electric[[#This Row],[Savings Stream]]="EE"),
        INDEX(Tbl_MeasureList[[Measure ID]:[Current ER (EE) High Measure Gas Fuel Savings (1,000 cu.ft. gas/year)]],
                      MATCH(Tbl_BCROutputs_Electric[[#This Row],[Measure ID]:[Measure ID]],Tbl_MeasureList[[Measure ID]:[Measure ID]],0),
                      MATCH(W$10,Tbl_MeasureList[#Headers],0)),
       0)</f>
        <v>82.409638554216883</v>
      </c>
      <c r="X13" s="636">
        <f ca="1">IF(Tbl_BCROutputs_Electric[[#This Row],[Replacement Type]]="Partial Displacement",
        INDEX(Tbl_MeasureList[[Measure ID]:[Current ER (EE) High Measure Gas Fuel Savings (1,000 cu.ft. gas/year)]],
                      MATCH(Tbl_BCROutputs_Electric[[#This Row],[Measure ID]:[Measure ID]],Tbl_MeasureList[[Measure ID]:[Measure ID]],0),
                      MATCH(X$26,Tbl_MeasureList[#Headers],0)),
       IF(Tbl_BCROutputs_Electric[[#This Row],[Savings Stream]]="Retire",
              INDEX(Tbl_MeasureList[],MATCH(Tbl_BCROutputs_Electric[[#This Row],[Measure ID]:[Measure ID]],Tbl_MeasureList[[Measure ID]:[Measure ID]],0),MATCH(X$25,Tbl_MeasureList[#Headers],0)),
              INDEX(Tbl_MeasureList[],MATCH(Tbl_BCROutputs_Electric[[#This Row],[Measure ID]:[Measure ID]],Tbl_MeasureList[[Measure ID]:[Measure ID]],0),MATCH(X$24,Tbl_MeasureList[#Headers],0))
            ))</f>
        <v>-7330.8197946106839</v>
      </c>
      <c r="Y13" s="641">
        <f ca="1">IF(Tbl_BCROutputs_Electric[[#This Row],[Replacement Type]]="Partial Displacement",
        INDEX(Tbl_MeasureList[[Measure ID]:[Current ER (EE) High Measure Gas Fuel Savings (1,000 cu.ft. gas/year)]],
                      MATCH(Tbl_BCROutputs_Electric[[#This Row],[Measure ID]:[Measure ID]],Tbl_MeasureList[[Measure ID]:[Measure ID]],0),
                      MATCH(Y$26,Tbl_MeasureList[#Headers],0)),
       IF(Tbl_BCROutputs_Electric[[#This Row],[Savings Stream]]="Retire",
              INDEX(Tbl_MeasureList[],MATCH(Tbl_BCROutputs_Electric[[#This Row],[Measure ID]:[Measure ID]],Tbl_MeasureList[[Measure ID]:[Measure ID]],0),MATCH(Y$25,Tbl_MeasureList[#Headers],0)),
              INDEX(Tbl_MeasureList[],MATCH(Tbl_BCROutputs_Electric[[#This Row],[Measure ID]:[Measure ID]],Tbl_MeasureList[[Measure ID]:[Measure ID]],0),MATCH(Y$24,Tbl_MeasureList[#Headers],0))
            ))</f>
        <v>383.66373333333343</v>
      </c>
      <c r="Z13" s="396">
        <f ca="1">IF(Tbl_BCROutputs_Electric[[#This Row],[Replacement Type]]="Partial Displacement",
        INDEX(Tbl_MeasureList[[Measure ID]:[Current ER (EE) High Measure Gas Fuel Savings (1,000 cu.ft. gas/year)]],
                      MATCH(Tbl_BCROutputs_Electric[[#This Row],[Measure ID]:[Measure ID]],Tbl_MeasureList[[Measure ID]:[Measure ID]],0),
                      MATCH(Z$26,Tbl_MeasureList[#Headers],0)),
       IF(Tbl_BCROutputs_Electric[[#This Row],[Savings Stream]]="Retire",
              INDEX(Tbl_MeasureList[],MATCH(Tbl_BCROutputs_Electric[[#This Row],[Measure ID]:[Measure ID]],Tbl_MeasureList[[Measure ID]:[Measure ID]],0),MATCH(Z$25,Tbl_MeasureList[#Headers],0)),
              INDEX(Tbl_MeasureList[],MATCH(Tbl_BCROutputs_Electric[[#This Row],[Measure ID]:[Measure ID]],Tbl_MeasureList[[Measure ID]:[Measure ID]],0),MATCH(Z$24,Tbl_MeasureList[#Headers],0))
            ))</f>
        <v>-2.6428571428571432</v>
      </c>
      <c r="AA13" s="654">
        <f ca="1">IF(Tbl_BCROutputs_Electric[[#This Row],[Replacement Type]]="Partial Displacement",
        INDEX(Tbl_MeasureList[[Measure ID]:[Current ER (EE) High Measure Gas Fuel Savings (1,000 cu.ft. gas/year)]],
                      MATCH(Tbl_BCROutputs_Electric[[#This Row],[Measure ID]:[Measure ID]],Tbl_MeasureList[[Measure ID]:[Measure ID]],0),
                      MATCH(AA$26,Tbl_MeasureList[#Headers],0)),
       IF(Tbl_BCROutputs_Electric[[#This Row],[Savings Stream]]="Retire",
              INDEX(Tbl_MeasureList[],MATCH(Tbl_BCROutputs_Electric[[#This Row],[Measure ID]:[Measure ID]],Tbl_MeasureList[[Measure ID]:[Measure ID]],0),MATCH(AA$25,Tbl_MeasureList[#Headers],0)),
              INDEX(Tbl_MeasureList[],MATCH(Tbl_BCROutputs_Electric[[#This Row],[Measure ID]:[Measure ID]],Tbl_MeasureList[[Measure ID]:[Measure ID]],0),MATCH(AA$24,Tbl_MeasureList[#Headers],0))
            ))</f>
        <v>-0.55451550582750575</v>
      </c>
      <c r="AB13" s="655">
        <f>IF(Tbl_BCROutputs_Electric[[#This Row],[Replacement Fuel]]="Electric+Oil", INPUT_OILHEATSWITCHOVER,
         IF(Tbl_BCROutputs_Electric[[#This Row],[Replacement Fuel]]="Electric+Propane", INPUT_PROPANEHEATSWITCHOVER,
                IF(Tbl_BCROutputs_Electric[[#This Row],[Replacement Fuel]]="Electric+Gas", INPUT_GASHEATSWITCHOVER,
                       IF(Tbl_BCROutputs_Electric[[#This Row],[Replacement Fuel]]="Electric", INPUT_RESISTANCEHEAT_SWITCHOVER,0))))</f>
        <v>0</v>
      </c>
    </row>
    <row r="14" spans="1:63" s="581" customFormat="1" x14ac:dyDescent="0.2">
      <c r="B14" s="582"/>
      <c r="C14" s="583" t="s">
        <v>86</v>
      </c>
      <c r="D14" s="642" t="s">
        <v>1218</v>
      </c>
      <c r="E14" s="643" t="str">
        <f>INDEX(Tbl_MeasureList[],MATCH(Tbl_BCROutputs_Electric[[#This Row],[Measure ID]],Tbl_MeasureList[[Measure ID]:[Measure ID]],0),MATCH(Tbl_BCROutputs_Electric[[#Headers],[Replacement ID]],Tbl_MeasureList[#Headers],0))</f>
        <v>EQUI007</v>
      </c>
      <c r="F14" s="643" t="str">
        <f>INDEX(Tbl_MeasureList[[Measure ID]:[Current ER (EE) High Measure Gas Fuel Savings (1,000 cu.ft. gas/year)]],
               MATCH(Tbl_BCROutputs_Electric[[#This Row],[Measure ID]:[Measure ID]],Tbl_MeasureList[[Measure ID]:[Measure ID]],0),
               MATCH(F$10,Tbl_MeasureList[#Headers],0))</f>
        <v>Baseline A/C Blend+Oil Furnace</v>
      </c>
      <c r="G14" s="644" t="str">
        <f>INDEX(Tbl_MeasureList[[Measure ID]:[Current ER (EE) High Measure Gas Fuel Savings (1,000 cu.ft. gas/year)]],
               MATCH(Tbl_BCROutputs_Electric[[#This Row],[Measure ID]:[Measure ID]],Tbl_MeasureList[[Measure ID]:[Measure ID]],0),
               MATCH(G$10,Tbl_MeasureList[#Headers],0))</f>
        <v>Central HP</v>
      </c>
      <c r="H14" s="644" t="str">
        <f>INDEX(Tbl_MeasureList[Replacement Fuel 1],MATCH(Tbl_BCROutputs_Electric[[#This Row],[Measure ID]],Tbl_MeasureList[Measure ID],0))&amp;
  IF(INDEX(Tbl_MeasureList[Replacement Fuel 2],MATCH(Tbl_BCROutputs_Electric[[#This Row],[Measure ID]],Tbl_MeasureList[Measure ID],0))&lt;&gt;"-",
       "+"&amp;INDEX(Tbl_MeasureList[Replacement Fuel 2],MATCH(Tbl_BCROutputs_Electric[[#This Row],[Measure ID]],Tbl_MeasureList[Measure ID],0)),"")</f>
        <v>Electric</v>
      </c>
      <c r="I14" s="645" t="str">
        <f>IF(Tbl_BCROutputs_Electric[[#This Row],[Replacement Fuel]]="Natural Gas",INDEX(Tbl_EquipmentDefinitions[Natural Gas High Measure Efficiency],MATCH(Tbl_BCROutputs_Electric[[#This Row],[Replacement ID]],Tbl_EquipmentDefinitions[Equipment ID],0)),
  IF(Tbl_BCROutputs_Electric[[#This Row],[Replacement Fuel]]="Electric",INDEX(Tbl_EquipmentDefinitions[Electricity High Measure Efficiency],MATCH(Tbl_BCROutputs_Electric[[#This Row],[Replacement ID]],Tbl_EquipmentDefinitions[Equipment ID],0)),
  IF(Tbl_BCROutputs_Electric[[#This Row],[Replacement Fuel]]="Electric+Oil",
        INDEX(Tbl_EquipmentDefinitions[Electricity High Measure Efficiency],MATCH(Tbl_BCROutputs_Electric[[#This Row],[Replacement ID]],Tbl_EquipmentDefinitions[Equipment ID],0))&amp;CHAR(10)&amp;
        INDEX(Tbl_EquipmentDefinitions[Oil Baseline Efficiency],MATCH(Tbl_BCROutputs_Electric[[#This Row],[Replacement ID]],Tbl_EquipmentDefinitions[Equipment ID],0)),
  IF(Tbl_BCROutputs_Electric[[#This Row],[Replacement Fuel]]="Electric+Propane",
        INDEX(Tbl_EquipmentDefinitions[Electricity High Measure Efficiency],MATCH(Tbl_BCROutputs_Electric[[#This Row],[Replacement ID]],Tbl_EquipmentDefinitions[Equipment ID],0))&amp;CHAR(10)&amp;
        INDEX(Tbl_EquipmentDefinitions[Propane Baseline Efficiency],MATCH(Tbl_BCROutputs_Electric[[#This Row],[Replacement ID]],Tbl_EquipmentDefinitions[Equipment ID],0)),
  IF(Tbl_BCROutputs_Electric[[#This Row],[Replacement Fuel]]="Electric+Electric",INDEX(Tbl_EquipmentDefinitions[Electricity High Measure Efficiency],MATCH(Tbl_BCROutputs_Electric[[#This Row],[Replacement ID]],Tbl_EquipmentDefinitions[Equipment ID],0)),
)))))</f>
        <v>18 SEER/9.6 HSPF</v>
      </c>
      <c r="J14" s="83" t="str">
        <f>INDEX(Tbl_MeasureList[[Measure ID]:[Current ER (EE) High Measure Gas Fuel Savings (1,000 cu.ft. gas/year)]],
               MATCH(Tbl_BCROutputs_Electric[[#This Row],[Measure ID]:[Measure ID]],Tbl_MeasureList[[Measure ID]:[Measure ID]],0),
               MATCH(J$10,Tbl_MeasureList[#Headers],0))</f>
        <v>No</v>
      </c>
      <c r="K14" s="646" t="str">
        <f>IF(Tbl_BCROutputs_Electric[[#This Row],[Keep Existing Heating Equipment?]]="Yes","Partial Displacement","Full Replacement")</f>
        <v>Full Replacement</v>
      </c>
      <c r="L14" s="631">
        <f>IF(Tbl_BCROutputs_Electric[[#This Row],[Replacement Type]]="Partial Displacement",
        INDEX(Tbl_EquipmentDefinitions[New Unit Equipment Life (years)],
                       MATCH(INDEX(Tbl_MeasureList[[Measure ID]:[Current ER (EE) High Measure Gas Fuel Savings (1,000 cu.ft. gas/year)]],
                                                      MATCH(Tbl_BCROutputs_Electric[[#This Row],[Measure ID]:[Measure ID]],Tbl_MeasureList[Measure ID],0),
                                                      MATCH(L$24,Tbl_MeasureList[#Headers],0)),
                                        Tbl_EquipmentDefinitions[Equipment ID],
                                        0)),
        IF(Tbl_BCROutputs_Electric[[#This Row],[Savings Stream]]="Retire",
             INDEX(Tbl_MeasureList[],MATCH(Tbl_BCROutputs_Electric[[#This Row],[Measure ID]],Tbl_MeasureList[[Measure ID]:[Measure ID]],0),MATCH($L$26,Tbl_MeasureList[#Headers],0)),
             INDEX(Tbl_MeasureList[],MATCH(Tbl_BCROutputs_Electric[[#This Row],[Measure ID]],Tbl_MeasureList[[Measure ID]:[Measure ID]],0),MATCH($L$25,Tbl_MeasureList[#Headers],0)))
        )</f>
        <v>6</v>
      </c>
      <c r="M14" s="632">
        <f>IF(Tbl_BCROutputs_Electric[[#This Row],[Replacement Type]]="Partial Displacement",
       INDEX(Tbl_MeasureList[[Measure ID]:[Current ER (EE) High Measure Gas Fuel Savings (1,000 cu.ft. gas/year)]],
                      MATCH(Tbl_BCROutputs_Electric[[#This Row],[Measure ID]:[Measure ID]],Tbl_MeasureList[[Measure ID]:[Measure ID]],0),
                      MATCH(M$25,Tbl_MeasureList[#Headers],0)),
       IF(Tbl_BCROutputs_Electric[[#This Row],[Savings Stream]]="Retire",0,
              INDEX(Tbl_MeasureList[[Measure ID]:[Current ER (EE) High Measure Gas Fuel Savings (1,000 cu.ft. gas/year)]],
                      MATCH(Tbl_BCROutputs_Electric[[#This Row],[Measure ID]:[Measure ID]],Tbl_MeasureList[[Measure ID]:[Measure ID]],0),
                      MATCH(M$24,Tbl_MeasureList[#Headers],0))))</f>
        <v>0</v>
      </c>
      <c r="N14" s="633">
        <f>IF(Tbl_BCROutputs_Electric[[#This Row],[Replacement Type]]="Partial Displacement",INPUT_SYSTEMINTEGRATIONCOST,0)</f>
        <v>0</v>
      </c>
      <c r="O14" s="634">
        <f>IF(AND(ISNUMBER(SEARCH("DMSHP",Tbl_BCROutputs_Electric[[#This Row],[Replacement Name]])),Tbl_BCROutputs_Electric[[#This Row],[Savings Stream]]="EE"),INPUT_ELECTRICALSYSTEMUPGRADECOST,0)</f>
        <v>0</v>
      </c>
      <c r="P14" s="394">
        <f>IF(OR(Tbl_BCROutputs_Electric[[#This Row],[Replacement Type]]="Partial Displacement",Tbl_BCROutputs_Electric[[#This Row],[Savings Stream]]="EE"),
        INDEX(Tbl_MeasureList[[Measure ID]:[Current ER (EE) High Measure Gas Fuel Savings (1,000 cu.ft. gas/year)]],
                      MATCH(Tbl_BCROutputs_Electric[[#This Row],[Measure ID]],Tbl_MeasureList[[Measure ID]:[Measure ID]],0),
                      MATCH(P$24,Tbl_MeasureList[#Headers],0)),
        0
       )</f>
        <v>0</v>
      </c>
      <c r="Q14" s="635">
        <f>IF(Tbl_BCROutputs_Electric[[#This Row],[Total Cost New Equipment, not including deferred replacement (USD)]]="-","-",Tbl_BCROutputs_Electric[[#This Row],[Total Cost New Equipment, not including deferred replacement (USD)]]-Tbl_BCROutputs_Electric[[#This Row],[Deferred Replacement Credit (USD)]])</f>
        <v>0</v>
      </c>
      <c r="R14" s="636">
        <f>IF(Tbl_BCROutputs_Electric[[#This Row],[Replacement Type]]="Partial Displacement",
        INDEX(Tbl_MeasureList[[Measure ID]:[Current ER (EE) High Measure Gas Fuel Savings (1,000 cu.ft. gas/year)]],
                      MATCH(Tbl_BCROutputs_Electric[[#This Row],[Measure ID]:[Measure ID]],Tbl_MeasureList[[Measure ID]:[Measure ID]],0),
                      MATCH(R$26,Tbl_MeasureList[#Headers],0)),
        IF(Tbl_BCROutputs_Electric[[#This Row],[Savings Stream]]="Retire",
              INDEX(Tbl_MeasureList[],MATCH(Tbl_BCROutputs_Electric[[#This Row],[Measure ID]:[Measure ID]],Tbl_MeasureList[[Measure ID]:[Measure ID]],0),MATCH(R$25,Tbl_MeasureList[#Headers],0)),
              INDEX(Tbl_MeasureList[],MATCH(Tbl_BCROutputs_Electric[[#This Row],[Measure ID]:[Measure ID]],Tbl_MeasureList[[Measure ID]:[Measure ID]],0),MATCH(R$24,Tbl_MeasureList[#Headers],0))
            )
       )</f>
        <v>296.27584000000002</v>
      </c>
      <c r="S14" s="637">
        <f>IF(Tbl_BCROutputs_Electric[[#This Row],[Replacement Type]]="Partial Displacement",
        INDEX(Tbl_MeasureList[[Measure ID]:[Current ER (EE) High Measure Gas Fuel Savings (1,000 cu.ft. gas/year)]],
                      MATCH(Tbl_BCROutputs_Electric[[#This Row],[Measure ID]:[Measure ID]],Tbl_MeasureList[[Measure ID]:[Measure ID]],0),
                      MATCH(S$26,Tbl_MeasureList[#Headers],0)),
       IF(Tbl_BCROutputs_Electric[[#This Row],[Savings Stream]]="Retire",
             INDEX(Tbl_MeasureList[],MATCH(Tbl_BCROutputs_Electric[[#This Row],[Measure ID]:[Measure ID]],Tbl_MeasureList[[Measure ID]:[Measure ID]],0),MATCH(S$25,Tbl_MeasureList[#Headers],0)),
             INDEX(Tbl_MeasureList[],MATCH(Tbl_BCROutputs_Electric[[#This Row],[Measure ID]:[Measure ID]],Tbl_MeasureList[[Measure ID]:[Measure ID]],0),MATCH(S$24,Tbl_MeasureList[#Headers],0))))</f>
        <v>5.2932698209885842</v>
      </c>
      <c r="T14" s="638">
        <f>IF(Tbl_BCROutputs_Electric[[#This Row],[Replacement Type]]="Partial Displacement",
        INDEX(Tbl_MeasureList[[Measure ID]:[Current ER (EE) High Measure Gas Fuel Savings (1,000 cu.ft. gas/year)]],
                      MATCH(Tbl_BCROutputs_Electric[[#This Row],[Measure ID]:[Measure ID]],Tbl_MeasureList[[Measure ID]:[Measure ID]],0),
                      MATCH(T$26,Tbl_MeasureList[#Headers],0)),
       IF(Tbl_BCROutputs_Electric[[#This Row],[Savings Stream]]="Retire",
              INDEX(Tbl_MeasureList[],MATCH(Tbl_BCROutputs_Electric[[#This Row],[Measure ID]:[Measure ID]],Tbl_MeasureList[[Measure ID]:[Measure ID]],0),MATCH(T$25,Tbl_MeasureList[#Headers],0)),
              INDEX(Tbl_MeasureList[],MATCH(Tbl_BCROutputs_Electric[[#This Row],[Measure ID]:[Measure ID]],Tbl_MeasureList[[Measure ID]:[Measure ID]],0),MATCH(T$24,Tbl_MeasureList[#Headers],0))
            ))</f>
        <v>0</v>
      </c>
      <c r="U14" s="397">
        <f>IF(Tbl_BCROutputs_Electric[[#This Row],[Replacement Type]]="Partial Displacement",
        INDEX(Tbl_MeasureList[[Measure ID]:[Current ER (EE) High Measure Gas Fuel Savings (1,000 cu.ft. gas/year)]],
                      MATCH(Tbl_BCROutputs_Electric[[#This Row],[Measure ID]:[Measure ID]],Tbl_MeasureList[[Measure ID]:[Measure ID]],0),
                      MATCH(U$26,Tbl_MeasureList[#Headers],0)),
       IF(Tbl_BCROutputs_Electric[[#This Row],[Savings Stream]]="Retire",
              INDEX(Tbl_MeasureList[],MATCH(Tbl_BCROutputs_Electric[[#This Row],[Measure ID]:[Measure ID]],Tbl_MeasureList[[Measure ID]:[Measure ID]],0),MATCH(U$25,Tbl_MeasureList[#Headers],0)),
              INDEX(Tbl_MeasureList[],MATCH(Tbl_BCROutputs_Electric[[#This Row],[Measure ID]:[Measure ID]],Tbl_MeasureList[[Measure ID]:[Measure ID]],0),MATCH(U$24,Tbl_MeasureList[#Headers],0))
            ))</f>
        <v>4.2823766549085889</v>
      </c>
      <c r="V14" s="639">
        <f>IF(OR(Tbl_BCROutputs_Electric[[#This Row],[Replacement Type]]="Partial Displacement",Tbl_BCROutputs_Electric[[#This Row],[Savings Stream]]="EE"),
        INDEX(Tbl_MeasureList[[Measure ID]:[Current ER (EE) High Measure Gas Fuel Savings (1,000 cu.ft. gas/year)]],
                      MATCH(Tbl_BCROutputs_Electric[[#This Row],[Measure ID]:[Measure ID]],Tbl_MeasureList[[Measure ID]:[Measure ID]],0),
                      MATCH(V$10,Tbl_MeasureList[#Headers],0)),
      0)</f>
        <v>0</v>
      </c>
      <c r="W14" s="640">
        <f>IF(OR(Tbl_BCROutputs_Electric[[#This Row],[Replacement Type]]="Partial Displacement",Tbl_BCROutputs_Electric[[#This Row],[Savings Stream]]="EE"),
        INDEX(Tbl_MeasureList[[Measure ID]:[Current ER (EE) High Measure Gas Fuel Savings (1,000 cu.ft. gas/year)]],
                      MATCH(Tbl_BCROutputs_Electric[[#This Row],[Measure ID]:[Measure ID]],Tbl_MeasureList[[Measure ID]:[Measure ID]],0),
                      MATCH(W$10,Tbl_MeasureList[#Headers],0)),
       0)</f>
        <v>0</v>
      </c>
      <c r="X14" s="636">
        <f>IF(Tbl_BCROutputs_Electric[[#This Row],[Replacement Type]]="Partial Displacement",
        INDEX(Tbl_MeasureList[[Measure ID]:[Current ER (EE) High Measure Gas Fuel Savings (1,000 cu.ft. gas/year)]],
                      MATCH(Tbl_BCROutputs_Electric[[#This Row],[Measure ID]:[Measure ID]],Tbl_MeasureList[[Measure ID]:[Measure ID]],0),
                      MATCH(X$26,Tbl_MeasureList[#Headers],0)),
       IF(Tbl_BCROutputs_Electric[[#This Row],[Savings Stream]]="Retire",
              INDEX(Tbl_MeasureList[],MATCH(Tbl_BCROutputs_Electric[[#This Row],[Measure ID]:[Measure ID]],Tbl_MeasureList[[Measure ID]:[Measure ID]],0),MATCH(X$25,Tbl_MeasureList[#Headers],0)),
              INDEX(Tbl_MeasureList[],MATCH(Tbl_BCROutputs_Electric[[#This Row],[Measure ID]:[Measure ID]],Tbl_MeasureList[[Measure ID]:[Measure ID]],0),MATCH(X$24,Tbl_MeasureList[#Headers],0))
            ))</f>
        <v>2.0500000000000114</v>
      </c>
      <c r="Y14" s="641">
        <f>IF(Tbl_BCROutputs_Electric[[#This Row],[Replacement Type]]="Partial Displacement",
        INDEX(Tbl_MeasureList[[Measure ID]:[Current ER (EE) High Measure Gas Fuel Savings (1,000 cu.ft. gas/year)]],
                      MATCH(Tbl_BCROutputs_Electric[[#This Row],[Measure ID]:[Measure ID]],Tbl_MeasureList[[Measure ID]:[Measure ID]],0),
                      MATCH(Y$26,Tbl_MeasureList[#Headers],0)),
       IF(Tbl_BCROutputs_Electric[[#This Row],[Savings Stream]]="Retire",
              INDEX(Tbl_MeasureList[],MATCH(Tbl_BCROutputs_Electric[[#This Row],[Measure ID]:[Measure ID]],Tbl_MeasureList[[Measure ID]:[Measure ID]],0),MATCH(Y$25,Tbl_MeasureList[#Headers],0)),
              INDEX(Tbl_MeasureList[],MATCH(Tbl_BCROutputs_Electric[[#This Row],[Measure ID]:[Measure ID]],Tbl_MeasureList[[Measure ID]:[Measure ID]],0),MATCH(Y$24,Tbl_MeasureList[#Headers],0))
            ))</f>
        <v>294.22584000000006</v>
      </c>
      <c r="Z14" s="396">
        <f>IF(Tbl_BCROutputs_Electric[[#This Row],[Replacement Type]]="Partial Displacement",
        INDEX(Tbl_MeasureList[[Measure ID]:[Current ER (EE) High Measure Gas Fuel Savings (1,000 cu.ft. gas/year)]],
                      MATCH(Tbl_BCROutputs_Electric[[#This Row],[Measure ID]:[Measure ID]],Tbl_MeasureList[[Measure ID]:[Measure ID]],0),
                      MATCH(Z$26,Tbl_MeasureList[#Headers],0)),
       IF(Tbl_BCROutputs_Electric[[#This Row],[Savings Stream]]="Retire",
              INDEX(Tbl_MeasureList[],MATCH(Tbl_BCROutputs_Electric[[#This Row],[Measure ID]:[Measure ID]],Tbl_MeasureList[[Measure ID]:[Measure ID]],0),MATCH(Z$25,Tbl_MeasureList[#Headers],0)),
              INDEX(Tbl_MeasureList[],MATCH(Tbl_BCROutputs_Electric[[#This Row],[Measure ID]:[Measure ID]],Tbl_MeasureList[[Measure ID]:[Measure ID]],0),MATCH(Z$24,Tbl_MeasureList[#Headers],0))
            ))</f>
        <v>3.1447746883989103E-4</v>
      </c>
      <c r="AA14" s="654">
        <f>IF(Tbl_BCROutputs_Electric[[#This Row],[Replacement Type]]="Partial Displacement",
        INDEX(Tbl_MeasureList[[Measure ID]:[Current ER (EE) High Measure Gas Fuel Savings (1,000 cu.ft. gas/year)]],
                      MATCH(Tbl_BCROutputs_Electric[[#This Row],[Measure ID]:[Measure ID]],Tbl_MeasureList[[Measure ID]:[Measure ID]],0),
                      MATCH(AA$26,Tbl_MeasureList[#Headers],0)),
       IF(Tbl_BCROutputs_Electric[[#This Row],[Savings Stream]]="Retire",
              INDEX(Tbl_MeasureList[],MATCH(Tbl_BCROutputs_Electric[[#This Row],[Measure ID]:[Measure ID]],Tbl_MeasureList[[Measure ID]:[Measure ID]],0),MATCH(AA$25,Tbl_MeasureList[#Headers],0)),
              INDEX(Tbl_MeasureList[],MATCH(Tbl_BCROutputs_Electric[[#This Row],[Measure ID]:[Measure ID]],Tbl_MeasureList[[Measure ID]:[Measure ID]],0),MATCH(AA$24,Tbl_MeasureList[#Headers],0))
            ))</f>
        <v>0.39502639572192488</v>
      </c>
      <c r="AB14" s="655">
        <f>IF(Tbl_BCROutputs_Electric[[#This Row],[Replacement Fuel]]="Electric+Oil", INPUT_OILHEATSWITCHOVER,
         IF(Tbl_BCROutputs_Electric[[#This Row],[Replacement Fuel]]="Electric+Propane", INPUT_PROPANEHEATSWITCHOVER,
                IF(Tbl_BCROutputs_Electric[[#This Row],[Replacement Fuel]]="Electric+Gas", INPUT_GASHEATSWITCHOVER,
                       IF(Tbl_BCROutputs_Electric[[#This Row],[Replacement Fuel]]="Electric", INPUT_RESISTANCEHEAT_SWITCHOVER,0))))</f>
        <v>0</v>
      </c>
    </row>
    <row r="15" spans="1:63" s="581" customFormat="1" x14ac:dyDescent="0.2">
      <c r="B15" s="582"/>
      <c r="C15" s="583" t="s">
        <v>87</v>
      </c>
      <c r="D15" s="583" t="s">
        <v>1216</v>
      </c>
      <c r="E15" s="83" t="str">
        <f>INDEX(Tbl_MeasureList[],MATCH(Tbl_BCROutputs_Electric[[#This Row],[Measure ID]],Tbl_MeasureList[[Measure ID]:[Measure ID]],0),MATCH(Tbl_BCROutputs_Electric[[#Headers],[Replacement ID]],Tbl_MeasureList[#Headers],0))</f>
        <v>EQUI007</v>
      </c>
      <c r="F15" s="83" t="str">
        <f>INDEX(Tbl_MeasureList[[Measure ID]:[Current ER (EE) High Measure Gas Fuel Savings (1,000 cu.ft. gas/year)]],
               MATCH(Tbl_BCROutputs_Electric[[#This Row],[Measure ID]:[Measure ID]],Tbl_MeasureList[[Measure ID]:[Measure ID]],0),
               MATCH(F$10,Tbl_MeasureList[#Headers],0))</f>
        <v>Baseline A/C Blend+Propane Furnace</v>
      </c>
      <c r="G15" s="83" t="str">
        <f>INDEX(Tbl_MeasureList[[Measure ID]:[Current ER (EE) High Measure Gas Fuel Savings (1,000 cu.ft. gas/year)]],
               MATCH(Tbl_BCROutputs_Electric[[#This Row],[Measure ID]:[Measure ID]],Tbl_MeasureList[[Measure ID]:[Measure ID]],0),
               MATCH(G$10,Tbl_MeasureList[#Headers],0))</f>
        <v>Central HP</v>
      </c>
      <c r="H15" s="83" t="str">
        <f>INDEX(Tbl_MeasureList[Replacement Fuel 1],MATCH(Tbl_BCROutputs_Electric[[#This Row],[Measure ID]],Tbl_MeasureList[Measure ID],0))&amp;
  IF(INDEX(Tbl_MeasureList[Replacement Fuel 2],MATCH(Tbl_BCROutputs_Electric[[#This Row],[Measure ID]],Tbl_MeasureList[Measure ID],0))&lt;&gt;"-",
       "+"&amp;INDEX(Tbl_MeasureList[Replacement Fuel 2],MATCH(Tbl_BCROutputs_Electric[[#This Row],[Measure ID]],Tbl_MeasureList[Measure ID],0)),"")</f>
        <v>Electric</v>
      </c>
      <c r="I15" s="629" t="str">
        <f>IF(Tbl_BCROutputs_Electric[[#This Row],[Replacement Fuel]]="Natural Gas",INDEX(Tbl_EquipmentDefinitions[Natural Gas High Measure Efficiency],MATCH(Tbl_BCROutputs_Electric[[#This Row],[Replacement ID]],Tbl_EquipmentDefinitions[Equipment ID],0)),
  IF(Tbl_BCROutputs_Electric[[#This Row],[Replacement Fuel]]="Electric",INDEX(Tbl_EquipmentDefinitions[Electricity High Measure Efficiency],MATCH(Tbl_BCROutputs_Electric[[#This Row],[Replacement ID]],Tbl_EquipmentDefinitions[Equipment ID],0)),
  IF(Tbl_BCROutputs_Electric[[#This Row],[Replacement Fuel]]="Electric+Oil",
        INDEX(Tbl_EquipmentDefinitions[Electricity High Measure Efficiency],MATCH(Tbl_BCROutputs_Electric[[#This Row],[Replacement ID]],Tbl_EquipmentDefinitions[Equipment ID],0))&amp;CHAR(10)&amp;
        INDEX(Tbl_EquipmentDefinitions[Oil Baseline Efficiency],MATCH(Tbl_BCROutputs_Electric[[#This Row],[Replacement ID]],Tbl_EquipmentDefinitions[Equipment ID],0)),
  IF(Tbl_BCROutputs_Electric[[#This Row],[Replacement Fuel]]="Electric+Propane",
        INDEX(Tbl_EquipmentDefinitions[Electricity High Measure Efficiency],MATCH(Tbl_BCROutputs_Electric[[#This Row],[Replacement ID]],Tbl_EquipmentDefinitions[Equipment ID],0))&amp;CHAR(10)&amp;
        INDEX(Tbl_EquipmentDefinitions[Propane Baseline Efficiency],MATCH(Tbl_BCROutputs_Electric[[#This Row],[Replacement ID]],Tbl_EquipmentDefinitions[Equipment ID],0)),
  IF(Tbl_BCROutputs_Electric[[#This Row],[Replacement Fuel]]="Electric+Electric",INDEX(Tbl_EquipmentDefinitions[Electricity High Measure Efficiency],MATCH(Tbl_BCROutputs_Electric[[#This Row],[Replacement ID]],Tbl_EquipmentDefinitions[Equipment ID],0)),
)))))</f>
        <v>18 SEER/9.6 HSPF</v>
      </c>
      <c r="J15" s="83" t="str">
        <f>INDEX(Tbl_MeasureList[[Measure ID]:[Current ER (EE) High Measure Gas Fuel Savings (1,000 cu.ft. gas/year)]],
               MATCH(Tbl_BCROutputs_Electric[[#This Row],[Measure ID]:[Measure ID]],Tbl_MeasureList[[Measure ID]:[Measure ID]],0),
               MATCH(J$10,Tbl_MeasureList[#Headers],0))</f>
        <v>No</v>
      </c>
      <c r="K15" s="630" t="str">
        <f>IF(Tbl_BCROutputs_Electric[[#This Row],[Keep Existing Heating Equipment?]]="Yes","Partial Displacement","Full Replacement")</f>
        <v>Full Replacement</v>
      </c>
      <c r="L15" s="631">
        <f>IF(Tbl_BCROutputs_Electric[[#This Row],[Replacement Type]]="Partial Displacement",
        INDEX(Tbl_EquipmentDefinitions[New Unit Equipment Life (years)],
                       MATCH(INDEX(Tbl_MeasureList[[Measure ID]:[Current ER (EE) High Measure Gas Fuel Savings (1,000 cu.ft. gas/year)]],
                                                      MATCH(Tbl_BCROutputs_Electric[[#This Row],[Measure ID]:[Measure ID]],Tbl_MeasureList[Measure ID],0),
                                                      MATCH(L$24,Tbl_MeasureList[#Headers],0)),
                                        Tbl_EquipmentDefinitions[Equipment ID],
                                        0)),
        IF(Tbl_BCROutputs_Electric[[#This Row],[Savings Stream]]="Retire",
             INDEX(Tbl_MeasureList[],MATCH(Tbl_BCROutputs_Electric[[#This Row],[Measure ID]],Tbl_MeasureList[[Measure ID]:[Measure ID]],0),MATCH($L$26,Tbl_MeasureList[#Headers],0)),
             INDEX(Tbl_MeasureList[],MATCH(Tbl_BCROutputs_Electric[[#This Row],[Measure ID]],Tbl_MeasureList[[Measure ID]:[Measure ID]],0),MATCH($L$25,Tbl_MeasureList[#Headers],0)))
        )</f>
        <v>17</v>
      </c>
      <c r="M15" s="632">
        <f>IF(Tbl_BCROutputs_Electric[[#This Row],[Replacement Type]]="Partial Displacement",
       INDEX(Tbl_MeasureList[[Measure ID]:[Current ER (EE) High Measure Gas Fuel Savings (1,000 cu.ft. gas/year)]],
                      MATCH(Tbl_BCROutputs_Electric[[#This Row],[Measure ID]:[Measure ID]],Tbl_MeasureList[[Measure ID]:[Measure ID]],0),
                      MATCH(M$25,Tbl_MeasureList[#Headers],0)),
       IF(Tbl_BCROutputs_Electric[[#This Row],[Savings Stream]]="Retire",0,
              INDEX(Tbl_MeasureList[[Measure ID]:[Current ER (EE) High Measure Gas Fuel Savings (1,000 cu.ft. gas/year)]],
                      MATCH(Tbl_BCROutputs_Electric[[#This Row],[Measure ID]:[Measure ID]],Tbl_MeasureList[[Measure ID]:[Measure ID]],0),
                      MATCH(M$24,Tbl_MeasureList[#Headers],0))))</f>
        <v>5466.0259667378614</v>
      </c>
      <c r="N15" s="633">
        <f>IF(Tbl_BCROutputs_Electric[[#This Row],[Replacement Type]]="Partial Displacement",INPUT_SYSTEMINTEGRATIONCOST,0)</f>
        <v>0</v>
      </c>
      <c r="O15" s="634">
        <f>IF(AND(ISNUMBER(SEARCH("DMSHP",Tbl_BCROutputs_Electric[[#This Row],[Replacement Name]])),Tbl_BCROutputs_Electric[[#This Row],[Savings Stream]]="EE"),INPUT_ELECTRICALSYSTEMUPGRADECOST,0)</f>
        <v>0</v>
      </c>
      <c r="P15" s="394">
        <f ca="1">IF(OR(Tbl_BCROutputs_Electric[[#This Row],[Replacement Type]]="Partial Displacement",Tbl_BCROutputs_Electric[[#This Row],[Savings Stream]]="EE"),
        INDEX(Tbl_MeasureList[[Measure ID]:[Current ER (EE) High Measure Gas Fuel Savings (1,000 cu.ft. gas/year)]],
                      MATCH(Tbl_BCROutputs_Electric[[#This Row],[Measure ID]],Tbl_MeasureList[[Measure ID]:[Measure ID]],0),
                      MATCH(P$24,Tbl_MeasureList[#Headers],0)),
        0
       )</f>
        <v>20132</v>
      </c>
      <c r="Q15" s="635">
        <f ca="1">IF(Tbl_BCROutputs_Electric[[#This Row],[Total Cost New Equipment, not including deferred replacement (USD)]]="-","-",Tbl_BCROutputs_Electric[[#This Row],[Total Cost New Equipment, not including deferred replacement (USD)]]-Tbl_BCROutputs_Electric[[#This Row],[Deferred Replacement Credit (USD)]])</f>
        <v>14665.974033262139</v>
      </c>
      <c r="R15" s="636">
        <f ca="1">IF(Tbl_BCROutputs_Electric[[#This Row],[Replacement Type]]="Partial Displacement",
        INDEX(Tbl_MeasureList[[Measure ID]:[Current ER (EE) High Measure Gas Fuel Savings (1,000 cu.ft. gas/year)]],
                      MATCH(Tbl_BCROutputs_Electric[[#This Row],[Measure ID]:[Measure ID]],Tbl_MeasureList[[Measure ID]:[Measure ID]],0),
                      MATCH(R$26,Tbl_MeasureList[#Headers],0)),
        IF(Tbl_BCROutputs_Electric[[#This Row],[Savings Stream]]="Retire",
              INDEX(Tbl_MeasureList[],MATCH(Tbl_BCROutputs_Electric[[#This Row],[Measure ID]:[Measure ID]],Tbl_MeasureList[[Measure ID]:[Measure ID]],0),MATCH(R$25,Tbl_MeasureList[#Headers],0)),
              INDEX(Tbl_MeasureList[],MATCH(Tbl_BCROutputs_Electric[[#This Row],[Measure ID]:[Measure ID]],Tbl_MeasureList[[Measure ID]:[Measure ID]],0),MATCH(R$24,Tbl_MeasureList[#Headers],0))
            )
       )</f>
        <v>-6948.156061277351</v>
      </c>
      <c r="S15" s="637">
        <f ca="1">IF(Tbl_BCROutputs_Electric[[#This Row],[Replacement Type]]="Partial Displacement",
        INDEX(Tbl_MeasureList[[Measure ID]:[Current ER (EE) High Measure Gas Fuel Savings (1,000 cu.ft. gas/year)]],
                      MATCH(Tbl_BCROutputs_Electric[[#This Row],[Measure ID]:[Measure ID]],Tbl_MeasureList[[Measure ID]:[Measure ID]],0),
                      MATCH(S$26,Tbl_MeasureList[#Headers],0)),
       IF(Tbl_BCROutputs_Electric[[#This Row],[Savings Stream]]="Retire",
             INDEX(Tbl_MeasureList[],MATCH(Tbl_BCROutputs_Electric[[#This Row],[Measure ID]:[Measure ID]],Tbl_MeasureList[[Measure ID]:[Measure ID]],0),MATCH(S$25,Tbl_MeasureList[#Headers],0)),
             INDEX(Tbl_MeasureList[],MATCH(Tbl_BCROutputs_Electric[[#This Row],[Measure ID]:[Measure ID]],Tbl_MeasureList[[Measure ID]:[Measure ID]],0),MATCH(S$24,Tbl_MeasureList[#Headers],0))))</f>
        <v>56.763479754215815</v>
      </c>
      <c r="T15" s="638">
        <f ca="1">IF(Tbl_BCROutputs_Electric[[#This Row],[Replacement Type]]="Partial Displacement",
        INDEX(Tbl_MeasureList[[Measure ID]:[Current ER (EE) High Measure Gas Fuel Savings (1,000 cu.ft. gas/year)]],
                      MATCH(Tbl_BCROutputs_Electric[[#This Row],[Measure ID]:[Measure ID]],Tbl_MeasureList[[Measure ID]:[Measure ID]],0),
                      MATCH(T$26,Tbl_MeasureList[#Headers],0)),
       IF(Tbl_BCROutputs_Electric[[#This Row],[Savings Stream]]="Retire",
              INDEX(Tbl_MeasureList[],MATCH(Tbl_BCROutputs_Electric[[#This Row],[Measure ID]:[Measure ID]],Tbl_MeasureList[[Measure ID]:[Measure ID]],0),MATCH(T$25,Tbl_MeasureList[#Headers],0)),
              INDEX(Tbl_MeasureList[],MATCH(Tbl_BCROutputs_Electric[[#This Row],[Measure ID]:[Measure ID]],Tbl_MeasureList[[Measure ID]:[Measure ID]],0),MATCH(T$24,Tbl_MeasureList[#Headers],0))
            ))</f>
        <v>80.47058823529413</v>
      </c>
      <c r="U15" s="397">
        <f ca="1">IF(Tbl_BCROutputs_Electric[[#This Row],[Replacement Type]]="Partial Displacement",
        INDEX(Tbl_MeasureList[[Measure ID]:[Current ER (EE) High Measure Gas Fuel Savings (1,000 cu.ft. gas/year)]],
                      MATCH(Tbl_BCROutputs_Electric[[#This Row],[Measure ID]:[Measure ID]],Tbl_MeasureList[[Measure ID]:[Measure ID]],0),
                      MATCH(U$26,Tbl_MeasureList[#Headers],0)),
       IF(Tbl_BCROutputs_Electric[[#This Row],[Savings Stream]]="Retire",
              INDEX(Tbl_MeasureList[],MATCH(Tbl_BCROutputs_Electric[[#This Row],[Measure ID]:[Measure ID]],Tbl_MeasureList[[Measure ID]:[Measure ID]],0),MATCH(U$25,Tbl_MeasureList[#Headers],0)),
              INDEX(Tbl_MeasureList[],MATCH(Tbl_BCROutputs_Electric[[#This Row],[Measure ID]:[Measure ID]],Tbl_MeasureList[[Measure ID]:[Measure ID]],0),MATCH(U$24,Tbl_MeasureList[#Headers],0))
            ))</f>
        <v>0</v>
      </c>
      <c r="V15" s="639">
        <f ca="1">IF(OR(Tbl_BCROutputs_Electric[[#This Row],[Replacement Type]]="Partial Displacement",Tbl_BCROutputs_Electric[[#This Row],[Savings Stream]]="EE"),
        INDEX(Tbl_MeasureList[[Measure ID]:[Current ER (EE) High Measure Gas Fuel Savings (1,000 cu.ft. gas/year)]],
                      MATCH(Tbl_BCROutputs_Electric[[#This Row],[Measure ID]:[Measure ID]],Tbl_MeasureList[[Measure ID]:[Measure ID]],0),
                      MATCH(V$10,Tbl_MeasureList[#Headers],0)),
      0)</f>
        <v>80.47058823529413</v>
      </c>
      <c r="W15" s="640">
        <f ca="1">IF(OR(Tbl_BCROutputs_Electric[[#This Row],[Replacement Type]]="Partial Displacement",Tbl_BCROutputs_Electric[[#This Row],[Savings Stream]]="EE"),
        INDEX(Tbl_MeasureList[[Measure ID]:[Current ER (EE) High Measure Gas Fuel Savings (1,000 cu.ft. gas/year)]],
                      MATCH(Tbl_BCROutputs_Electric[[#This Row],[Measure ID]:[Measure ID]],Tbl_MeasureList[[Measure ID]:[Measure ID]],0),
                      MATCH(W$10,Tbl_MeasureList[#Headers],0)),
       0)</f>
        <v>0</v>
      </c>
      <c r="X15" s="636">
        <f ca="1">IF(Tbl_BCROutputs_Electric[[#This Row],[Replacement Type]]="Partial Displacement",
        INDEX(Tbl_MeasureList[[Measure ID]:[Current ER (EE) High Measure Gas Fuel Savings (1,000 cu.ft. gas/year)]],
                      MATCH(Tbl_BCROutputs_Electric[[#This Row],[Measure ID]:[Measure ID]],Tbl_MeasureList[[Measure ID]:[Measure ID]],0),
                      MATCH(X$26,Tbl_MeasureList[#Headers],0)),
       IF(Tbl_BCROutputs_Electric[[#This Row],[Savings Stream]]="Retire",
              INDEX(Tbl_MeasureList[],MATCH(Tbl_BCROutputs_Electric[[#This Row],[Measure ID]:[Measure ID]],Tbl_MeasureList[[Measure ID]:[Measure ID]],0),MATCH(X$25,Tbl_MeasureList[#Headers],0)),
              INDEX(Tbl_MeasureList[],MATCH(Tbl_BCROutputs_Electric[[#This Row],[Measure ID]:[Measure ID]],Tbl_MeasureList[[Measure ID]:[Measure ID]],0),MATCH(X$24,Tbl_MeasureList[#Headers],0))
            ))</f>
        <v>-7331.8197946106839</v>
      </c>
      <c r="Y15" s="641">
        <f ca="1">IF(Tbl_BCROutputs_Electric[[#This Row],[Replacement Type]]="Partial Displacement",
        INDEX(Tbl_MeasureList[[Measure ID]:[Current ER (EE) High Measure Gas Fuel Savings (1,000 cu.ft. gas/year)]],
                      MATCH(Tbl_BCROutputs_Electric[[#This Row],[Measure ID]:[Measure ID]],Tbl_MeasureList[[Measure ID]:[Measure ID]],0),
                      MATCH(Y$26,Tbl_MeasureList[#Headers],0)),
       IF(Tbl_BCROutputs_Electric[[#This Row],[Savings Stream]]="Retire",
              INDEX(Tbl_MeasureList[],MATCH(Tbl_BCROutputs_Electric[[#This Row],[Measure ID]:[Measure ID]],Tbl_MeasureList[[Measure ID]:[Measure ID]],0),MATCH(Y$25,Tbl_MeasureList[#Headers],0)),
              INDEX(Tbl_MeasureList[],MATCH(Tbl_BCROutputs_Electric[[#This Row],[Measure ID]:[Measure ID]],Tbl_MeasureList[[Measure ID]:[Measure ID]],0),MATCH(Y$24,Tbl_MeasureList[#Headers],0))
            ))</f>
        <v>383.66373333333343</v>
      </c>
      <c r="Z15" s="396">
        <f ca="1">IF(Tbl_BCROutputs_Electric[[#This Row],[Replacement Type]]="Partial Displacement",
        INDEX(Tbl_MeasureList[[Measure ID]:[Current ER (EE) High Measure Gas Fuel Savings (1,000 cu.ft. gas/year)]],
                      MATCH(Tbl_BCROutputs_Electric[[#This Row],[Measure ID]:[Measure ID]],Tbl_MeasureList[[Measure ID]:[Measure ID]],0),
                      MATCH(Z$26,Tbl_MeasureList[#Headers],0)),
       IF(Tbl_BCROutputs_Electric[[#This Row],[Savings Stream]]="Retire",
              INDEX(Tbl_MeasureList[],MATCH(Tbl_BCROutputs_Electric[[#This Row],[Measure ID]:[Measure ID]],Tbl_MeasureList[[Measure ID]:[Measure ID]],0),MATCH(Z$25,Tbl_MeasureList[#Headers],0)),
              INDEX(Tbl_MeasureList[],MATCH(Tbl_BCROutputs_Electric[[#This Row],[Measure ID]:[Measure ID]],Tbl_MeasureList[[Measure ID]:[Measure ID]],0),MATCH(Z$24,Tbl_MeasureList[#Headers],0))
            ))</f>
        <v>-2.6430105465004794</v>
      </c>
      <c r="AA15" s="654">
        <f ca="1">IF(Tbl_BCROutputs_Electric[[#This Row],[Replacement Type]]="Partial Displacement",
        INDEX(Tbl_MeasureList[[Measure ID]:[Current ER (EE) High Measure Gas Fuel Savings (1,000 cu.ft. gas/year)]],
                      MATCH(Tbl_BCROutputs_Electric[[#This Row],[Measure ID]:[Measure ID]],Tbl_MeasureList[[Measure ID]:[Measure ID]],0),
                      MATCH(AA$26,Tbl_MeasureList[#Headers],0)),
       IF(Tbl_BCROutputs_Electric[[#This Row],[Savings Stream]]="Retire",
              INDEX(Tbl_MeasureList[],MATCH(Tbl_BCROutputs_Electric[[#This Row],[Measure ID]:[Measure ID]],Tbl_MeasureList[[Measure ID]:[Measure ID]],0),MATCH(AA$25,Tbl_MeasureList[#Headers],0)),
              INDEX(Tbl_MeasureList[],MATCH(Tbl_BCROutputs_Electric[[#This Row],[Measure ID]:[Measure ID]],Tbl_MeasureList[[Measure ID]:[Measure ID]],0),MATCH(AA$24,Tbl_MeasureList[#Headers],0))
            ))</f>
        <v>-0.55451550582750575</v>
      </c>
      <c r="AB15" s="655">
        <f>IF(Tbl_BCROutputs_Electric[[#This Row],[Replacement Fuel]]="Electric+Oil", INPUT_OILHEATSWITCHOVER,
         IF(Tbl_BCROutputs_Electric[[#This Row],[Replacement Fuel]]="Electric+Propane", INPUT_PROPANEHEATSWITCHOVER,
                IF(Tbl_BCROutputs_Electric[[#This Row],[Replacement Fuel]]="Electric+Gas", INPUT_GASHEATSWITCHOVER,
                       IF(Tbl_BCROutputs_Electric[[#This Row],[Replacement Fuel]]="Electric", INPUT_RESISTANCEHEAT_SWITCHOVER,0))))</f>
        <v>0</v>
      </c>
    </row>
    <row r="16" spans="1:63" s="581" customFormat="1" x14ac:dyDescent="0.2">
      <c r="B16" s="582"/>
      <c r="C16" s="583" t="s">
        <v>87</v>
      </c>
      <c r="D16" s="642" t="s">
        <v>1218</v>
      </c>
      <c r="E16" s="643" t="str">
        <f>INDEX(Tbl_MeasureList[],MATCH(Tbl_BCROutputs_Electric[[#This Row],[Measure ID]],Tbl_MeasureList[[Measure ID]:[Measure ID]],0),MATCH(Tbl_BCROutputs_Electric[[#Headers],[Replacement ID]],Tbl_MeasureList[#Headers],0))</f>
        <v>EQUI007</v>
      </c>
      <c r="F16" s="643" t="str">
        <f>INDEX(Tbl_MeasureList[[Measure ID]:[Current ER (EE) High Measure Gas Fuel Savings (1,000 cu.ft. gas/year)]],
               MATCH(Tbl_BCROutputs_Electric[[#This Row],[Measure ID]:[Measure ID]],Tbl_MeasureList[[Measure ID]:[Measure ID]],0),
               MATCH(F$10,Tbl_MeasureList[#Headers],0))</f>
        <v>Baseline A/C Blend+Propane Furnace</v>
      </c>
      <c r="G16" s="644" t="str">
        <f>INDEX(Tbl_MeasureList[[Measure ID]:[Current ER (EE) High Measure Gas Fuel Savings (1,000 cu.ft. gas/year)]],
               MATCH(Tbl_BCROutputs_Electric[[#This Row],[Measure ID]:[Measure ID]],Tbl_MeasureList[[Measure ID]:[Measure ID]],0),
               MATCH(G$10,Tbl_MeasureList[#Headers],0))</f>
        <v>Central HP</v>
      </c>
      <c r="H16" s="644" t="str">
        <f>INDEX(Tbl_MeasureList[Replacement Fuel 1],MATCH(Tbl_BCROutputs_Electric[[#This Row],[Measure ID]],Tbl_MeasureList[Measure ID],0))&amp;
  IF(INDEX(Tbl_MeasureList[Replacement Fuel 2],MATCH(Tbl_BCROutputs_Electric[[#This Row],[Measure ID]],Tbl_MeasureList[Measure ID],0))&lt;&gt;"-",
       "+"&amp;INDEX(Tbl_MeasureList[Replacement Fuel 2],MATCH(Tbl_BCROutputs_Electric[[#This Row],[Measure ID]],Tbl_MeasureList[Measure ID],0)),"")</f>
        <v>Electric</v>
      </c>
      <c r="I16" s="645" t="str">
        <f>IF(Tbl_BCROutputs_Electric[[#This Row],[Replacement Fuel]]="Natural Gas",INDEX(Tbl_EquipmentDefinitions[Natural Gas High Measure Efficiency],MATCH(Tbl_BCROutputs_Electric[[#This Row],[Replacement ID]],Tbl_EquipmentDefinitions[Equipment ID],0)),
  IF(Tbl_BCROutputs_Electric[[#This Row],[Replacement Fuel]]="Electric",INDEX(Tbl_EquipmentDefinitions[Electricity High Measure Efficiency],MATCH(Tbl_BCROutputs_Electric[[#This Row],[Replacement ID]],Tbl_EquipmentDefinitions[Equipment ID],0)),
  IF(Tbl_BCROutputs_Electric[[#This Row],[Replacement Fuel]]="Electric+Oil",
        INDEX(Tbl_EquipmentDefinitions[Electricity High Measure Efficiency],MATCH(Tbl_BCROutputs_Electric[[#This Row],[Replacement ID]],Tbl_EquipmentDefinitions[Equipment ID],0))&amp;CHAR(10)&amp;
        INDEX(Tbl_EquipmentDefinitions[Oil Baseline Efficiency],MATCH(Tbl_BCROutputs_Electric[[#This Row],[Replacement ID]],Tbl_EquipmentDefinitions[Equipment ID],0)),
  IF(Tbl_BCROutputs_Electric[[#This Row],[Replacement Fuel]]="Electric+Propane",
        INDEX(Tbl_EquipmentDefinitions[Electricity High Measure Efficiency],MATCH(Tbl_BCROutputs_Electric[[#This Row],[Replacement ID]],Tbl_EquipmentDefinitions[Equipment ID],0))&amp;CHAR(10)&amp;
        INDEX(Tbl_EquipmentDefinitions[Propane Baseline Efficiency],MATCH(Tbl_BCROutputs_Electric[[#This Row],[Replacement ID]],Tbl_EquipmentDefinitions[Equipment ID],0)),
  IF(Tbl_BCROutputs_Electric[[#This Row],[Replacement Fuel]]="Electric+Electric",INDEX(Tbl_EquipmentDefinitions[Electricity High Measure Efficiency],MATCH(Tbl_BCROutputs_Electric[[#This Row],[Replacement ID]],Tbl_EquipmentDefinitions[Equipment ID],0)),
)))))</f>
        <v>18 SEER/9.6 HSPF</v>
      </c>
      <c r="J16" s="83" t="str">
        <f>INDEX(Tbl_MeasureList[[Measure ID]:[Current ER (EE) High Measure Gas Fuel Savings (1,000 cu.ft. gas/year)]],
               MATCH(Tbl_BCROutputs_Electric[[#This Row],[Measure ID]:[Measure ID]],Tbl_MeasureList[[Measure ID]:[Measure ID]],0),
               MATCH(J$10,Tbl_MeasureList[#Headers],0))</f>
        <v>No</v>
      </c>
      <c r="K16" s="646" t="str">
        <f>IF(Tbl_BCROutputs_Electric[[#This Row],[Keep Existing Heating Equipment?]]="Yes","Partial Displacement","Full Replacement")</f>
        <v>Full Replacement</v>
      </c>
      <c r="L16" s="631">
        <f>IF(Tbl_BCROutputs_Electric[[#This Row],[Replacement Type]]="Partial Displacement",
        INDEX(Tbl_EquipmentDefinitions[New Unit Equipment Life (years)],
                       MATCH(INDEX(Tbl_MeasureList[[Measure ID]:[Current ER (EE) High Measure Gas Fuel Savings (1,000 cu.ft. gas/year)]],
                                                      MATCH(Tbl_BCROutputs_Electric[[#This Row],[Measure ID]:[Measure ID]],Tbl_MeasureList[Measure ID],0),
                                                      MATCH(L$24,Tbl_MeasureList[#Headers],0)),
                                        Tbl_EquipmentDefinitions[Equipment ID],
                                        0)),
        IF(Tbl_BCROutputs_Electric[[#This Row],[Savings Stream]]="Retire",
             INDEX(Tbl_MeasureList[],MATCH(Tbl_BCROutputs_Electric[[#This Row],[Measure ID]],Tbl_MeasureList[[Measure ID]:[Measure ID]],0),MATCH($L$26,Tbl_MeasureList[#Headers],0)),
             INDEX(Tbl_MeasureList[],MATCH(Tbl_BCROutputs_Electric[[#This Row],[Measure ID]],Tbl_MeasureList[[Measure ID]:[Measure ID]],0),MATCH($L$25,Tbl_MeasureList[#Headers],0)))
        )</f>
        <v>6</v>
      </c>
      <c r="M16" s="632">
        <f>IF(Tbl_BCROutputs_Electric[[#This Row],[Replacement Type]]="Partial Displacement",
       INDEX(Tbl_MeasureList[[Measure ID]:[Current ER (EE) High Measure Gas Fuel Savings (1,000 cu.ft. gas/year)]],
                      MATCH(Tbl_BCROutputs_Electric[[#This Row],[Measure ID]:[Measure ID]],Tbl_MeasureList[[Measure ID]:[Measure ID]],0),
                      MATCH(M$25,Tbl_MeasureList[#Headers],0)),
       IF(Tbl_BCROutputs_Electric[[#This Row],[Savings Stream]]="Retire",0,
              INDEX(Tbl_MeasureList[[Measure ID]:[Current ER (EE) High Measure Gas Fuel Savings (1,000 cu.ft. gas/year)]],
                      MATCH(Tbl_BCROutputs_Electric[[#This Row],[Measure ID]:[Measure ID]],Tbl_MeasureList[[Measure ID]:[Measure ID]],0),
                      MATCH(M$24,Tbl_MeasureList[#Headers],0))))</f>
        <v>0</v>
      </c>
      <c r="N16" s="633">
        <f>IF(Tbl_BCROutputs_Electric[[#This Row],[Replacement Type]]="Partial Displacement",INPUT_SYSTEMINTEGRATIONCOST,0)</f>
        <v>0</v>
      </c>
      <c r="O16" s="634">
        <f>IF(AND(ISNUMBER(SEARCH("DMSHP",Tbl_BCROutputs_Electric[[#This Row],[Replacement Name]])),Tbl_BCROutputs_Electric[[#This Row],[Savings Stream]]="EE"),INPUT_ELECTRICALSYSTEMUPGRADECOST,0)</f>
        <v>0</v>
      </c>
      <c r="P16" s="394">
        <f>IF(OR(Tbl_BCROutputs_Electric[[#This Row],[Replacement Type]]="Partial Displacement",Tbl_BCROutputs_Electric[[#This Row],[Savings Stream]]="EE"),
        INDEX(Tbl_MeasureList[[Measure ID]:[Current ER (EE) High Measure Gas Fuel Savings (1,000 cu.ft. gas/year)]],
                      MATCH(Tbl_BCROutputs_Electric[[#This Row],[Measure ID]],Tbl_MeasureList[[Measure ID]:[Measure ID]],0),
                      MATCH(P$24,Tbl_MeasureList[#Headers],0)),
        0
       )</f>
        <v>0</v>
      </c>
      <c r="Q16" s="635">
        <f>IF(Tbl_BCROutputs_Electric[[#This Row],[Total Cost New Equipment, not including deferred replacement (USD)]]="-","-",Tbl_BCROutputs_Electric[[#This Row],[Total Cost New Equipment, not including deferred replacement (USD)]]-Tbl_BCROutputs_Electric[[#This Row],[Deferred Replacement Credit (USD)]])</f>
        <v>0</v>
      </c>
      <c r="R16" s="636">
        <f>IF(Tbl_BCROutputs_Electric[[#This Row],[Replacement Type]]="Partial Displacement",
        INDEX(Tbl_MeasureList[[Measure ID]:[Current ER (EE) High Measure Gas Fuel Savings (1,000 cu.ft. gas/year)]],
                      MATCH(Tbl_BCROutputs_Electric[[#This Row],[Measure ID]:[Measure ID]],Tbl_MeasureList[[Measure ID]:[Measure ID]],0),
                      MATCH(R$26,Tbl_MeasureList[#Headers],0)),
        IF(Tbl_BCROutputs_Electric[[#This Row],[Savings Stream]]="Retire",
              INDEX(Tbl_MeasureList[],MATCH(Tbl_BCROutputs_Electric[[#This Row],[Measure ID]:[Measure ID]],Tbl_MeasureList[[Measure ID]:[Measure ID]],0),MATCH(R$25,Tbl_MeasureList[#Headers],0)),
              INDEX(Tbl_MeasureList[],MATCH(Tbl_BCROutputs_Electric[[#This Row],[Measure ID]:[Measure ID]],Tbl_MeasureList[[Measure ID]:[Measure ID]],0),MATCH(R$24,Tbl_MeasureList[#Headers],0))
            )
       )</f>
        <v>297.27584000000002</v>
      </c>
      <c r="S16" s="637">
        <f>IF(Tbl_BCROutputs_Electric[[#This Row],[Replacement Type]]="Partial Displacement",
        INDEX(Tbl_MeasureList[[Measure ID]:[Current ER (EE) High Measure Gas Fuel Savings (1,000 cu.ft. gas/year)]],
                      MATCH(Tbl_BCROutputs_Electric[[#This Row],[Measure ID]:[Measure ID]],Tbl_MeasureList[[Measure ID]:[Measure ID]],0),
                      MATCH(S$26,Tbl_MeasureList[#Headers],0)),
       IF(Tbl_BCROutputs_Electric[[#This Row],[Savings Stream]]="Retire",
             INDEX(Tbl_MeasureList[],MATCH(Tbl_BCROutputs_Electric[[#This Row],[Measure ID]:[Measure ID]],Tbl_MeasureList[[Measure ID]:[Measure ID]],0),MATCH(S$25,Tbl_MeasureList[#Headers],0)),
             INDEX(Tbl_MeasureList[],MATCH(Tbl_BCROutputs_Electric[[#This Row],[Measure ID]:[Measure ID]],Tbl_MeasureList[[Measure ID]:[Measure ID]],0),MATCH(S$24,Tbl_MeasureList[#Headers],0))))</f>
        <v>7.2357321399113346</v>
      </c>
      <c r="T16" s="638">
        <f>IF(Tbl_BCROutputs_Electric[[#This Row],[Replacement Type]]="Partial Displacement",
        INDEX(Tbl_MeasureList[[Measure ID]:[Current ER (EE) High Measure Gas Fuel Savings (1,000 cu.ft. gas/year)]],
                      MATCH(Tbl_BCROutputs_Electric[[#This Row],[Measure ID]:[Measure ID]],Tbl_MeasureList[[Measure ID]:[Measure ID]],0),
                      MATCH(T$26,Tbl_MeasureList[#Headers],0)),
       IF(Tbl_BCROutputs_Electric[[#This Row],[Savings Stream]]="Retire",
              INDEX(Tbl_MeasureList[],MATCH(Tbl_BCROutputs_Electric[[#This Row],[Measure ID]:[Measure ID]],Tbl_MeasureList[[Measure ID]:[Measure ID]],0),MATCH(T$25,Tbl_MeasureList[#Headers],0)),
              INDEX(Tbl_MeasureList[],MATCH(Tbl_BCROutputs_Electric[[#This Row],[Measure ID]:[Measure ID]],Tbl_MeasureList[[Measure ID]:[Measure ID]],0),MATCH(T$24,Tbl_MeasureList[#Headers],0))
            ))</f>
        <v>6.2214269738313419</v>
      </c>
      <c r="U16" s="397">
        <f>IF(Tbl_BCROutputs_Electric[[#This Row],[Replacement Type]]="Partial Displacement",
        INDEX(Tbl_MeasureList[[Measure ID]:[Current ER (EE) High Measure Gas Fuel Savings (1,000 cu.ft. gas/year)]],
                      MATCH(Tbl_BCROutputs_Electric[[#This Row],[Measure ID]:[Measure ID]],Tbl_MeasureList[[Measure ID]:[Measure ID]],0),
                      MATCH(U$26,Tbl_MeasureList[#Headers],0)),
       IF(Tbl_BCROutputs_Electric[[#This Row],[Savings Stream]]="Retire",
              INDEX(Tbl_MeasureList[],MATCH(Tbl_BCROutputs_Electric[[#This Row],[Measure ID]:[Measure ID]],Tbl_MeasureList[[Measure ID]:[Measure ID]],0),MATCH(U$25,Tbl_MeasureList[#Headers],0)),
              INDEX(Tbl_MeasureList[],MATCH(Tbl_BCROutputs_Electric[[#This Row],[Measure ID]:[Measure ID]],Tbl_MeasureList[[Measure ID]:[Measure ID]],0),MATCH(U$24,Tbl_MeasureList[#Headers],0))
            ))</f>
        <v>0</v>
      </c>
      <c r="V16" s="639">
        <f>IF(OR(Tbl_BCROutputs_Electric[[#This Row],[Replacement Type]]="Partial Displacement",Tbl_BCROutputs_Electric[[#This Row],[Savings Stream]]="EE"),
        INDEX(Tbl_MeasureList[[Measure ID]:[Current ER (EE) High Measure Gas Fuel Savings (1,000 cu.ft. gas/year)]],
                      MATCH(Tbl_BCROutputs_Electric[[#This Row],[Measure ID]:[Measure ID]],Tbl_MeasureList[[Measure ID]:[Measure ID]],0),
                      MATCH(V$10,Tbl_MeasureList[#Headers],0)),
      0)</f>
        <v>0</v>
      </c>
      <c r="W16" s="640">
        <f>IF(OR(Tbl_BCROutputs_Electric[[#This Row],[Replacement Type]]="Partial Displacement",Tbl_BCROutputs_Electric[[#This Row],[Savings Stream]]="EE"),
        INDEX(Tbl_MeasureList[[Measure ID]:[Current ER (EE) High Measure Gas Fuel Savings (1,000 cu.ft. gas/year)]],
                      MATCH(Tbl_BCROutputs_Electric[[#This Row],[Measure ID]:[Measure ID]],Tbl_MeasureList[[Measure ID]:[Measure ID]],0),
                      MATCH(W$10,Tbl_MeasureList[#Headers],0)),
       0)</f>
        <v>0</v>
      </c>
      <c r="X16" s="636">
        <f>IF(Tbl_BCROutputs_Electric[[#This Row],[Replacement Type]]="Partial Displacement",
        INDEX(Tbl_MeasureList[[Measure ID]:[Current ER (EE) High Measure Gas Fuel Savings (1,000 cu.ft. gas/year)]],
                      MATCH(Tbl_BCROutputs_Electric[[#This Row],[Measure ID]:[Measure ID]],Tbl_MeasureList[[Measure ID]:[Measure ID]],0),
                      MATCH(X$26,Tbl_MeasureList[#Headers],0)),
       IF(Tbl_BCROutputs_Electric[[#This Row],[Savings Stream]]="Retire",
              INDEX(Tbl_MeasureList[],MATCH(Tbl_BCROutputs_Electric[[#This Row],[Measure ID]:[Measure ID]],Tbl_MeasureList[[Measure ID]:[Measure ID]],0),MATCH(X$25,Tbl_MeasureList[#Headers],0)),
              INDEX(Tbl_MeasureList[],MATCH(Tbl_BCROutputs_Electric[[#This Row],[Measure ID]:[Measure ID]],Tbl_MeasureList[[Measure ID]:[Measure ID]],0),MATCH(X$24,Tbl_MeasureList[#Headers],0))
            ))</f>
        <v>3.0500000000000114</v>
      </c>
      <c r="Y16" s="641">
        <f>IF(Tbl_BCROutputs_Electric[[#This Row],[Replacement Type]]="Partial Displacement",
        INDEX(Tbl_MeasureList[[Measure ID]:[Current ER (EE) High Measure Gas Fuel Savings (1,000 cu.ft. gas/year)]],
                      MATCH(Tbl_BCROutputs_Electric[[#This Row],[Measure ID]:[Measure ID]],Tbl_MeasureList[[Measure ID]:[Measure ID]],0),
                      MATCH(Y$26,Tbl_MeasureList[#Headers],0)),
       IF(Tbl_BCROutputs_Electric[[#This Row],[Savings Stream]]="Retire",
              INDEX(Tbl_MeasureList[],MATCH(Tbl_BCROutputs_Electric[[#This Row],[Measure ID]:[Measure ID]],Tbl_MeasureList[[Measure ID]:[Measure ID]],0),MATCH(Y$25,Tbl_MeasureList[#Headers],0)),
              INDEX(Tbl_MeasureList[],MATCH(Tbl_BCROutputs_Electric[[#This Row],[Measure ID]:[Measure ID]],Tbl_MeasureList[[Measure ID]:[Measure ID]],0),MATCH(Y$24,Tbl_MeasureList[#Headers],0))
            ))</f>
        <v>294.22584000000006</v>
      </c>
      <c r="Z16" s="396">
        <f>IF(Tbl_BCROutputs_Electric[[#This Row],[Replacement Type]]="Partial Displacement",
        INDEX(Tbl_MeasureList[[Measure ID]:[Current ER (EE) High Measure Gas Fuel Savings (1,000 cu.ft. gas/year)]],
                      MATCH(Tbl_BCROutputs_Electric[[#This Row],[Measure ID]:[Measure ID]],Tbl_MeasureList[[Measure ID]:[Measure ID]],0),
                      MATCH(Z$26,Tbl_MeasureList[#Headers],0)),
       IF(Tbl_BCROutputs_Electric[[#This Row],[Savings Stream]]="Retire",
              INDEX(Tbl_MeasureList[],MATCH(Tbl_BCROutputs_Electric[[#This Row],[Measure ID]:[Measure ID]],Tbl_MeasureList[[Measure ID]:[Measure ID]],0),MATCH(Z$25,Tbl_MeasureList[#Headers],0)),
              INDEX(Tbl_MeasureList[],MATCH(Tbl_BCROutputs_Electric[[#This Row],[Measure ID]:[Measure ID]],Tbl_MeasureList[[Measure ID]:[Measure ID]],0),MATCH(Z$24,Tbl_MeasureList[#Headers],0))
            ))</f>
        <v>4.6788111217641731E-4</v>
      </c>
      <c r="AA16" s="654">
        <f>IF(Tbl_BCROutputs_Electric[[#This Row],[Replacement Type]]="Partial Displacement",
        INDEX(Tbl_MeasureList[[Measure ID]:[Current ER (EE) High Measure Gas Fuel Savings (1,000 cu.ft. gas/year)]],
                      MATCH(Tbl_BCROutputs_Electric[[#This Row],[Measure ID]:[Measure ID]],Tbl_MeasureList[[Measure ID]:[Measure ID]],0),
                      MATCH(AA$26,Tbl_MeasureList[#Headers],0)),
       IF(Tbl_BCROutputs_Electric[[#This Row],[Savings Stream]]="Retire",
              INDEX(Tbl_MeasureList[],MATCH(Tbl_BCROutputs_Electric[[#This Row],[Measure ID]:[Measure ID]],Tbl_MeasureList[[Measure ID]:[Measure ID]],0),MATCH(AA$25,Tbl_MeasureList[#Headers],0)),
              INDEX(Tbl_MeasureList[],MATCH(Tbl_BCROutputs_Electric[[#This Row],[Measure ID]:[Measure ID]],Tbl_MeasureList[[Measure ID]:[Measure ID]],0),MATCH(AA$24,Tbl_MeasureList[#Headers],0))
            ))</f>
        <v>0.39502639572192488</v>
      </c>
      <c r="AB16" s="655">
        <f>IF(Tbl_BCROutputs_Electric[[#This Row],[Replacement Fuel]]="Electric+Oil", INPUT_OILHEATSWITCHOVER,
         IF(Tbl_BCROutputs_Electric[[#This Row],[Replacement Fuel]]="Electric+Propane", INPUT_PROPANEHEATSWITCHOVER,
                IF(Tbl_BCROutputs_Electric[[#This Row],[Replacement Fuel]]="Electric+Gas", INPUT_GASHEATSWITCHOVER,
                       IF(Tbl_BCROutputs_Electric[[#This Row],[Replacement Fuel]]="Electric", INPUT_RESISTANCEHEAT_SWITCHOVER,0))))</f>
        <v>0</v>
      </c>
    </row>
    <row r="17" spans="2:62" s="581" customFormat="1" ht="22.5" x14ac:dyDescent="0.2">
      <c r="B17" s="582"/>
      <c r="C17" s="583" t="s">
        <v>90</v>
      </c>
      <c r="D17" s="583" t="s">
        <v>1509</v>
      </c>
      <c r="E17" s="83" t="str">
        <f>INDEX(Tbl_MeasureList[],MATCH(Tbl_BCROutputs_Electric[[#This Row],[Measure ID]],Tbl_MeasureList[[Measure ID]:[Measure ID]],0),MATCH(Tbl_BCROutputs_Electric[[#Headers],[Replacement ID]],Tbl_MeasureList[#Headers],0))</f>
        <v>EQUI010</v>
      </c>
      <c r="F17" s="83" t="str">
        <f>INDEX(Tbl_MeasureList[[Measure ID]:[Current ER (EE) High Measure Gas Fuel Savings (1,000 cu.ft. gas/year)]],
               MATCH(Tbl_BCROutputs_Electric[[#This Row],[Measure ID]:[Measure ID]],Tbl_MeasureList[[Measure ID]:[Measure ID]],0),
               MATCH(F$10,Tbl_MeasureList[#Headers],0))</f>
        <v>Room AC/No AC Blend+Oil Boiler</v>
      </c>
      <c r="G17" s="83" t="str">
        <f>INDEX(Tbl_MeasureList[[Measure ID]:[Current ER (EE) High Measure Gas Fuel Savings (1,000 cu.ft. gas/year)]],
               MATCH(Tbl_BCROutputs_Electric[[#This Row],[Measure ID]:[Measure ID]],Tbl_MeasureList[[Measure ID]:[Measure ID]],0),
               MATCH(G$10,Tbl_MeasureList[#Headers],0))</f>
        <v>DMSHP+Oil Boiler</v>
      </c>
      <c r="H17" s="83" t="str">
        <f>INDEX(Tbl_MeasureList[Replacement Fuel 1],MATCH(Tbl_BCROutputs_Electric[[#This Row],[Measure ID]],Tbl_MeasureList[Measure ID],0))&amp;
  IF(INDEX(Tbl_MeasureList[Replacement Fuel 2],MATCH(Tbl_BCROutputs_Electric[[#This Row],[Measure ID]],Tbl_MeasureList[Measure ID],0))&lt;&gt;"-",
       "+"&amp;INDEX(Tbl_MeasureList[Replacement Fuel 2],MATCH(Tbl_BCROutputs_Electric[[#This Row],[Measure ID]],Tbl_MeasureList[Measure ID],0)),"")</f>
        <v>Electric+Oil</v>
      </c>
      <c r="I17" s="629" t="str">
        <f>IF(Tbl_BCROutputs_Electric[[#This Row],[Replacement Fuel]]="Natural Gas",INDEX(Tbl_EquipmentDefinitions[Natural Gas High Measure Efficiency],MATCH(Tbl_BCROutputs_Electric[[#This Row],[Replacement ID]],Tbl_EquipmentDefinitions[Equipment ID],0)),
  IF(Tbl_BCROutputs_Electric[[#This Row],[Replacement Fuel]]="Electric",INDEX(Tbl_EquipmentDefinitions[Electricity High Measure Efficiency],MATCH(Tbl_BCROutputs_Electric[[#This Row],[Replacement ID]],Tbl_EquipmentDefinitions[Equipment ID],0)),
  IF(Tbl_BCROutputs_Electric[[#This Row],[Replacement Fuel]]="Electric+Oil",
        INDEX(Tbl_EquipmentDefinitions[Electricity High Measure Efficiency],MATCH(Tbl_BCROutputs_Electric[[#This Row],[Replacement ID]],Tbl_EquipmentDefinitions[Equipment ID],0))&amp;CHAR(10)&amp;
        INDEX(Tbl_EquipmentDefinitions[Oil Baseline Efficiency],MATCH(Tbl_BCROutputs_Electric[[#This Row],[Replacement ID]],Tbl_EquipmentDefinitions[Equipment ID],0)),
  IF(Tbl_BCROutputs_Electric[[#This Row],[Replacement Fuel]]="Electric+Propane",
        INDEX(Tbl_EquipmentDefinitions[Electricity High Measure Efficiency],MATCH(Tbl_BCROutputs_Electric[[#This Row],[Replacement ID]],Tbl_EquipmentDefinitions[Equipment ID],0))&amp;CHAR(10)&amp;
        INDEX(Tbl_EquipmentDefinitions[Propane Baseline Efficiency],MATCH(Tbl_BCROutputs_Electric[[#This Row],[Replacement ID]],Tbl_EquipmentDefinitions[Equipment ID],0)),
  IF(Tbl_BCROutputs_Electric[[#This Row],[Replacement Fuel]]="Electric+Electric",INDEX(Tbl_EquipmentDefinitions[Electricity High Measure Efficiency],MATCH(Tbl_BCROutputs_Electric[[#This Row],[Replacement ID]],Tbl_EquipmentDefinitions[Equipment ID],0)),
)))))</f>
        <v>20 SEER/12.0 HSPF
75% AFUE</v>
      </c>
      <c r="J17" s="83" t="str">
        <f>INDEX(Tbl_MeasureList[[Measure ID]:[Current ER (EE) High Measure Gas Fuel Savings (1,000 cu.ft. gas/year)]],
               MATCH(Tbl_BCROutputs_Electric[[#This Row],[Measure ID]:[Measure ID]],Tbl_MeasureList[[Measure ID]:[Measure ID]],0),
               MATCH(J$10,Tbl_MeasureList[#Headers],0))</f>
        <v>Yes</v>
      </c>
      <c r="K17" s="630" t="str">
        <f>IF(Tbl_BCROutputs_Electric[[#This Row],[Keep Existing Heating Equipment?]]="Yes","Partial Displacement","Full Replacement")</f>
        <v>Partial Displacement</v>
      </c>
      <c r="L17" s="631">
        <f>IF(Tbl_BCROutputs_Electric[[#This Row],[Replacement Type]]="Partial Displacement",
        INDEX(Tbl_EquipmentDefinitions[New Unit Equipment Life (years)],
                       MATCH(INDEX(Tbl_MeasureList[[Measure ID]:[Current ER (EE) High Measure Gas Fuel Savings (1,000 cu.ft. gas/year)]],
                                                      MATCH(Tbl_BCROutputs_Electric[[#This Row],[Measure ID]:[Measure ID]],Tbl_MeasureList[Measure ID],0),
                                                      MATCH(L$24,Tbl_MeasureList[#Headers],0)),
                                        Tbl_EquipmentDefinitions[Equipment ID],
                                        0)),
        IF(Tbl_BCROutputs_Electric[[#This Row],[Savings Stream]]="Retire",
             INDEX(Tbl_MeasureList[],MATCH(Tbl_BCROutputs_Electric[[#This Row],[Measure ID]],Tbl_MeasureList[[Measure ID]:[Measure ID]],0),MATCH($L$26,Tbl_MeasureList[#Headers],0)),
             INDEX(Tbl_MeasureList[],MATCH(Tbl_BCROutputs_Electric[[#This Row],[Measure ID]],Tbl_MeasureList[[Measure ID]:[Measure ID]],0),MATCH($L$25,Tbl_MeasureList[#Headers],0)))
        )</f>
        <v>18</v>
      </c>
      <c r="M17" s="632">
        <f>IF(Tbl_BCROutputs_Electric[[#This Row],[Replacement Type]]="Partial Displacement",
       INDEX(Tbl_MeasureList[[Measure ID]:[Current ER (EE) High Measure Gas Fuel Savings (1,000 cu.ft. gas/year)]],
                      MATCH(Tbl_BCROutputs_Electric[[#This Row],[Measure ID]:[Measure ID]],Tbl_MeasureList[[Measure ID]:[Measure ID]],0),
                      MATCH(M$25,Tbl_MeasureList[#Headers],0)),
       IF(Tbl_BCROutputs_Electric[[#This Row],[Savings Stream]]="Retire",0,
              INDEX(Tbl_MeasureList[[Measure ID]:[Current ER (EE) High Measure Gas Fuel Savings (1,000 cu.ft. gas/year)]],
                      MATCH(Tbl_BCROutputs_Electric[[#This Row],[Measure ID]:[Measure ID]],Tbl_MeasureList[[Measure ID]:[Measure ID]],0),
                      MATCH(M$24,Tbl_MeasureList[#Headers],0))))</f>
        <v>540.79957040967588</v>
      </c>
      <c r="N17" s="633">
        <f>IF(Tbl_BCROutputs_Electric[[#This Row],[Replacement Type]]="Partial Displacement",INPUT_SYSTEMINTEGRATIONCOST,0)</f>
        <v>400</v>
      </c>
      <c r="O17" s="634">
        <f>IF(AND(ISNUMBER(SEARCH("DMSHP",Tbl_BCROutputs_Electric[[#This Row],[Replacement Name]])),Tbl_BCROutputs_Electric[[#This Row],[Savings Stream]]="EE"),INPUT_ELECTRICALSYSTEMUPGRADECOST,0)</f>
        <v>0</v>
      </c>
      <c r="P17" s="394">
        <f ca="1">IF(OR(Tbl_BCROutputs_Electric[[#This Row],[Replacement Type]]="Partial Displacement",Tbl_BCROutputs_Electric[[#This Row],[Savings Stream]]="EE"),
        INDEX(Tbl_MeasureList[[Measure ID]:[Current ER (EE) High Measure Gas Fuel Savings (1,000 cu.ft. gas/year)]],
                      MATCH(Tbl_BCROutputs_Electric[[#This Row],[Measure ID]],Tbl_MeasureList[[Measure ID]:[Measure ID]],0),
                      MATCH(P$24,Tbl_MeasureList[#Headers],0)),
        0
       )</f>
        <v>11958.5</v>
      </c>
      <c r="Q17" s="635">
        <f ca="1">IF(Tbl_BCROutputs_Electric[[#This Row],[Total Cost New Equipment, not including deferred replacement (USD)]]="-","-",Tbl_BCROutputs_Electric[[#This Row],[Total Cost New Equipment, not including deferred replacement (USD)]]-Tbl_BCROutputs_Electric[[#This Row],[Deferred Replacement Credit (USD)]])</f>
        <v>11417.700429590324</v>
      </c>
      <c r="R17" s="636">
        <f ca="1">IF(Tbl_BCROutputs_Electric[[#This Row],[Replacement Type]]="Partial Displacement",
        INDEX(Tbl_MeasureList[[Measure ID]:[Current ER (EE) High Measure Gas Fuel Savings (1,000 cu.ft. gas/year)]],
                      MATCH(Tbl_BCROutputs_Electric[[#This Row],[Measure ID]:[Measure ID]],Tbl_MeasureList[[Measure ID]:[Measure ID]],0),
                      MATCH(R$26,Tbl_MeasureList[#Headers],0)),
        IF(Tbl_BCROutputs_Electric[[#This Row],[Savings Stream]]="Retire",
              INDEX(Tbl_MeasureList[],MATCH(Tbl_BCROutputs_Electric[[#This Row],[Measure ID]:[Measure ID]],Tbl_MeasureList[[Measure ID]:[Measure ID]],0),MATCH(R$25,Tbl_MeasureList[#Headers],0)),
              INDEX(Tbl_MeasureList[],MATCH(Tbl_BCROutputs_Electric[[#This Row],[Measure ID]:[Measure ID]],Tbl_MeasureList[[Measure ID]:[Measure ID]],0),MATCH(R$24,Tbl_MeasureList[#Headers],0))
            )
       )</f>
        <v>-3432.542347721379</v>
      </c>
      <c r="S17" s="637">
        <f ca="1">IF(Tbl_BCROutputs_Electric[[#This Row],[Replacement Type]]="Partial Displacement",
        INDEX(Tbl_MeasureList[[Measure ID]:[Current ER (EE) High Measure Gas Fuel Savings (1,000 cu.ft. gas/year)]],
                      MATCH(Tbl_BCROutputs_Electric[[#This Row],[Measure ID]:[Measure ID]],Tbl_MeasureList[[Measure ID]:[Measure ID]],0),
                      MATCH(S$26,Tbl_MeasureList[#Headers],0)),
       IF(Tbl_BCROutputs_Electric[[#This Row],[Savings Stream]]="Retire",
             INDEX(Tbl_MeasureList[],MATCH(Tbl_BCROutputs_Electric[[#This Row],[Measure ID]:[Measure ID]],Tbl_MeasureList[[Measure ID]:[Measure ID]],0),MATCH(S$25,Tbl_MeasureList[#Headers],0)),
             INDEX(Tbl_MeasureList[],MATCH(Tbl_BCROutputs_Electric[[#This Row],[Measure ID]:[Measure ID]],Tbl_MeasureList[[Measure ID]:[Measure ID]],0),MATCH(S$24,Tbl_MeasureList[#Headers],0))))</f>
        <v>46.110750774935504</v>
      </c>
      <c r="T17" s="638">
        <f ca="1">IF(Tbl_BCROutputs_Electric[[#This Row],[Replacement Type]]="Partial Displacement",
        INDEX(Tbl_MeasureList[[Measure ID]:[Current ER (EE) High Measure Gas Fuel Savings (1,000 cu.ft. gas/year)]],
                      MATCH(Tbl_BCROutputs_Electric[[#This Row],[Measure ID]:[Measure ID]],Tbl_MeasureList[[Measure ID]:[Measure ID]],0),
                      MATCH(T$26,Tbl_MeasureList[#Headers],0)),
       IF(Tbl_BCROutputs_Electric[[#This Row],[Savings Stream]]="Retire",
              INDEX(Tbl_MeasureList[],MATCH(Tbl_BCROutputs_Electric[[#This Row],[Measure ID]:[Measure ID]],Tbl_MeasureList[[Measure ID]:[Measure ID]],0),MATCH(T$25,Tbl_MeasureList[#Headers],0)),
              INDEX(Tbl_MeasureList[],MATCH(Tbl_BCROutputs_Electric[[#This Row],[Measure ID]:[Measure ID]],Tbl_MeasureList[[Measure ID]:[Measure ID]],0),MATCH(T$24,Tbl_MeasureList[#Headers],0))
            ))</f>
        <v>0</v>
      </c>
      <c r="U17" s="397">
        <f ca="1">IF(Tbl_BCROutputs_Electric[[#This Row],[Replacement Type]]="Partial Displacement",
        INDEX(Tbl_MeasureList[[Measure ID]:[Current ER (EE) High Measure Gas Fuel Savings (1,000 cu.ft. gas/year)]],
                      MATCH(Tbl_BCROutputs_Electric[[#This Row],[Measure ID]:[Measure ID]],Tbl_MeasureList[[Measure ID]:[Measure ID]],0),
                      MATCH(U$26,Tbl_MeasureList[#Headers],0)),
       IF(Tbl_BCROutputs_Electric[[#This Row],[Savings Stream]]="Retire",
              INDEX(Tbl_MeasureList[],MATCH(Tbl_BCROutputs_Electric[[#This Row],[Measure ID]:[Measure ID]],Tbl_MeasureList[[Measure ID]:[Measure ID]],0),MATCH(U$25,Tbl_MeasureList[#Headers],0)),
              INDEX(Tbl_MeasureList[],MATCH(Tbl_BCROutputs_Electric[[#This Row],[Measure ID]:[Measure ID]],Tbl_MeasureList[[Measure ID]:[Measure ID]],0),MATCH(U$24,Tbl_MeasureList[#Headers],0))
            ))</f>
        <v>57.82258526536085</v>
      </c>
      <c r="V17" s="639">
        <f ca="1">IF(OR(Tbl_BCROutputs_Electric[[#This Row],[Replacement Type]]="Partial Displacement",Tbl_BCROutputs_Electric[[#This Row],[Savings Stream]]="EE"),
        INDEX(Tbl_MeasureList[[Measure ID]:[Current ER (EE) High Measure Gas Fuel Savings (1,000 cu.ft. gas/year)]],
                      MATCH(Tbl_BCROutputs_Electric[[#This Row],[Measure ID]:[Measure ID]],Tbl_MeasureList[[Measure ID]:[Measure ID]],0),
                      MATCH(V$10,Tbl_MeasureList[#Headers],0)),
      0)</f>
        <v>0</v>
      </c>
      <c r="W17" s="640">
        <f ca="1">IF(OR(Tbl_BCROutputs_Electric[[#This Row],[Replacement Type]]="Partial Displacement",Tbl_BCROutputs_Electric[[#This Row],[Savings Stream]]="EE"),
        INDEX(Tbl_MeasureList[[Measure ID]:[Current ER (EE) High Measure Gas Fuel Savings (1,000 cu.ft. gas/year)]],
                      MATCH(Tbl_BCROutputs_Electric[[#This Row],[Measure ID]:[Measure ID]],Tbl_MeasureList[[Measure ID]:[Measure ID]],0),
                      MATCH(W$10,Tbl_MeasureList[#Headers],0)),
       0)</f>
        <v>46.865442408217994</v>
      </c>
      <c r="X17" s="636">
        <f ca="1">IF(Tbl_BCROutputs_Electric[[#This Row],[Replacement Type]]="Partial Displacement",
        INDEX(Tbl_MeasureList[[Measure ID]:[Current ER (EE) High Measure Gas Fuel Savings (1,000 cu.ft. gas/year)]],
                      MATCH(Tbl_BCROutputs_Electric[[#This Row],[Measure ID]:[Measure ID]],Tbl_MeasureList[[Measure ID]:[Measure ID]],0),
                      MATCH(X$26,Tbl_MeasureList[#Headers],0)),
       IF(Tbl_BCROutputs_Electric[[#This Row],[Savings Stream]]="Retire",
              INDEX(Tbl_MeasureList[],MATCH(Tbl_BCROutputs_Electric[[#This Row],[Measure ID]:[Measure ID]],Tbl_MeasureList[[Measure ID]:[Measure ID]],0),MATCH(X$25,Tbl_MeasureList[#Headers],0)),
              INDEX(Tbl_MeasureList[],MATCH(Tbl_BCROutputs_Electric[[#This Row],[Measure ID]:[Measure ID]],Tbl_MeasureList[[Measure ID]:[Measure ID]],0),MATCH(X$24,Tbl_MeasureList[#Headers],0))
            ))</f>
        <v>-4231.4240868518136</v>
      </c>
      <c r="Y17" s="641">
        <f ca="1">IF(Tbl_BCROutputs_Electric[[#This Row],[Replacement Type]]="Partial Displacement",
        INDEX(Tbl_MeasureList[[Measure ID]:[Current ER (EE) High Measure Gas Fuel Savings (1,000 cu.ft. gas/year)]],
                      MATCH(Tbl_BCROutputs_Electric[[#This Row],[Measure ID]:[Measure ID]],Tbl_MeasureList[[Measure ID]:[Measure ID]],0),
                      MATCH(Y$26,Tbl_MeasureList[#Headers],0)),
       IF(Tbl_BCROutputs_Electric[[#This Row],[Savings Stream]]="Retire",
              INDEX(Tbl_MeasureList[],MATCH(Tbl_BCROutputs_Electric[[#This Row],[Measure ID]:[Measure ID]],Tbl_MeasureList[[Measure ID]:[Measure ID]],0),MATCH(Y$25,Tbl_MeasureList[#Headers],0)),
              INDEX(Tbl_MeasureList[],MATCH(Tbl_BCROutputs_Electric[[#This Row],[Measure ID]:[Measure ID]],Tbl_MeasureList[[Measure ID]:[Measure ID]],0),MATCH(Y$24,Tbl_MeasureList[#Headers],0))
            ))</f>
        <v>798.88173913043488</v>
      </c>
      <c r="Z17" s="396">
        <f ca="1">IF(Tbl_BCROutputs_Electric[[#This Row],[Replacement Type]]="Partial Displacement",
        INDEX(Tbl_MeasureList[[Measure ID]:[Current ER (EE) High Measure Gas Fuel Savings (1,000 cu.ft. gas/year)]],
                      MATCH(Tbl_BCROutputs_Electric[[#This Row],[Measure ID]:[Measure ID]],Tbl_MeasureList[[Measure ID]:[Measure ID]],0),
                      MATCH(Z$26,Tbl_MeasureList[#Headers],0)),
       IF(Tbl_BCROutputs_Electric[[#This Row],[Savings Stream]]="Retire",
              INDEX(Tbl_MeasureList[],MATCH(Tbl_BCROutputs_Electric[[#This Row],[Measure ID]:[Measure ID]],Tbl_MeasureList[[Measure ID]:[Measure ID]],0),MATCH(Z$25,Tbl_MeasureList[#Headers],0)),
              INDEX(Tbl_MeasureList[],MATCH(Tbl_BCROutputs_Electric[[#This Row],[Measure ID]:[Measure ID]],Tbl_MeasureList[[Measure ID]:[Measure ID]],0),MATCH(Z$24,Tbl_MeasureList[#Headers],0))
            ))</f>
        <v>-1.0897171620325983</v>
      </c>
      <c r="AA17" s="654">
        <f ca="1">IF(Tbl_BCROutputs_Electric[[#This Row],[Replacement Type]]="Partial Displacement",
        INDEX(Tbl_MeasureList[[Measure ID]:[Current ER (EE) High Measure Gas Fuel Savings (1,000 cu.ft. gas/year)]],
                      MATCH(Tbl_BCROutputs_Electric[[#This Row],[Measure ID]:[Measure ID]],Tbl_MeasureList[[Measure ID]:[Measure ID]],0),
                      MATCH(AA$26,Tbl_MeasureList[#Headers],0)),
       IF(Tbl_BCROutputs_Electric[[#This Row],[Savings Stream]]="Retire",
              INDEX(Tbl_MeasureList[],MATCH(Tbl_BCROutputs_Electric[[#This Row],[Measure ID]:[Measure ID]],Tbl_MeasureList[[Measure ID]:[Measure ID]],0),MATCH(AA$25,Tbl_MeasureList[#Headers],0)),
              INDEX(Tbl_MeasureList[],MATCH(Tbl_BCROutputs_Electric[[#This Row],[Measure ID]:[Measure ID]],Tbl_MeasureList[[Measure ID]:[Measure ID]],0),MATCH(AA$24,Tbl_MeasureList[#Headers],0))
            ))</f>
        <v>0.97000000000000031</v>
      </c>
      <c r="AB17" s="655">
        <f>IF(Tbl_BCROutputs_Electric[[#This Row],[Replacement Fuel]]="Electric+Oil", INPUT_OILHEATSWITCHOVER,
         IF(Tbl_BCROutputs_Electric[[#This Row],[Replacement Fuel]]="Electric+Propane", INPUT_PROPANEHEATSWITCHOVER,
                IF(Tbl_BCROutputs_Electric[[#This Row],[Replacement Fuel]]="Electric+Gas", INPUT_GASHEATSWITCHOVER,
                       IF(Tbl_BCROutputs_Electric[[#This Row],[Replacement Fuel]]="Electric", INPUT_RESISTANCEHEAT_SWITCHOVER,0))))</f>
        <v>25</v>
      </c>
    </row>
    <row r="18" spans="2:62" s="581" customFormat="1" ht="22.5" x14ac:dyDescent="0.2">
      <c r="B18" s="582"/>
      <c r="C18" s="583" t="s">
        <v>91</v>
      </c>
      <c r="D18" s="583" t="s">
        <v>1509</v>
      </c>
      <c r="E18" s="83" t="str">
        <f>INDEX(Tbl_MeasureList[],MATCH(Tbl_BCROutputs_Electric[[#This Row],[Measure ID]],Tbl_MeasureList[[Measure ID]:[Measure ID]],0),MATCH(Tbl_BCROutputs_Electric[[#Headers],[Replacement ID]],Tbl_MeasureList[#Headers],0))</f>
        <v>EQUI011</v>
      </c>
      <c r="F18" s="83" t="str">
        <f>INDEX(Tbl_MeasureList[[Measure ID]:[Current ER (EE) High Measure Gas Fuel Savings (1,000 cu.ft. gas/year)]],
               MATCH(Tbl_BCROutputs_Electric[[#This Row],[Measure ID]:[Measure ID]],Tbl_MeasureList[[Measure ID]:[Measure ID]],0),
               MATCH(F$10,Tbl_MeasureList[#Headers],0))</f>
        <v>Room AC/No AC Blend+Propane Boiler</v>
      </c>
      <c r="G18" s="83" t="str">
        <f>INDEX(Tbl_MeasureList[[Measure ID]:[Current ER (EE) High Measure Gas Fuel Savings (1,000 cu.ft. gas/year)]],
               MATCH(Tbl_BCROutputs_Electric[[#This Row],[Measure ID]:[Measure ID]],Tbl_MeasureList[[Measure ID]:[Measure ID]],0),
               MATCH(G$10,Tbl_MeasureList[#Headers],0))</f>
        <v>DMSHP+Propane Boiler</v>
      </c>
      <c r="H18" s="83" t="str">
        <f>INDEX(Tbl_MeasureList[Replacement Fuel 1],MATCH(Tbl_BCROutputs_Electric[[#This Row],[Measure ID]],Tbl_MeasureList[Measure ID],0))&amp;
  IF(INDEX(Tbl_MeasureList[Replacement Fuel 2],MATCH(Tbl_BCROutputs_Electric[[#This Row],[Measure ID]],Tbl_MeasureList[Measure ID],0))&lt;&gt;"-",
       "+"&amp;INDEX(Tbl_MeasureList[Replacement Fuel 2],MATCH(Tbl_BCROutputs_Electric[[#This Row],[Measure ID]],Tbl_MeasureList[Measure ID],0)),"")</f>
        <v>Electric+Propane</v>
      </c>
      <c r="I18" s="629" t="str">
        <f>IF(Tbl_BCROutputs_Electric[[#This Row],[Replacement Fuel]]="Natural Gas",INDEX(Tbl_EquipmentDefinitions[Natural Gas High Measure Efficiency],MATCH(Tbl_BCROutputs_Electric[[#This Row],[Replacement ID]],Tbl_EquipmentDefinitions[Equipment ID],0)),
  IF(Tbl_BCROutputs_Electric[[#This Row],[Replacement Fuel]]="Electric",INDEX(Tbl_EquipmentDefinitions[Electricity High Measure Efficiency],MATCH(Tbl_BCROutputs_Electric[[#This Row],[Replacement ID]],Tbl_EquipmentDefinitions[Equipment ID],0)),
  IF(Tbl_BCROutputs_Electric[[#This Row],[Replacement Fuel]]="Electric+Oil",
        INDEX(Tbl_EquipmentDefinitions[Electricity High Measure Efficiency],MATCH(Tbl_BCROutputs_Electric[[#This Row],[Replacement ID]],Tbl_EquipmentDefinitions[Equipment ID],0))&amp;CHAR(10)&amp;
        INDEX(Tbl_EquipmentDefinitions[Oil Baseline Efficiency],MATCH(Tbl_BCROutputs_Electric[[#This Row],[Replacement ID]],Tbl_EquipmentDefinitions[Equipment ID],0)),
  IF(Tbl_BCROutputs_Electric[[#This Row],[Replacement Fuel]]="Electric+Propane",
        INDEX(Tbl_EquipmentDefinitions[Electricity High Measure Efficiency],MATCH(Tbl_BCROutputs_Electric[[#This Row],[Replacement ID]],Tbl_EquipmentDefinitions[Equipment ID],0))&amp;CHAR(10)&amp;
        INDEX(Tbl_EquipmentDefinitions[Propane Baseline Efficiency],MATCH(Tbl_BCROutputs_Electric[[#This Row],[Replacement ID]],Tbl_EquipmentDefinitions[Equipment ID],0)),
  IF(Tbl_BCROutputs_Electric[[#This Row],[Replacement Fuel]]="Electric+Electric",INDEX(Tbl_EquipmentDefinitions[Electricity High Measure Efficiency],MATCH(Tbl_BCROutputs_Electric[[#This Row],[Replacement ID]],Tbl_EquipmentDefinitions[Equipment ID],0)),
)))))</f>
        <v>20 SEER/12.0 HSPF
75% AFUE</v>
      </c>
      <c r="J18" s="83" t="str">
        <f>INDEX(Tbl_MeasureList[[Measure ID]:[Current ER (EE) High Measure Gas Fuel Savings (1,000 cu.ft. gas/year)]],
               MATCH(Tbl_BCROutputs_Electric[[#This Row],[Measure ID]:[Measure ID]],Tbl_MeasureList[[Measure ID]:[Measure ID]],0),
               MATCH(J$10,Tbl_MeasureList[#Headers],0))</f>
        <v>Yes</v>
      </c>
      <c r="K18" s="630" t="str">
        <f>IF(Tbl_BCROutputs_Electric[[#This Row],[Keep Existing Heating Equipment?]]="Yes","Partial Displacement","Full Replacement")</f>
        <v>Partial Displacement</v>
      </c>
      <c r="L18" s="631">
        <f>IF(Tbl_BCROutputs_Electric[[#This Row],[Replacement Type]]="Partial Displacement",
        INDEX(Tbl_EquipmentDefinitions[New Unit Equipment Life (years)],
                       MATCH(INDEX(Tbl_MeasureList[[Measure ID]:[Current ER (EE) High Measure Gas Fuel Savings (1,000 cu.ft. gas/year)]],
                                                      MATCH(Tbl_BCROutputs_Electric[[#This Row],[Measure ID]:[Measure ID]],Tbl_MeasureList[Measure ID],0),
                                                      MATCH(L$24,Tbl_MeasureList[#Headers],0)),
                                        Tbl_EquipmentDefinitions[Equipment ID],
                                        0)),
        IF(Tbl_BCROutputs_Electric[[#This Row],[Savings Stream]]="Retire",
             INDEX(Tbl_MeasureList[],MATCH(Tbl_BCROutputs_Electric[[#This Row],[Measure ID]],Tbl_MeasureList[[Measure ID]:[Measure ID]],0),MATCH($L$26,Tbl_MeasureList[#Headers],0)),
             INDEX(Tbl_MeasureList[],MATCH(Tbl_BCROutputs_Electric[[#This Row],[Measure ID]],Tbl_MeasureList[[Measure ID]:[Measure ID]],0),MATCH($L$25,Tbl_MeasureList[#Headers],0)))
        )</f>
        <v>18</v>
      </c>
      <c r="M18" s="632">
        <f>IF(Tbl_BCROutputs_Electric[[#This Row],[Replacement Type]]="Partial Displacement",
       INDEX(Tbl_MeasureList[[Measure ID]:[Current ER (EE) High Measure Gas Fuel Savings (1,000 cu.ft. gas/year)]],
                      MATCH(Tbl_BCROutputs_Electric[[#This Row],[Measure ID]:[Measure ID]],Tbl_MeasureList[[Measure ID]:[Measure ID]],0),
                      MATCH(M$25,Tbl_MeasureList[#Headers],0)),
       IF(Tbl_BCROutputs_Electric[[#This Row],[Savings Stream]]="Retire",0,
              INDEX(Tbl_MeasureList[[Measure ID]:[Current ER (EE) High Measure Gas Fuel Savings (1,000 cu.ft. gas/year)]],
                      MATCH(Tbl_BCROutputs_Electric[[#This Row],[Measure ID]:[Measure ID]],Tbl_MeasureList[[Measure ID]:[Measure ID]],0),
                      MATCH(M$24,Tbl_MeasureList[#Headers],0))))</f>
        <v>540.79957040967588</v>
      </c>
      <c r="N18" s="633">
        <f>IF(Tbl_BCROutputs_Electric[[#This Row],[Replacement Type]]="Partial Displacement",INPUT_SYSTEMINTEGRATIONCOST,0)</f>
        <v>400</v>
      </c>
      <c r="O18" s="634">
        <f>IF(AND(ISNUMBER(SEARCH("DMSHP",Tbl_BCROutputs_Electric[[#This Row],[Replacement Name]])),Tbl_BCROutputs_Electric[[#This Row],[Savings Stream]]="EE"),INPUT_ELECTRICALSYSTEMUPGRADECOST,0)</f>
        <v>0</v>
      </c>
      <c r="P18" s="394">
        <f ca="1">IF(OR(Tbl_BCROutputs_Electric[[#This Row],[Replacement Type]]="Partial Displacement",Tbl_BCROutputs_Electric[[#This Row],[Savings Stream]]="EE"),
        INDEX(Tbl_MeasureList[[Measure ID]:[Current ER (EE) High Measure Gas Fuel Savings (1,000 cu.ft. gas/year)]],
                      MATCH(Tbl_BCROutputs_Electric[[#This Row],[Measure ID]],Tbl_MeasureList[[Measure ID]:[Measure ID]],0),
                      MATCH(P$24,Tbl_MeasureList[#Headers],0)),
        0
       )</f>
        <v>11958.5</v>
      </c>
      <c r="Q18" s="635">
        <f ca="1">IF(Tbl_BCROutputs_Electric[[#This Row],[Total Cost New Equipment, not including deferred replacement (USD)]]="-","-",Tbl_BCROutputs_Electric[[#This Row],[Total Cost New Equipment, not including deferred replacement (USD)]]-Tbl_BCROutputs_Electric[[#This Row],[Deferred Replacement Credit (USD)]])</f>
        <v>11417.700429590324</v>
      </c>
      <c r="R18" s="636">
        <f ca="1">IF(Tbl_BCROutputs_Electric[[#This Row],[Replacement Type]]="Partial Displacement",
        INDEX(Tbl_MeasureList[[Measure ID]:[Current ER (EE) High Measure Gas Fuel Savings (1,000 cu.ft. gas/year)]],
                      MATCH(Tbl_BCROutputs_Electric[[#This Row],[Measure ID]:[Measure ID]],Tbl_MeasureList[[Measure ID]:[Measure ID]],0),
                      MATCH(R$26,Tbl_MeasureList[#Headers],0)),
        IF(Tbl_BCROutputs_Electric[[#This Row],[Savings Stream]]="Retire",
              INDEX(Tbl_MeasureList[],MATCH(Tbl_BCROutputs_Electric[[#This Row],[Measure ID]:[Measure ID]],Tbl_MeasureList[[Measure ID]:[Measure ID]],0),MATCH(R$25,Tbl_MeasureList[#Headers],0)),
              INDEX(Tbl_MeasureList[],MATCH(Tbl_BCROutputs_Electric[[#This Row],[Measure ID]:[Measure ID]],Tbl_MeasureList[[Measure ID]:[Measure ID]],0),MATCH(R$24,Tbl_MeasureList[#Headers],0))
            )
       )</f>
        <v>-5175.7304693277729</v>
      </c>
      <c r="S18" s="637">
        <f ca="1">IF(Tbl_BCROutputs_Electric[[#This Row],[Replacement Type]]="Partial Displacement",
        INDEX(Tbl_MeasureList[[Measure ID]:[Current ER (EE) High Measure Gas Fuel Savings (1,000 cu.ft. gas/year)]],
                      MATCH(Tbl_BCROutputs_Electric[[#This Row],[Measure ID]:[Measure ID]],Tbl_MeasureList[[Measure ID]:[Measure ID]],0),
                      MATCH(S$26,Tbl_MeasureList[#Headers],0)),
       IF(Tbl_BCROutputs_Electric[[#This Row],[Savings Stream]]="Retire",
             INDEX(Tbl_MeasureList[],MATCH(Tbl_BCROutputs_Electric[[#This Row],[Measure ID]:[Measure ID]],Tbl_MeasureList[[Measure ID]:[Measure ID]],0),MATCH(S$25,Tbl_MeasureList[#Headers],0)),
             INDEX(Tbl_MeasureList[],MATCH(Tbl_BCROutputs_Electric[[#This Row],[Measure ID]:[Measure ID]],Tbl_MeasureList[[Measure ID]:[Measure ID]],0),MATCH(S$24,Tbl_MeasureList[#Headers],0))))</f>
        <v>63.530284722827183</v>
      </c>
      <c r="T18" s="638">
        <f ca="1">IF(Tbl_BCROutputs_Electric[[#This Row],[Replacement Type]]="Partial Displacement",
        INDEX(Tbl_MeasureList[[Measure ID]:[Current ER (EE) High Measure Gas Fuel Savings (1,000 cu.ft. gas/year)]],
                      MATCH(Tbl_BCROutputs_Electric[[#This Row],[Measure ID]:[Measure ID]],Tbl_MeasureList[[Measure ID]:[Measure ID]],0),
                      MATCH(T$26,Tbl_MeasureList[#Headers],0)),
       IF(Tbl_BCROutputs_Electric[[#This Row],[Savings Stream]]="Retire",
              INDEX(Tbl_MeasureList[],MATCH(Tbl_BCROutputs_Electric[[#This Row],[Measure ID]:[Measure ID]],Tbl_MeasureList[[Measure ID]:[Measure ID]],0),MATCH(T$25,Tbl_MeasureList[#Headers],0)),
              INDEX(Tbl_MeasureList[],MATCH(Tbl_BCROutputs_Electric[[#This Row],[Measure ID]:[Measure ID]],Tbl_MeasureList[[Measure ID]:[Measure ID]],0),MATCH(T$24,Tbl_MeasureList[#Headers],0))
            ))</f>
        <v>81.189877084173546</v>
      </c>
      <c r="U18" s="397">
        <f ca="1">IF(Tbl_BCROutputs_Electric[[#This Row],[Replacement Type]]="Partial Displacement",
        INDEX(Tbl_MeasureList[[Measure ID]:[Current ER (EE) High Measure Gas Fuel Savings (1,000 cu.ft. gas/year)]],
                      MATCH(Tbl_BCROutputs_Electric[[#This Row],[Measure ID]:[Measure ID]],Tbl_MeasureList[[Measure ID]:[Measure ID]],0),
                      MATCH(U$26,Tbl_MeasureList[#Headers],0)),
       IF(Tbl_BCROutputs_Electric[[#This Row],[Savings Stream]]="Retire",
              INDEX(Tbl_MeasureList[],MATCH(Tbl_BCROutputs_Electric[[#This Row],[Measure ID]:[Measure ID]],Tbl_MeasureList[[Measure ID]:[Measure ID]],0),MATCH(U$25,Tbl_MeasureList[#Headers],0)),
              INDEX(Tbl_MeasureList[],MATCH(Tbl_BCROutputs_Electric[[#This Row],[Measure ID]:[Measure ID]],Tbl_MeasureList[[Measure ID]:[Measure ID]],0),MATCH(U$24,Tbl_MeasureList[#Headers],0))
            ))</f>
        <v>0</v>
      </c>
      <c r="V18" s="639">
        <f ca="1">IF(OR(Tbl_BCROutputs_Electric[[#This Row],[Replacement Type]]="Partial Displacement",Tbl_BCROutputs_Electric[[#This Row],[Savings Stream]]="EE"),
        INDEX(Tbl_MeasureList[[Measure ID]:[Current ER (EE) High Measure Gas Fuel Savings (1,000 cu.ft. gas/year)]],
                      MATCH(Tbl_BCROutputs_Electric[[#This Row],[Measure ID]:[Measure ID]],Tbl_MeasureList[[Measure ID]:[Measure ID]],0),
                      MATCH(V$10,Tbl_MeasureList[#Headers],0)),
      0)</f>
        <v>75.644521892916714</v>
      </c>
      <c r="W18" s="640">
        <f ca="1">IF(OR(Tbl_BCROutputs_Electric[[#This Row],[Replacement Type]]="Partial Displacement",Tbl_BCROutputs_Electric[[#This Row],[Savings Stream]]="EE"),
        INDEX(Tbl_MeasureList[[Measure ID]:[Current ER (EE) High Measure Gas Fuel Savings (1,000 cu.ft. gas/year)]],
                      MATCH(Tbl_BCROutputs_Electric[[#This Row],[Measure ID]:[Measure ID]],Tbl_MeasureList[[Measure ID]:[Measure ID]],0),
                      MATCH(W$10,Tbl_MeasureList[#Headers],0)),
       0)</f>
        <v>0</v>
      </c>
      <c r="X18" s="636">
        <f ca="1">IF(Tbl_BCROutputs_Electric[[#This Row],[Replacement Type]]="Partial Displacement",
        INDEX(Tbl_MeasureList[[Measure ID]:[Current ER (EE) High Measure Gas Fuel Savings (1,000 cu.ft. gas/year)]],
                      MATCH(Tbl_BCROutputs_Electric[[#This Row],[Measure ID]:[Measure ID]],Tbl_MeasureList[[Measure ID]:[Measure ID]],0),
                      MATCH(X$26,Tbl_MeasureList[#Headers],0)),
       IF(Tbl_BCROutputs_Electric[[#This Row],[Savings Stream]]="Retire",
              INDEX(Tbl_MeasureList[],MATCH(Tbl_BCROutputs_Electric[[#This Row],[Measure ID]:[Measure ID]],Tbl_MeasureList[[Measure ID]:[Measure ID]],0),MATCH(X$25,Tbl_MeasureList[#Headers],0)),
              INDEX(Tbl_MeasureList[],MATCH(Tbl_BCROutputs_Electric[[#This Row],[Measure ID]:[Measure ID]],Tbl_MeasureList[[Measure ID]:[Measure ID]],0),MATCH(X$24,Tbl_MeasureList[#Headers],0))
            ))</f>
        <v>-5974.6122084582075</v>
      </c>
      <c r="Y18" s="641">
        <f ca="1">IF(Tbl_BCROutputs_Electric[[#This Row],[Replacement Type]]="Partial Displacement",
        INDEX(Tbl_MeasureList[[Measure ID]:[Current ER (EE) High Measure Gas Fuel Savings (1,000 cu.ft. gas/year)]],
                      MATCH(Tbl_BCROutputs_Electric[[#This Row],[Measure ID]:[Measure ID]],Tbl_MeasureList[[Measure ID]:[Measure ID]],0),
                      MATCH(Y$26,Tbl_MeasureList[#Headers],0)),
       IF(Tbl_BCROutputs_Electric[[#This Row],[Savings Stream]]="Retire",
              INDEX(Tbl_MeasureList[],MATCH(Tbl_BCROutputs_Electric[[#This Row],[Measure ID]:[Measure ID]],Tbl_MeasureList[[Measure ID]:[Measure ID]],0),MATCH(Y$25,Tbl_MeasureList[#Headers],0)),
              INDEX(Tbl_MeasureList[],MATCH(Tbl_BCROutputs_Electric[[#This Row],[Measure ID]:[Measure ID]],Tbl_MeasureList[[Measure ID]:[Measure ID]],0),MATCH(Y$24,Tbl_MeasureList[#Headers],0))
            ))</f>
        <v>798.88173913043488</v>
      </c>
      <c r="Z18" s="396">
        <f ca="1">IF(Tbl_BCROutputs_Electric[[#This Row],[Replacement Type]]="Partial Displacement",
        INDEX(Tbl_MeasureList[[Measure ID]:[Current ER (EE) High Measure Gas Fuel Savings (1,000 cu.ft. gas/year)]],
                      MATCH(Tbl_BCROutputs_Electric[[#This Row],[Measure ID]:[Measure ID]],Tbl_MeasureList[[Measure ID]:[Measure ID]],0),
                      MATCH(Z$26,Tbl_MeasureList[#Headers],0)),
       IF(Tbl_BCROutputs_Electric[[#This Row],[Savings Stream]]="Retire",
              INDEX(Tbl_MeasureList[],MATCH(Tbl_BCROutputs_Electric[[#This Row],[Measure ID]:[Measure ID]],Tbl_MeasureList[[Measure ID]:[Measure ID]],0),MATCH(Z$25,Tbl_MeasureList[#Headers],0)),
              INDEX(Tbl_MeasureList[],MATCH(Tbl_BCROutputs_Electric[[#This Row],[Measure ID]:[Measure ID]],Tbl_MeasureList[[Measure ID]:[Measure ID]],0),MATCH(Z$24,Tbl_MeasureList[#Headers],0))
            ))</f>
        <v>-1.0947794822627037</v>
      </c>
      <c r="AA18" s="654">
        <f ca="1">IF(Tbl_BCROutputs_Electric[[#This Row],[Replacement Type]]="Partial Displacement",
        INDEX(Tbl_MeasureList[[Measure ID]:[Current ER (EE) High Measure Gas Fuel Savings (1,000 cu.ft. gas/year)]],
                      MATCH(Tbl_BCROutputs_Electric[[#This Row],[Measure ID]:[Measure ID]],Tbl_MeasureList[[Measure ID]:[Measure ID]],0),
                      MATCH(AA$26,Tbl_MeasureList[#Headers],0)),
       IF(Tbl_BCROutputs_Electric[[#This Row],[Savings Stream]]="Retire",
              INDEX(Tbl_MeasureList[],MATCH(Tbl_BCROutputs_Electric[[#This Row],[Measure ID]:[Measure ID]],Tbl_MeasureList[[Measure ID]:[Measure ID]],0),MATCH(AA$25,Tbl_MeasureList[#Headers],0)),
              INDEX(Tbl_MeasureList[],MATCH(Tbl_BCROutputs_Electric[[#This Row],[Measure ID]:[Measure ID]],Tbl_MeasureList[[Measure ID]:[Measure ID]],0),MATCH(AA$24,Tbl_MeasureList[#Headers],0))
            ))</f>
        <v>0.97000000000000031</v>
      </c>
      <c r="AB18" s="655">
        <f>IF(Tbl_BCROutputs_Electric[[#This Row],[Replacement Fuel]]="Electric+Oil", INPUT_OILHEATSWITCHOVER,
         IF(Tbl_BCROutputs_Electric[[#This Row],[Replacement Fuel]]="Electric+Propane", INPUT_PROPANEHEATSWITCHOVER,
                IF(Tbl_BCROutputs_Electric[[#This Row],[Replacement Fuel]]="Electric+Gas", INPUT_GASHEATSWITCHOVER,
                       IF(Tbl_BCROutputs_Electric[[#This Row],[Replacement Fuel]]="Electric", INPUT_RESISTANCEHEAT_SWITCHOVER,0))))</f>
        <v>15</v>
      </c>
    </row>
    <row r="19" spans="2:62" s="581" customFormat="1" x14ac:dyDescent="0.2">
      <c r="B19" s="582"/>
      <c r="C19" s="583" t="s">
        <v>1217</v>
      </c>
      <c r="D19" s="583" t="s">
        <v>1216</v>
      </c>
      <c r="E19" s="83" t="str">
        <f>INDEX(Tbl_MeasureList[],MATCH(Tbl_BCROutputs_Electric[[#This Row],[Measure ID]],Tbl_MeasureList[[Measure ID]:[Measure ID]],0),MATCH(Tbl_BCROutputs_Electric[[#Headers],[Replacement ID]],Tbl_MeasureList[#Headers],0))</f>
        <v>EQUI039</v>
      </c>
      <c r="F19" s="83" t="str">
        <f>INDEX(Tbl_MeasureList[[Measure ID]:[Current ER (EE) High Measure Gas Fuel Savings (1,000 cu.ft. gas/year)]],
               MATCH(Tbl_BCROutputs_Electric[[#This Row],[Measure ID]:[Measure ID]],Tbl_MeasureList[[Measure ID]:[Measure ID]],0),
               MATCH(F$10,Tbl_MeasureList[#Headers],0))</f>
        <v>Room AC/No AC Blend+Oil Boiler</v>
      </c>
      <c r="G19" s="83" t="str">
        <f>INDEX(Tbl_MeasureList[[Measure ID]:[Current ER (EE) High Measure Gas Fuel Savings (1,000 cu.ft. gas/year)]],
               MATCH(Tbl_BCROutputs_Electric[[#This Row],[Measure ID]:[Measure ID]],Tbl_MeasureList[[Measure ID]:[Measure ID]],0),
               MATCH(G$10,Tbl_MeasureList[#Headers],0))</f>
        <v>DMSHP</v>
      </c>
      <c r="H19" s="83" t="str">
        <f>INDEX(Tbl_MeasureList[Replacement Fuel 1],MATCH(Tbl_BCROutputs_Electric[[#This Row],[Measure ID]],Tbl_MeasureList[Measure ID],0))&amp;
  IF(INDEX(Tbl_MeasureList[Replacement Fuel 2],MATCH(Tbl_BCROutputs_Electric[[#This Row],[Measure ID]],Tbl_MeasureList[Measure ID],0))&lt;&gt;"-",
       "+"&amp;INDEX(Tbl_MeasureList[Replacement Fuel 2],MATCH(Tbl_BCROutputs_Electric[[#This Row],[Measure ID]],Tbl_MeasureList[Measure ID],0)),"")</f>
        <v>Electric</v>
      </c>
      <c r="I19" s="629" t="str">
        <f>IF(Tbl_BCROutputs_Electric[[#This Row],[Replacement Fuel]]="Natural Gas",INDEX(Tbl_EquipmentDefinitions[Natural Gas High Measure Efficiency],MATCH(Tbl_BCROutputs_Electric[[#This Row],[Replacement ID]],Tbl_EquipmentDefinitions[Equipment ID],0)),
  IF(Tbl_BCROutputs_Electric[[#This Row],[Replacement Fuel]]="Electric",INDEX(Tbl_EquipmentDefinitions[Electricity High Measure Efficiency],MATCH(Tbl_BCROutputs_Electric[[#This Row],[Replacement ID]],Tbl_EquipmentDefinitions[Equipment ID],0)),
  IF(Tbl_BCROutputs_Electric[[#This Row],[Replacement Fuel]]="Electric+Oil",
        INDEX(Tbl_EquipmentDefinitions[Electricity High Measure Efficiency],MATCH(Tbl_BCROutputs_Electric[[#This Row],[Replacement ID]],Tbl_EquipmentDefinitions[Equipment ID],0))&amp;CHAR(10)&amp;
        INDEX(Tbl_EquipmentDefinitions[Oil Baseline Efficiency],MATCH(Tbl_BCROutputs_Electric[[#This Row],[Replacement ID]],Tbl_EquipmentDefinitions[Equipment ID],0)),
  IF(Tbl_BCROutputs_Electric[[#This Row],[Replacement Fuel]]="Electric+Propane",
        INDEX(Tbl_EquipmentDefinitions[Electricity High Measure Efficiency],MATCH(Tbl_BCROutputs_Electric[[#This Row],[Replacement ID]],Tbl_EquipmentDefinitions[Equipment ID],0))&amp;CHAR(10)&amp;
        INDEX(Tbl_EquipmentDefinitions[Propane Baseline Efficiency],MATCH(Tbl_BCROutputs_Electric[[#This Row],[Replacement ID]],Tbl_EquipmentDefinitions[Equipment ID],0)),
  IF(Tbl_BCROutputs_Electric[[#This Row],[Replacement Fuel]]="Electric+Electric",INDEX(Tbl_EquipmentDefinitions[Electricity High Measure Efficiency],MATCH(Tbl_BCROutputs_Electric[[#This Row],[Replacement ID]],Tbl_EquipmentDefinitions[Equipment ID],0)),
)))))</f>
        <v>20 SEER/12.0 HSPF</v>
      </c>
      <c r="J19" s="83" t="str">
        <f>INDEX(Tbl_MeasureList[[Measure ID]:[Current ER (EE) High Measure Gas Fuel Savings (1,000 cu.ft. gas/year)]],
               MATCH(Tbl_BCROutputs_Electric[[#This Row],[Measure ID]:[Measure ID]],Tbl_MeasureList[[Measure ID]:[Measure ID]],0),
               MATCH(J$10,Tbl_MeasureList[#Headers],0))</f>
        <v>No</v>
      </c>
      <c r="K19" s="630" t="str">
        <f>IF(Tbl_BCROutputs_Electric[[#This Row],[Keep Existing Heating Equipment?]]="Yes","Partial Displacement","Full Replacement")</f>
        <v>Full Replacement</v>
      </c>
      <c r="L19" s="631">
        <f>IF(Tbl_BCROutputs_Electric[[#This Row],[Replacement Type]]="Partial Displacement",
        INDEX(Tbl_EquipmentDefinitions[New Unit Equipment Life (years)],
                       MATCH(INDEX(Tbl_MeasureList[[Measure ID]:[Current ER (EE) High Measure Gas Fuel Savings (1,000 cu.ft. gas/year)]],
                                                      MATCH(Tbl_BCROutputs_Electric[[#This Row],[Measure ID]:[Measure ID]],Tbl_MeasureList[Measure ID],0),
                                                      MATCH(L$24,Tbl_MeasureList[#Headers],0)),
                                        Tbl_EquipmentDefinitions[Equipment ID],
                                        0)),
        IF(Tbl_BCROutputs_Electric[[#This Row],[Savings Stream]]="Retire",
             INDEX(Tbl_MeasureList[],MATCH(Tbl_BCROutputs_Electric[[#This Row],[Measure ID]],Tbl_MeasureList[[Measure ID]:[Measure ID]],0),MATCH($L$26,Tbl_MeasureList[#Headers],0)),
             INDEX(Tbl_MeasureList[],MATCH(Tbl_BCROutputs_Electric[[#This Row],[Measure ID]],Tbl_MeasureList[[Measure ID]:[Measure ID]],0),MATCH($L$25,Tbl_MeasureList[#Headers],0)))
        )</f>
        <v>18</v>
      </c>
      <c r="M19" s="632">
        <f>IF(Tbl_BCROutputs_Electric[[#This Row],[Replacement Type]]="Partial Displacement",
       INDEX(Tbl_MeasureList[[Measure ID]:[Current ER (EE) High Measure Gas Fuel Savings (1,000 cu.ft. gas/year)]],
                      MATCH(Tbl_BCROutputs_Electric[[#This Row],[Measure ID]:[Measure ID]],Tbl_MeasureList[[Measure ID]:[Measure ID]],0),
                      MATCH(M$25,Tbl_MeasureList[#Headers],0)),
       IF(Tbl_BCROutputs_Electric[[#This Row],[Savings Stream]]="Retire",0,
              INDEX(Tbl_MeasureList[[Measure ID]:[Current ER (EE) High Measure Gas Fuel Savings (1,000 cu.ft. gas/year)]],
                      MATCH(Tbl_BCROutputs_Electric[[#This Row],[Measure ID]:[Measure ID]],Tbl_MeasureList[[Measure ID]:[Measure ID]],0),
                      MATCH(M$24,Tbl_MeasureList[#Headers],0))))</f>
        <v>3496.2245592483241</v>
      </c>
      <c r="N19" s="633">
        <f>IF(Tbl_BCROutputs_Electric[[#This Row],[Replacement Type]]="Partial Displacement",INPUT_SYSTEMINTEGRATIONCOST,0)</f>
        <v>0</v>
      </c>
      <c r="O19" s="634">
        <f>IF(AND(ISNUMBER(SEARCH("DMSHP",Tbl_BCROutputs_Electric[[#This Row],[Replacement Name]])),Tbl_BCROutputs_Electric[[#This Row],[Savings Stream]]="EE"),INPUT_ELECTRICALSYSTEMUPGRADECOST,0)</f>
        <v>500</v>
      </c>
      <c r="P19" s="394">
        <f ca="1">IF(OR(Tbl_BCROutputs_Electric[[#This Row],[Replacement Type]]="Partial Displacement",Tbl_BCROutputs_Electric[[#This Row],[Savings Stream]]="EE"),
        INDEX(Tbl_MeasureList[[Measure ID]:[Current ER (EE) High Measure Gas Fuel Savings (1,000 cu.ft. gas/year)]],
                      MATCH(Tbl_BCROutputs_Electric[[#This Row],[Measure ID]],Tbl_MeasureList[[Measure ID]:[Measure ID]],0),
                      MATCH(P$24,Tbl_MeasureList[#Headers],0)),
        0
       )</f>
        <v>13414.3</v>
      </c>
      <c r="Q19" s="635">
        <f ca="1">IF(Tbl_BCROutputs_Electric[[#This Row],[Total Cost New Equipment, not including deferred replacement (USD)]]="-","-",Tbl_BCROutputs_Electric[[#This Row],[Total Cost New Equipment, not including deferred replacement (USD)]]-Tbl_BCROutputs_Electric[[#This Row],[Deferred Replacement Credit (USD)]])</f>
        <v>9918.0754407516761</v>
      </c>
      <c r="R19" s="636">
        <f ca="1">IF(Tbl_BCROutputs_Electric[[#This Row],[Replacement Type]]="Partial Displacement",
        INDEX(Tbl_MeasureList[[Measure ID]:[Current ER (EE) High Measure Gas Fuel Savings (1,000 cu.ft. gas/year)]],
                      MATCH(Tbl_BCROutputs_Electric[[#This Row],[Measure ID]:[Measure ID]],Tbl_MeasureList[[Measure ID]:[Measure ID]],0),
                      MATCH(R$26,Tbl_MeasureList[#Headers],0)),
        IF(Tbl_BCROutputs_Electric[[#This Row],[Savings Stream]]="Retire",
              INDEX(Tbl_MeasureList[],MATCH(Tbl_BCROutputs_Electric[[#This Row],[Measure ID]:[Measure ID]],Tbl_MeasureList[[Measure ID]:[Measure ID]],0),MATCH(R$25,Tbl_MeasureList[#Headers],0)),
              INDEX(Tbl_MeasureList[],MATCH(Tbl_BCROutputs_Electric[[#This Row],[Measure ID]:[Measure ID]],Tbl_MeasureList[[Measure ID]:[Measure ID]],0),MATCH(R$24,Tbl_MeasureList[#Headers],0))
            )
       )</f>
        <v>-6987.5681270365467</v>
      </c>
      <c r="S19" s="637">
        <f ca="1">IF(Tbl_BCROutputs_Electric[[#This Row],[Replacement Type]]="Partial Displacement",
        INDEX(Tbl_MeasureList[[Measure ID]:[Current ER (EE) High Measure Gas Fuel Savings (1,000 cu.ft. gas/year)]],
                      MATCH(Tbl_BCROutputs_Electric[[#This Row],[Measure ID]:[Measure ID]],Tbl_MeasureList[[Measure ID]:[Measure ID]],0),
                      MATCH(S$26,Tbl_MeasureList[#Headers],0)),
       IF(Tbl_BCROutputs_Electric[[#This Row],[Savings Stream]]="Retire",
             INDEX(Tbl_MeasureList[],MATCH(Tbl_BCROutputs_Electric[[#This Row],[Measure ID]:[Measure ID]],Tbl_MeasureList[[Measure ID]:[Measure ID]],0),MATCH(S$25,Tbl_MeasureList[#Headers],0)),
             INDEX(Tbl_MeasureList[],MATCH(Tbl_BCROutputs_Electric[[#This Row],[Measure ID]:[Measure ID]],Tbl_MeasureList[[Measure ID]:[Measure ID]],0),MATCH(S$24,Tbl_MeasureList[#Headers],0))))</f>
        <v>67.467941360075116</v>
      </c>
      <c r="T19" s="638">
        <f ca="1">IF(Tbl_BCROutputs_Electric[[#This Row],[Replacement Type]]="Partial Displacement",
        INDEX(Tbl_MeasureList[[Measure ID]:[Current ER (EE) High Measure Gas Fuel Savings (1,000 cu.ft. gas/year)]],
                      MATCH(Tbl_BCROutputs_Electric[[#This Row],[Measure ID]:[Measure ID]],Tbl_MeasureList[[Measure ID]:[Measure ID]],0),
                      MATCH(T$26,Tbl_MeasureList[#Headers],0)),
       IF(Tbl_BCROutputs_Electric[[#This Row],[Savings Stream]]="Retire",
              INDEX(Tbl_MeasureList[],MATCH(Tbl_BCROutputs_Electric[[#This Row],[Measure ID]:[Measure ID]],Tbl_MeasureList[[Measure ID]:[Measure ID]],0),MATCH(T$25,Tbl_MeasureList[#Headers],0)),
              INDEX(Tbl_MeasureList[],MATCH(Tbl_BCROutputs_Electric[[#This Row],[Measure ID]:[Measure ID]],Tbl_MeasureList[[Measure ID]:[Measure ID]],0),MATCH(T$24,Tbl_MeasureList[#Headers],0))
            ))</f>
        <v>0</v>
      </c>
      <c r="U19" s="397">
        <f ca="1">IF(Tbl_BCROutputs_Electric[[#This Row],[Replacement Type]]="Partial Displacement",
        INDEX(Tbl_MeasureList[[Measure ID]:[Current ER (EE) High Measure Gas Fuel Savings (1,000 cu.ft. gas/year)]],
                      MATCH(Tbl_BCROutputs_Electric[[#This Row],[Measure ID]:[Measure ID]],Tbl_MeasureList[[Measure ID]:[Measure ID]],0),
                      MATCH(U$26,Tbl_MeasureList[#Headers],0)),
       IF(Tbl_BCROutputs_Electric[[#This Row],[Savings Stream]]="Retire",
              INDEX(Tbl_MeasureList[],MATCH(Tbl_BCROutputs_Electric[[#This Row],[Measure ID]:[Measure ID]],Tbl_MeasureList[[Measure ID]:[Measure ID]],0),MATCH(U$25,Tbl_MeasureList[#Headers],0)),
              INDEX(Tbl_MeasureList[],MATCH(Tbl_BCROutputs_Electric[[#This Row],[Measure ID]:[Measure ID]],Tbl_MeasureList[[Measure ID]:[Measure ID]],0),MATCH(U$24,Tbl_MeasureList[#Headers],0))
            ))</f>
        <v>91.30952380952381</v>
      </c>
      <c r="V19" s="639">
        <f ca="1">IF(OR(Tbl_BCROutputs_Electric[[#This Row],[Replacement Type]]="Partial Displacement",Tbl_BCROutputs_Electric[[#This Row],[Savings Stream]]="EE"),
        INDEX(Tbl_MeasureList[[Measure ID]:[Current ER (EE) High Measure Gas Fuel Savings (1,000 cu.ft. gas/year)]],
                      MATCH(Tbl_BCROutputs_Electric[[#This Row],[Measure ID]:[Measure ID]],Tbl_MeasureList[[Measure ID]:[Measure ID]],0),
                      MATCH(V$10,Tbl_MeasureList[#Headers],0)),
      0)</f>
        <v>0</v>
      </c>
      <c r="W19" s="640">
        <f ca="1">IF(OR(Tbl_BCROutputs_Electric[[#This Row],[Replacement Type]]="Partial Displacement",Tbl_BCROutputs_Electric[[#This Row],[Savings Stream]]="EE"),
        INDEX(Tbl_MeasureList[[Measure ID]:[Current ER (EE) High Measure Gas Fuel Savings (1,000 cu.ft. gas/year)]],
                      MATCH(Tbl_BCROutputs_Electric[[#This Row],[Measure ID]:[Measure ID]],Tbl_MeasureList[[Measure ID]:[Measure ID]],0),
                      MATCH(W$10,Tbl_MeasureList[#Headers],0)),
       0)</f>
        <v>91.30952380952381</v>
      </c>
      <c r="X19" s="636">
        <f ca="1">IF(Tbl_BCROutputs_Electric[[#This Row],[Replacement Type]]="Partial Displacement",
        INDEX(Tbl_MeasureList[[Measure ID]:[Current ER (EE) High Measure Gas Fuel Savings (1,000 cu.ft. gas/year)]],
                      MATCH(Tbl_BCROutputs_Electric[[#This Row],[Measure ID]:[Measure ID]],Tbl_MeasureList[[Measure ID]:[Measure ID]],0),
                      MATCH(X$26,Tbl_MeasureList[#Headers],0)),
       IF(Tbl_BCROutputs_Electric[[#This Row],[Savings Stream]]="Retire",
              INDEX(Tbl_MeasureList[],MATCH(Tbl_BCROutputs_Electric[[#This Row],[Measure ID]:[Measure ID]],Tbl_MeasureList[[Measure ID]:[Measure ID]],0),MATCH(X$25,Tbl_MeasureList[#Headers],0)),
              INDEX(Tbl_MeasureList[],MATCH(Tbl_BCROutputs_Electric[[#This Row],[Measure ID]:[Measure ID]],Tbl_MeasureList[[Measure ID]:[Measure ID]],0),MATCH(X$24,Tbl_MeasureList[#Headers],0))
            ))</f>
        <v>-7495.9455183408954</v>
      </c>
      <c r="Y19" s="641">
        <f ca="1">IF(Tbl_BCROutputs_Electric[[#This Row],[Replacement Type]]="Partial Displacement",
        INDEX(Tbl_MeasureList[[Measure ID]:[Current ER (EE) High Measure Gas Fuel Savings (1,000 cu.ft. gas/year)]],
                      MATCH(Tbl_BCROutputs_Electric[[#This Row],[Measure ID]:[Measure ID]],Tbl_MeasureList[[Measure ID]:[Measure ID]],0),
                      MATCH(Y$26,Tbl_MeasureList[#Headers],0)),
       IF(Tbl_BCROutputs_Electric[[#This Row],[Savings Stream]]="Retire",
              INDEX(Tbl_MeasureList[],MATCH(Tbl_BCROutputs_Electric[[#This Row],[Measure ID]:[Measure ID]],Tbl_MeasureList[[Measure ID]:[Measure ID]],0),MATCH(Y$25,Tbl_MeasureList[#Headers],0)),
              INDEX(Tbl_MeasureList[],MATCH(Tbl_BCROutputs_Electric[[#This Row],[Measure ID]:[Measure ID]],Tbl_MeasureList[[Measure ID]:[Measure ID]],0),MATCH(Y$24,Tbl_MeasureList[#Headers],0))
            ))</f>
        <v>508.37739130434784</v>
      </c>
      <c r="Z19" s="396">
        <f ca="1">IF(Tbl_BCROutputs_Electric[[#This Row],[Replacement Type]]="Partial Displacement",
        INDEX(Tbl_MeasureList[[Measure ID]:[Current ER (EE) High Measure Gas Fuel Savings (1,000 cu.ft. gas/year)]],
                      MATCH(Tbl_BCROutputs_Electric[[#This Row],[Measure ID]:[Measure ID]],Tbl_MeasureList[[Measure ID]:[Measure ID]],0),
                      MATCH(Z$26,Tbl_MeasureList[#Headers],0)),
       IF(Tbl_BCROutputs_Electric[[#This Row],[Savings Stream]]="Retire",
              INDEX(Tbl_MeasureList[],MATCH(Tbl_BCROutputs_Electric[[#This Row],[Measure ID]:[Measure ID]],Tbl_MeasureList[[Measure ID]:[Measure ID]],0),MATCH(Z$25,Tbl_MeasureList[#Headers],0)),
              INDEX(Tbl_MeasureList[],MATCH(Tbl_BCROutputs_Electric[[#This Row],[Measure ID]:[Measure ID]],Tbl_MeasureList[[Measure ID]:[Measure ID]],0),MATCH(Z$24,Tbl_MeasureList[#Headers],0))
            ))</f>
        <v>-1.7647171620325983</v>
      </c>
      <c r="AA19" s="654">
        <f ca="1">IF(Tbl_BCROutputs_Electric[[#This Row],[Replacement Type]]="Partial Displacement",
        INDEX(Tbl_MeasureList[[Measure ID]:[Current ER (EE) High Measure Gas Fuel Savings (1,000 cu.ft. gas/year)]],
                      MATCH(Tbl_BCROutputs_Electric[[#This Row],[Measure ID]:[Measure ID]],Tbl_MeasureList[[Measure ID]:[Measure ID]],0),
                      MATCH(AA$26,Tbl_MeasureList[#Headers],0)),
       IF(Tbl_BCROutputs_Electric[[#This Row],[Savings Stream]]="Retire",
              INDEX(Tbl_MeasureList[],MATCH(Tbl_BCROutputs_Electric[[#This Row],[Measure ID]:[Measure ID]],Tbl_MeasureList[[Measure ID]:[Measure ID]],0),MATCH(AA$25,Tbl_MeasureList[#Headers],0)),
              INDEX(Tbl_MeasureList[],MATCH(Tbl_BCROutputs_Electric[[#This Row],[Measure ID]:[Measure ID]],Tbl_MeasureList[[Measure ID]:[Measure ID]],0),MATCH(AA$24,Tbl_MeasureList[#Headers],0))
            ))</f>
        <v>1.6000000000000236E-2</v>
      </c>
      <c r="AB19" s="655">
        <f>IF(Tbl_BCROutputs_Electric[[#This Row],[Replacement Fuel]]="Electric+Oil", INPUT_OILHEATSWITCHOVER,
         IF(Tbl_BCROutputs_Electric[[#This Row],[Replacement Fuel]]="Electric+Propane", INPUT_PROPANEHEATSWITCHOVER,
                IF(Tbl_BCROutputs_Electric[[#This Row],[Replacement Fuel]]="Electric+Gas", INPUT_GASHEATSWITCHOVER,
                       IF(Tbl_BCROutputs_Electric[[#This Row],[Replacement Fuel]]="Electric", INPUT_RESISTANCEHEAT_SWITCHOVER,0))))</f>
        <v>0</v>
      </c>
    </row>
    <row r="20" spans="2:62" s="581" customFormat="1" x14ac:dyDescent="0.2">
      <c r="B20" s="582"/>
      <c r="C20" s="583" t="s">
        <v>1217</v>
      </c>
      <c r="D20" s="642" t="s">
        <v>1218</v>
      </c>
      <c r="E20" s="643" t="str">
        <f>INDEX(Tbl_MeasureList[],MATCH(Tbl_BCROutputs_Electric[[#This Row],[Measure ID]],Tbl_MeasureList[[Measure ID]:[Measure ID]],0),MATCH(Tbl_BCROutputs_Electric[[#Headers],[Replacement ID]],Tbl_MeasureList[#Headers],0))</f>
        <v>EQUI039</v>
      </c>
      <c r="F20" s="643" t="str">
        <f>INDEX(Tbl_MeasureList[[Measure ID]:[Current ER (EE) High Measure Gas Fuel Savings (1,000 cu.ft. gas/year)]],
               MATCH(Tbl_BCROutputs_Electric[[#This Row],[Measure ID]:[Measure ID]],Tbl_MeasureList[[Measure ID]:[Measure ID]],0),
               MATCH(F$10,Tbl_MeasureList[#Headers],0))</f>
        <v>Room AC/No AC Blend+Oil Boiler</v>
      </c>
      <c r="G20" s="644" t="str">
        <f>INDEX(Tbl_MeasureList[[Measure ID]:[Current ER (EE) High Measure Gas Fuel Savings (1,000 cu.ft. gas/year)]],
               MATCH(Tbl_BCROutputs_Electric[[#This Row],[Measure ID]:[Measure ID]],Tbl_MeasureList[[Measure ID]:[Measure ID]],0),
               MATCH(G$10,Tbl_MeasureList[#Headers],0))</f>
        <v>DMSHP</v>
      </c>
      <c r="H20" s="644" t="str">
        <f>INDEX(Tbl_MeasureList[Replacement Fuel 1],MATCH(Tbl_BCROutputs_Electric[[#This Row],[Measure ID]],Tbl_MeasureList[Measure ID],0))&amp;
  IF(INDEX(Tbl_MeasureList[Replacement Fuel 2],MATCH(Tbl_BCROutputs_Electric[[#This Row],[Measure ID]],Tbl_MeasureList[Measure ID],0))&lt;&gt;"-",
       "+"&amp;INDEX(Tbl_MeasureList[Replacement Fuel 2],MATCH(Tbl_BCROutputs_Electric[[#This Row],[Measure ID]],Tbl_MeasureList[Measure ID],0)),"")</f>
        <v>Electric</v>
      </c>
      <c r="I20" s="645" t="str">
        <f>IF(Tbl_BCROutputs_Electric[[#This Row],[Replacement Fuel]]="Natural Gas",INDEX(Tbl_EquipmentDefinitions[Natural Gas High Measure Efficiency],MATCH(Tbl_BCROutputs_Electric[[#This Row],[Replacement ID]],Tbl_EquipmentDefinitions[Equipment ID],0)),
  IF(Tbl_BCROutputs_Electric[[#This Row],[Replacement Fuel]]="Electric",INDEX(Tbl_EquipmentDefinitions[Electricity High Measure Efficiency],MATCH(Tbl_BCROutputs_Electric[[#This Row],[Replacement ID]],Tbl_EquipmentDefinitions[Equipment ID],0)),
  IF(Tbl_BCROutputs_Electric[[#This Row],[Replacement Fuel]]="Electric+Oil",
        INDEX(Tbl_EquipmentDefinitions[Electricity High Measure Efficiency],MATCH(Tbl_BCROutputs_Electric[[#This Row],[Replacement ID]],Tbl_EquipmentDefinitions[Equipment ID],0))&amp;CHAR(10)&amp;
        INDEX(Tbl_EquipmentDefinitions[Oil Baseline Efficiency],MATCH(Tbl_BCROutputs_Electric[[#This Row],[Replacement ID]],Tbl_EquipmentDefinitions[Equipment ID],0)),
  IF(Tbl_BCROutputs_Electric[[#This Row],[Replacement Fuel]]="Electric+Propane",
        INDEX(Tbl_EquipmentDefinitions[Electricity High Measure Efficiency],MATCH(Tbl_BCROutputs_Electric[[#This Row],[Replacement ID]],Tbl_EquipmentDefinitions[Equipment ID],0))&amp;CHAR(10)&amp;
        INDEX(Tbl_EquipmentDefinitions[Propane Baseline Efficiency],MATCH(Tbl_BCROutputs_Electric[[#This Row],[Replacement ID]],Tbl_EquipmentDefinitions[Equipment ID],0)),
  IF(Tbl_BCROutputs_Electric[[#This Row],[Replacement Fuel]]="Electric+Electric",INDEX(Tbl_EquipmentDefinitions[Electricity High Measure Efficiency],MATCH(Tbl_BCROutputs_Electric[[#This Row],[Replacement ID]],Tbl_EquipmentDefinitions[Equipment ID],0)),
)))))</f>
        <v>20 SEER/12.0 HSPF</v>
      </c>
      <c r="J20" s="83" t="str">
        <f>INDEX(Tbl_MeasureList[[Measure ID]:[Current ER (EE) High Measure Gas Fuel Savings (1,000 cu.ft. gas/year)]],
               MATCH(Tbl_BCROutputs_Electric[[#This Row],[Measure ID]:[Measure ID]],Tbl_MeasureList[[Measure ID]:[Measure ID]],0),
               MATCH(J$10,Tbl_MeasureList[#Headers],0))</f>
        <v>No</v>
      </c>
      <c r="K20" s="646" t="str">
        <f>IF(Tbl_BCROutputs_Electric[[#This Row],[Keep Existing Heating Equipment?]]="Yes","Partial Displacement","Full Replacement")</f>
        <v>Full Replacement</v>
      </c>
      <c r="L20" s="631">
        <f>IF(Tbl_BCROutputs_Electric[[#This Row],[Replacement Type]]="Partial Displacement",
        INDEX(Tbl_EquipmentDefinitions[New Unit Equipment Life (years)],
                       MATCH(INDEX(Tbl_MeasureList[[Measure ID]:[Current ER (EE) High Measure Gas Fuel Savings (1,000 cu.ft. gas/year)]],
                                                      MATCH(Tbl_BCROutputs_Electric[[#This Row],[Measure ID]:[Measure ID]],Tbl_MeasureList[Measure ID],0),
                                                      MATCH(L$24,Tbl_MeasureList[#Headers],0)),
                                        Tbl_EquipmentDefinitions[Equipment ID],
                                        0)),
        IF(Tbl_BCROutputs_Electric[[#This Row],[Savings Stream]]="Retire",
             INDEX(Tbl_MeasureList[],MATCH(Tbl_BCROutputs_Electric[[#This Row],[Measure ID]],Tbl_MeasureList[[Measure ID]:[Measure ID]],0),MATCH($L$26,Tbl_MeasureList[#Headers],0)),
             INDEX(Tbl_MeasureList[],MATCH(Tbl_BCROutputs_Electric[[#This Row],[Measure ID]],Tbl_MeasureList[[Measure ID]:[Measure ID]],0),MATCH($L$25,Tbl_MeasureList[#Headers],0)))
        )</f>
        <v>10</v>
      </c>
      <c r="M20" s="632">
        <f>IF(Tbl_BCROutputs_Electric[[#This Row],[Replacement Type]]="Partial Displacement",
       INDEX(Tbl_MeasureList[[Measure ID]:[Current ER (EE) High Measure Gas Fuel Savings (1,000 cu.ft. gas/year)]],
                      MATCH(Tbl_BCROutputs_Electric[[#This Row],[Measure ID]:[Measure ID]],Tbl_MeasureList[[Measure ID]:[Measure ID]],0),
                      MATCH(M$25,Tbl_MeasureList[#Headers],0)),
       IF(Tbl_BCROutputs_Electric[[#This Row],[Savings Stream]]="Retire",0,
              INDEX(Tbl_MeasureList[[Measure ID]:[Current ER (EE) High Measure Gas Fuel Savings (1,000 cu.ft. gas/year)]],
                      MATCH(Tbl_BCROutputs_Electric[[#This Row],[Measure ID]:[Measure ID]],Tbl_MeasureList[[Measure ID]:[Measure ID]],0),
                      MATCH(M$24,Tbl_MeasureList[#Headers],0))))</f>
        <v>0</v>
      </c>
      <c r="N20" s="633">
        <f>IF(Tbl_BCROutputs_Electric[[#This Row],[Replacement Type]]="Partial Displacement",INPUT_SYSTEMINTEGRATIONCOST,0)</f>
        <v>0</v>
      </c>
      <c r="O20" s="634">
        <f>IF(AND(ISNUMBER(SEARCH("DMSHP",Tbl_BCROutputs_Electric[[#This Row],[Replacement Name]])),Tbl_BCROutputs_Electric[[#This Row],[Savings Stream]]="EE"),INPUT_ELECTRICALSYSTEMUPGRADECOST,0)</f>
        <v>0</v>
      </c>
      <c r="P20" s="394">
        <f>IF(OR(Tbl_BCROutputs_Electric[[#This Row],[Replacement Type]]="Partial Displacement",Tbl_BCROutputs_Electric[[#This Row],[Savings Stream]]="EE"),
        INDEX(Tbl_MeasureList[[Measure ID]:[Current ER (EE) High Measure Gas Fuel Savings (1,000 cu.ft. gas/year)]],
                      MATCH(Tbl_BCROutputs_Electric[[#This Row],[Measure ID]],Tbl_MeasureList[[Measure ID]:[Measure ID]],0),
                      MATCH(P$24,Tbl_MeasureList[#Headers],0)),
        0
       )</f>
        <v>0</v>
      </c>
      <c r="Q20" s="635">
        <f>IF(Tbl_BCROutputs_Electric[[#This Row],[Total Cost New Equipment, not including deferred replacement (USD)]]="-","-",Tbl_BCROutputs_Electric[[#This Row],[Total Cost New Equipment, not including deferred replacement (USD)]]-Tbl_BCROutputs_Electric[[#This Row],[Deferred Replacement Credit (USD)]])</f>
        <v>0</v>
      </c>
      <c r="R20" s="636">
        <f>IF(Tbl_BCROutputs_Electric[[#This Row],[Replacement Type]]="Partial Displacement",
        INDEX(Tbl_MeasureList[[Measure ID]:[Current ER (EE) High Measure Gas Fuel Savings (1,000 cu.ft. gas/year)]],
                      MATCH(Tbl_BCROutputs_Electric[[#This Row],[Measure ID]:[Measure ID]],Tbl_MeasureList[[Measure ID]:[Measure ID]],0),
                      MATCH(R$26,Tbl_MeasureList[#Headers],0)),
        IF(Tbl_BCROutputs_Electric[[#This Row],[Savings Stream]]="Retire",
              INDEX(Tbl_MeasureList[],MATCH(Tbl_BCROutputs_Electric[[#This Row],[Measure ID]:[Measure ID]],Tbl_MeasureList[[Measure ID]:[Measure ID]],0),MATCH(R$25,Tbl_MeasureList[#Headers],0)),
              INDEX(Tbl_MeasureList[],MATCH(Tbl_BCROutputs_Electric[[#This Row],[Measure ID]:[Measure ID]],Tbl_MeasureList[[Measure ID]:[Measure ID]],0),MATCH(R$24,Tbl_MeasureList[#Headers],0))
            )
       )</f>
        <v>290.50434782608704</v>
      </c>
      <c r="S20" s="637">
        <f>IF(Tbl_BCROutputs_Electric[[#This Row],[Replacement Type]]="Partial Displacement",
        INDEX(Tbl_MeasureList[[Measure ID]:[Current ER (EE) High Measure Gas Fuel Savings (1,000 cu.ft. gas/year)]],
                      MATCH(Tbl_BCROutputs_Electric[[#This Row],[Measure ID]:[Measure ID]],Tbl_MeasureList[[Measure ID]:[Measure ID]],0),
                      MATCH(S$26,Tbl_MeasureList[#Headers],0)),
       IF(Tbl_BCROutputs_Electric[[#This Row],[Savings Stream]]="Retire",
             INDEX(Tbl_MeasureList[],MATCH(Tbl_BCROutputs_Electric[[#This Row],[Measure ID]:[Measure ID]],Tbl_MeasureList[[Measure ID]:[Measure ID]],0),MATCH(S$25,Tbl_MeasureList[#Headers],0)),
             INDEX(Tbl_MeasureList[],MATCH(Tbl_BCROutputs_Electric[[#This Row],[Measure ID]:[Measure ID]],Tbl_MeasureList[[Measure ID]:[Measure ID]],0),MATCH(S$24,Tbl_MeasureList[#Headers],0))))</f>
        <v>11.948343691925473</v>
      </c>
      <c r="T20" s="638">
        <f>IF(Tbl_BCROutputs_Electric[[#This Row],[Replacement Type]]="Partial Displacement",
        INDEX(Tbl_MeasureList[[Measure ID]:[Current ER (EE) High Measure Gas Fuel Savings (1,000 cu.ft. gas/year)]],
                      MATCH(Tbl_BCROutputs_Electric[[#This Row],[Measure ID]:[Measure ID]],Tbl_MeasureList[[Measure ID]:[Measure ID]],0),
                      MATCH(T$26,Tbl_MeasureList[#Headers],0)),
       IF(Tbl_BCROutputs_Electric[[#This Row],[Savings Stream]]="Retire",
              INDEX(Tbl_MeasureList[],MATCH(Tbl_BCROutputs_Electric[[#This Row],[Measure ID]:[Measure ID]],Tbl_MeasureList[[Measure ID]:[Measure ID]],0),MATCH(T$25,Tbl_MeasureList[#Headers],0)),
              INDEX(Tbl_MeasureList[],MATCH(Tbl_BCROutputs_Electric[[#This Row],[Measure ID]:[Measure ID]],Tbl_MeasureList[[Measure ID]:[Measure ID]],0),MATCH(T$24,Tbl_MeasureList[#Headers],0))
            ))</f>
        <v>0</v>
      </c>
      <c r="U20" s="397">
        <f>IF(Tbl_BCROutputs_Electric[[#This Row],[Replacement Type]]="Partial Displacement",
        INDEX(Tbl_MeasureList[[Measure ID]:[Current ER (EE) High Measure Gas Fuel Savings (1,000 cu.ft. gas/year)]],
                      MATCH(Tbl_BCROutputs_Electric[[#This Row],[Measure ID]:[Measure ID]],Tbl_MeasureList[[Measure ID]:[Measure ID]],0),
                      MATCH(U$26,Tbl_MeasureList[#Headers],0)),
       IF(Tbl_BCROutputs_Electric[[#This Row],[Savings Stream]]="Retire",
              INDEX(Tbl_MeasureList[],MATCH(Tbl_BCROutputs_Electric[[#This Row],[Measure ID]:[Measure ID]],Tbl_MeasureList[[Measure ID]:[Measure ID]],0),MATCH(U$25,Tbl_MeasureList[#Headers],0)),
              INDEX(Tbl_MeasureList[],MATCH(Tbl_BCROutputs_Electric[[#This Row],[Measure ID]:[Measure ID]],Tbl_MeasureList[[Measure ID]:[Measure ID]],0),MATCH(U$24,Tbl_MeasureList[#Headers],0))
            ))</f>
        <v>10.957142857142856</v>
      </c>
      <c r="V20" s="639">
        <f>IF(OR(Tbl_BCROutputs_Electric[[#This Row],[Replacement Type]]="Partial Displacement",Tbl_BCROutputs_Electric[[#This Row],[Savings Stream]]="EE"),
        INDEX(Tbl_MeasureList[[Measure ID]:[Current ER (EE) High Measure Gas Fuel Savings (1,000 cu.ft. gas/year)]],
                      MATCH(Tbl_BCROutputs_Electric[[#This Row],[Measure ID]:[Measure ID]],Tbl_MeasureList[[Measure ID]:[Measure ID]],0),
                      MATCH(V$10,Tbl_MeasureList[#Headers],0)),
      0)</f>
        <v>0</v>
      </c>
      <c r="W20" s="640">
        <f>IF(OR(Tbl_BCROutputs_Electric[[#This Row],[Replacement Type]]="Partial Displacement",Tbl_BCROutputs_Electric[[#This Row],[Savings Stream]]="EE"),
        INDEX(Tbl_MeasureList[[Measure ID]:[Current ER (EE) High Measure Gas Fuel Savings (1,000 cu.ft. gas/year)]],
                      MATCH(Tbl_BCROutputs_Electric[[#This Row],[Measure ID]:[Measure ID]],Tbl_MeasureList[[Measure ID]:[Measure ID]],0),
                      MATCH(W$10,Tbl_MeasureList[#Headers],0)),
       0)</f>
        <v>0</v>
      </c>
      <c r="X20" s="636">
        <f>IF(Tbl_BCROutputs_Electric[[#This Row],[Replacement Type]]="Partial Displacement",
        INDEX(Tbl_MeasureList[[Measure ID]:[Current ER (EE) High Measure Gas Fuel Savings (1,000 cu.ft. gas/year)]],
                      MATCH(Tbl_BCROutputs_Electric[[#This Row],[Measure ID]:[Measure ID]],Tbl_MeasureList[[Measure ID]:[Measure ID]],0),
                      MATCH(X$26,Tbl_MeasureList[#Headers],0)),
       IF(Tbl_BCROutputs_Electric[[#This Row],[Savings Stream]]="Retire",
              INDEX(Tbl_MeasureList[],MATCH(Tbl_BCROutputs_Electric[[#This Row],[Measure ID]:[Measure ID]],Tbl_MeasureList[[Measure ID]:[Measure ID]],0),MATCH(X$25,Tbl_MeasureList[#Headers],0)),
              INDEX(Tbl_MeasureList[],MATCH(Tbl_BCROutputs_Electric[[#This Row],[Measure ID]:[Measure ID]],Tbl_MeasureList[[Measure ID]:[Measure ID]],0),MATCH(X$24,Tbl_MeasureList[#Headers],0))
            ))</f>
        <v>0</v>
      </c>
      <c r="Y20" s="641">
        <f>IF(Tbl_BCROutputs_Electric[[#This Row],[Replacement Type]]="Partial Displacement",
        INDEX(Tbl_MeasureList[[Measure ID]:[Current ER (EE) High Measure Gas Fuel Savings (1,000 cu.ft. gas/year)]],
                      MATCH(Tbl_BCROutputs_Electric[[#This Row],[Measure ID]:[Measure ID]],Tbl_MeasureList[[Measure ID]:[Measure ID]],0),
                      MATCH(Y$26,Tbl_MeasureList[#Headers],0)),
       IF(Tbl_BCROutputs_Electric[[#This Row],[Savings Stream]]="Retire",
              INDEX(Tbl_MeasureList[],MATCH(Tbl_BCROutputs_Electric[[#This Row],[Measure ID]:[Measure ID]],Tbl_MeasureList[[Measure ID]:[Measure ID]],0),MATCH(Y$25,Tbl_MeasureList[#Headers],0)),
              INDEX(Tbl_MeasureList[],MATCH(Tbl_BCROutputs_Electric[[#This Row],[Measure ID]:[Measure ID]],Tbl_MeasureList[[Measure ID]:[Measure ID]],0),MATCH(Y$24,Tbl_MeasureList[#Headers],0))
            ))</f>
        <v>290.50434782608704</v>
      </c>
      <c r="Z20" s="396">
        <f>IF(Tbl_BCROutputs_Electric[[#This Row],[Replacement Type]]="Partial Displacement",
        INDEX(Tbl_MeasureList[[Measure ID]:[Current ER (EE) High Measure Gas Fuel Savings (1,000 cu.ft. gas/year)]],
                      MATCH(Tbl_BCROutputs_Electric[[#This Row],[Measure ID]:[Measure ID]],Tbl_MeasureList[[Measure ID]:[Measure ID]],0),
                      MATCH(Z$26,Tbl_MeasureList[#Headers],0)),
       IF(Tbl_BCROutputs_Electric[[#This Row],[Savings Stream]]="Retire",
              INDEX(Tbl_MeasureList[],MATCH(Tbl_BCROutputs_Electric[[#This Row],[Measure ID]:[Measure ID]],Tbl_MeasureList[[Measure ID]:[Measure ID]],0),MATCH(Z$25,Tbl_MeasureList[#Headers],0)),
              INDEX(Tbl_MeasureList[],MATCH(Tbl_BCROutputs_Electric[[#This Row],[Measure ID]:[Measure ID]],Tbl_MeasureList[[Measure ID]:[Measure ID]],0),MATCH(Z$24,Tbl_MeasureList[#Headers],0))
            ))</f>
        <v>0</v>
      </c>
      <c r="AA20" s="654">
        <f>IF(Tbl_BCROutputs_Electric[[#This Row],[Replacement Type]]="Partial Displacement",
        INDEX(Tbl_MeasureList[[Measure ID]:[Current ER (EE) High Measure Gas Fuel Savings (1,000 cu.ft. gas/year)]],
                      MATCH(Tbl_BCROutputs_Electric[[#This Row],[Measure ID]:[Measure ID]],Tbl_MeasureList[[Measure ID]:[Measure ID]],0),
                      MATCH(AA$26,Tbl_MeasureList[#Headers],0)),
       IF(Tbl_BCROutputs_Electric[[#This Row],[Savings Stream]]="Retire",
              INDEX(Tbl_MeasureList[],MATCH(Tbl_BCROutputs_Electric[[#This Row],[Measure ID]:[Measure ID]],Tbl_MeasureList[[Measure ID]:[Measure ID]],0),MATCH(AA$25,Tbl_MeasureList[#Headers],0)),
              INDEX(Tbl_MeasureList[],MATCH(Tbl_BCROutputs_Electric[[#This Row],[Measure ID]:[Measure ID]],Tbl_MeasureList[[Measure ID]:[Measure ID]],0),MATCH(AA$24,Tbl_MeasureList[#Headers],0))
            ))</f>
        <v>0.38399999999999967</v>
      </c>
      <c r="AB20" s="655">
        <f>IF(Tbl_BCROutputs_Electric[[#This Row],[Replacement Fuel]]="Electric+Oil", INPUT_OILHEATSWITCHOVER,
         IF(Tbl_BCROutputs_Electric[[#This Row],[Replacement Fuel]]="Electric+Propane", INPUT_PROPANEHEATSWITCHOVER,
                IF(Tbl_BCROutputs_Electric[[#This Row],[Replacement Fuel]]="Electric+Gas", INPUT_GASHEATSWITCHOVER,
                       IF(Tbl_BCROutputs_Electric[[#This Row],[Replacement Fuel]]="Electric", INPUT_RESISTANCEHEAT_SWITCHOVER,0))))</f>
        <v>0</v>
      </c>
    </row>
    <row r="21" spans="2:62" s="581" customFormat="1" x14ac:dyDescent="0.2">
      <c r="B21" s="582"/>
      <c r="C21" s="583" t="s">
        <v>1316</v>
      </c>
      <c r="D21" s="583" t="s">
        <v>1216</v>
      </c>
      <c r="E21" s="83" t="str">
        <f>INDEX(Tbl_MeasureList[],MATCH(Tbl_BCROutputs_Electric[[#This Row],[Measure ID]],Tbl_MeasureList[[Measure ID]:[Measure ID]],0),MATCH(Tbl_BCROutputs_Electric[[#Headers],[Replacement ID]],Tbl_MeasureList[#Headers],0))</f>
        <v>EQUI039</v>
      </c>
      <c r="F21" s="83" t="str">
        <f>INDEX(Tbl_MeasureList[[Measure ID]:[Current ER (EE) High Measure Gas Fuel Savings (1,000 cu.ft. gas/year)]],
               MATCH(Tbl_BCROutputs_Electric[[#This Row],[Measure ID]:[Measure ID]],Tbl_MeasureList[[Measure ID]:[Measure ID]],0),
               MATCH(F$10,Tbl_MeasureList[#Headers],0))</f>
        <v>Room AC/No AC Blend+Propane Boiler</v>
      </c>
      <c r="G21" s="83" t="str">
        <f>INDEX(Tbl_MeasureList[[Measure ID]:[Current ER (EE) High Measure Gas Fuel Savings (1,000 cu.ft. gas/year)]],
               MATCH(Tbl_BCROutputs_Electric[[#This Row],[Measure ID]:[Measure ID]],Tbl_MeasureList[[Measure ID]:[Measure ID]],0),
               MATCH(G$10,Tbl_MeasureList[#Headers],0))</f>
        <v>DMSHP</v>
      </c>
      <c r="H21" s="83" t="str">
        <f>INDEX(Tbl_MeasureList[Replacement Fuel 1],MATCH(Tbl_BCROutputs_Electric[[#This Row],[Measure ID]],Tbl_MeasureList[Measure ID],0))&amp;
  IF(INDEX(Tbl_MeasureList[Replacement Fuel 2],MATCH(Tbl_BCROutputs_Electric[[#This Row],[Measure ID]],Tbl_MeasureList[Measure ID],0))&lt;&gt;"-",
       "+"&amp;INDEX(Tbl_MeasureList[Replacement Fuel 2],MATCH(Tbl_BCROutputs_Electric[[#This Row],[Measure ID]],Tbl_MeasureList[Measure ID],0)),"")</f>
        <v>Electric</v>
      </c>
      <c r="I21" s="629" t="str">
        <f>IF(Tbl_BCROutputs_Electric[[#This Row],[Replacement Fuel]]="Natural Gas",INDEX(Tbl_EquipmentDefinitions[Natural Gas High Measure Efficiency],MATCH(Tbl_BCROutputs_Electric[[#This Row],[Replacement ID]],Tbl_EquipmentDefinitions[Equipment ID],0)),
  IF(Tbl_BCROutputs_Electric[[#This Row],[Replacement Fuel]]="Electric",INDEX(Tbl_EquipmentDefinitions[Electricity High Measure Efficiency],MATCH(Tbl_BCROutputs_Electric[[#This Row],[Replacement ID]],Tbl_EquipmentDefinitions[Equipment ID],0)),
  IF(Tbl_BCROutputs_Electric[[#This Row],[Replacement Fuel]]="Electric+Oil",
        INDEX(Tbl_EquipmentDefinitions[Electricity High Measure Efficiency],MATCH(Tbl_BCROutputs_Electric[[#This Row],[Replacement ID]],Tbl_EquipmentDefinitions[Equipment ID],0))&amp;CHAR(10)&amp;
        INDEX(Tbl_EquipmentDefinitions[Oil Baseline Efficiency],MATCH(Tbl_BCROutputs_Electric[[#This Row],[Replacement ID]],Tbl_EquipmentDefinitions[Equipment ID],0)),
  IF(Tbl_BCROutputs_Electric[[#This Row],[Replacement Fuel]]="Electric+Propane",
        INDEX(Tbl_EquipmentDefinitions[Electricity High Measure Efficiency],MATCH(Tbl_BCROutputs_Electric[[#This Row],[Replacement ID]],Tbl_EquipmentDefinitions[Equipment ID],0))&amp;CHAR(10)&amp;
        INDEX(Tbl_EquipmentDefinitions[Propane Baseline Efficiency],MATCH(Tbl_BCROutputs_Electric[[#This Row],[Replacement ID]],Tbl_EquipmentDefinitions[Equipment ID],0)),
  IF(Tbl_BCROutputs_Electric[[#This Row],[Replacement Fuel]]="Electric+Electric",INDEX(Tbl_EquipmentDefinitions[Electricity High Measure Efficiency],MATCH(Tbl_BCROutputs_Electric[[#This Row],[Replacement ID]],Tbl_EquipmentDefinitions[Equipment ID],0)),
)))))</f>
        <v>20 SEER/12.0 HSPF</v>
      </c>
      <c r="J21" s="83" t="str">
        <f>INDEX(Tbl_MeasureList[[Measure ID]:[Current ER (EE) High Measure Gas Fuel Savings (1,000 cu.ft. gas/year)]],
               MATCH(Tbl_BCROutputs_Electric[[#This Row],[Measure ID]:[Measure ID]],Tbl_MeasureList[[Measure ID]:[Measure ID]],0),
               MATCH(J$10,Tbl_MeasureList[#Headers],0))</f>
        <v>No</v>
      </c>
      <c r="K21" s="630" t="str">
        <f>IF(Tbl_BCROutputs_Electric[[#This Row],[Keep Existing Heating Equipment?]]="Yes","Partial Displacement","Full Replacement")</f>
        <v>Full Replacement</v>
      </c>
      <c r="L21" s="631">
        <f>IF(Tbl_BCROutputs_Electric[[#This Row],[Replacement Type]]="Partial Displacement",
        INDEX(Tbl_EquipmentDefinitions[New Unit Equipment Life (years)],
                       MATCH(INDEX(Tbl_MeasureList[[Measure ID]:[Current ER (EE) High Measure Gas Fuel Savings (1,000 cu.ft. gas/year)]],
                                                      MATCH(Tbl_BCROutputs_Electric[[#This Row],[Measure ID]:[Measure ID]],Tbl_MeasureList[Measure ID],0),
                                                      MATCH(L$24,Tbl_MeasureList[#Headers],0)),
                                        Tbl_EquipmentDefinitions[Equipment ID],
                                        0)),
        IF(Tbl_BCROutputs_Electric[[#This Row],[Savings Stream]]="Retire",
             INDEX(Tbl_MeasureList[],MATCH(Tbl_BCROutputs_Electric[[#This Row],[Measure ID]],Tbl_MeasureList[[Measure ID]:[Measure ID]],0),MATCH($L$26,Tbl_MeasureList[#Headers],0)),
             INDEX(Tbl_MeasureList[],MATCH(Tbl_BCROutputs_Electric[[#This Row],[Measure ID]],Tbl_MeasureList[[Measure ID]:[Measure ID]],0),MATCH($L$25,Tbl_MeasureList[#Headers],0)))
        )</f>
        <v>18</v>
      </c>
      <c r="M21" s="632">
        <f>IF(Tbl_BCROutputs_Electric[[#This Row],[Replacement Type]]="Partial Displacement",
       INDEX(Tbl_MeasureList[[Measure ID]:[Current ER (EE) High Measure Gas Fuel Savings (1,000 cu.ft. gas/year)]],
                      MATCH(Tbl_BCROutputs_Electric[[#This Row],[Measure ID]:[Measure ID]],Tbl_MeasureList[[Measure ID]:[Measure ID]],0),
                      MATCH(M$25,Tbl_MeasureList[#Headers],0)),
       IF(Tbl_BCROutputs_Electric[[#This Row],[Savings Stream]]="Retire",0,
              INDEX(Tbl_MeasureList[[Measure ID]:[Current ER (EE) High Measure Gas Fuel Savings (1,000 cu.ft. gas/year)]],
                      MATCH(Tbl_BCROutputs_Electric[[#This Row],[Measure ID]:[Measure ID]],Tbl_MeasureList[[Measure ID]:[Measure ID]],0),
                      MATCH(M$24,Tbl_MeasureList[#Headers],0))))</f>
        <v>3379.5743739912205</v>
      </c>
      <c r="N21" s="633">
        <f>IF(Tbl_BCROutputs_Electric[[#This Row],[Replacement Type]]="Partial Displacement",INPUT_SYSTEMINTEGRATIONCOST,0)</f>
        <v>0</v>
      </c>
      <c r="O21" s="634">
        <f>IF(AND(ISNUMBER(SEARCH("DMSHP",Tbl_BCROutputs_Electric[[#This Row],[Replacement Name]])),Tbl_BCROutputs_Electric[[#This Row],[Savings Stream]]="EE"),INPUT_ELECTRICALSYSTEMUPGRADECOST,0)</f>
        <v>500</v>
      </c>
      <c r="P21" s="394">
        <f ca="1">IF(OR(Tbl_BCROutputs_Electric[[#This Row],[Replacement Type]]="Partial Displacement",Tbl_BCROutputs_Electric[[#This Row],[Savings Stream]]="EE"),
        INDEX(Tbl_MeasureList[[Measure ID]:[Current ER (EE) High Measure Gas Fuel Savings (1,000 cu.ft. gas/year)]],
                      MATCH(Tbl_BCROutputs_Electric[[#This Row],[Measure ID]],Tbl_MeasureList[[Measure ID]:[Measure ID]],0),
                      MATCH(P$24,Tbl_MeasureList[#Headers],0)),
        0
       )</f>
        <v>13414.3</v>
      </c>
      <c r="Q21" s="635">
        <f ca="1">IF(Tbl_BCROutputs_Electric[[#This Row],[Total Cost New Equipment, not including deferred replacement (USD)]]="-","-",Tbl_BCROutputs_Electric[[#This Row],[Total Cost New Equipment, not including deferred replacement (USD)]]-Tbl_BCROutputs_Electric[[#This Row],[Deferred Replacement Credit (USD)]])</f>
        <v>10034.725626008778</v>
      </c>
      <c r="R21" s="636">
        <f ca="1">IF(Tbl_BCROutputs_Electric[[#This Row],[Replacement Type]]="Partial Displacement",
        INDEX(Tbl_MeasureList[[Measure ID]:[Current ER (EE) High Measure Gas Fuel Savings (1,000 cu.ft. gas/year)]],
                      MATCH(Tbl_BCROutputs_Electric[[#This Row],[Measure ID]:[Measure ID]],Tbl_MeasureList[[Measure ID]:[Measure ID]],0),
                      MATCH(R$26,Tbl_MeasureList[#Headers],0)),
        IF(Tbl_BCROutputs_Electric[[#This Row],[Savings Stream]]="Retire",
              INDEX(Tbl_MeasureList[],MATCH(Tbl_BCROutputs_Electric[[#This Row],[Measure ID]:[Measure ID]],Tbl_MeasureList[[Measure ID]:[Measure ID]],0),MATCH(R$25,Tbl_MeasureList[#Headers],0)),
              INDEX(Tbl_MeasureList[],MATCH(Tbl_BCROutputs_Electric[[#This Row],[Measure ID]:[Measure ID]],Tbl_MeasureList[[Measure ID]:[Measure ID]],0),MATCH(R$24,Tbl_MeasureList[#Headers],0))
            )
       )</f>
        <v>-7020.5681270365467</v>
      </c>
      <c r="S21" s="637">
        <f ca="1">IF(Tbl_BCROutputs_Electric[[#This Row],[Replacement Type]]="Partial Displacement",
        INDEX(Tbl_MeasureList[[Measure ID]:[Current ER (EE) High Measure Gas Fuel Savings (1,000 cu.ft. gas/year)]],
                      MATCH(Tbl_BCROutputs_Electric[[#This Row],[Measure ID]:[Measure ID]],Tbl_MeasureList[[Measure ID]:[Measure ID]],0),
                      MATCH(S$26,Tbl_MeasureList[#Headers],0)),
       IF(Tbl_BCROutputs_Electric[[#This Row],[Savings Stream]]="Retire",
             INDEX(Tbl_MeasureList[],MATCH(Tbl_BCROutputs_Electric[[#This Row],[Measure ID]:[Measure ID]],Tbl_MeasureList[[Measure ID]:[Measure ID]],0),MATCH(S$25,Tbl_MeasureList[#Headers],0)),
             INDEX(Tbl_MeasureList[],MATCH(Tbl_BCROutputs_Electric[[#This Row],[Measure ID]:[Measure ID]],Tbl_MeasureList[[Measure ID]:[Measure ID]],0),MATCH(S$24,Tbl_MeasureList[#Headers],0))))</f>
        <v>72.76713302596113</v>
      </c>
      <c r="T21" s="638">
        <f ca="1">IF(Tbl_BCROutputs_Electric[[#This Row],[Replacement Type]]="Partial Displacement",
        INDEX(Tbl_MeasureList[[Measure ID]:[Current ER (EE) High Measure Gas Fuel Savings (1,000 cu.ft. gas/year)]],
                      MATCH(Tbl_BCROutputs_Electric[[#This Row],[Measure ID]:[Measure ID]],Tbl_MeasureList[[Measure ID]:[Measure ID]],0),
                      MATCH(T$26,Tbl_MeasureList[#Headers],0)),
       IF(Tbl_BCROutputs_Electric[[#This Row],[Savings Stream]]="Retire",
              INDEX(Tbl_MeasureList[],MATCH(Tbl_BCROutputs_Electric[[#This Row],[Measure ID]:[Measure ID]],Tbl_MeasureList[[Measure ID]:[Measure ID]],0),MATCH(T$25,Tbl_MeasureList[#Headers],0)),
              INDEX(Tbl_MeasureList[],MATCH(Tbl_BCROutputs_Electric[[#This Row],[Measure ID]:[Measure ID]],Tbl_MeasureList[[Measure ID]:[Measure ID]],0),MATCH(T$24,Tbl_MeasureList[#Headers],0))
            ))</f>
        <v>96.721311475409834</v>
      </c>
      <c r="U21" s="397">
        <f ca="1">IF(Tbl_BCROutputs_Electric[[#This Row],[Replacement Type]]="Partial Displacement",
        INDEX(Tbl_MeasureList[[Measure ID]:[Current ER (EE) High Measure Gas Fuel Savings (1,000 cu.ft. gas/year)]],
                      MATCH(Tbl_BCROutputs_Electric[[#This Row],[Measure ID]:[Measure ID]],Tbl_MeasureList[[Measure ID]:[Measure ID]],0),
                      MATCH(U$26,Tbl_MeasureList[#Headers],0)),
       IF(Tbl_BCROutputs_Electric[[#This Row],[Savings Stream]]="Retire",
              INDEX(Tbl_MeasureList[],MATCH(Tbl_BCROutputs_Electric[[#This Row],[Measure ID]:[Measure ID]],Tbl_MeasureList[[Measure ID]:[Measure ID]],0),MATCH(U$25,Tbl_MeasureList[#Headers],0)),
              INDEX(Tbl_MeasureList[],MATCH(Tbl_BCROutputs_Electric[[#This Row],[Measure ID]:[Measure ID]],Tbl_MeasureList[[Measure ID]:[Measure ID]],0),MATCH(U$24,Tbl_MeasureList[#Headers],0))
            ))</f>
        <v>0</v>
      </c>
      <c r="V21" s="639">
        <f ca="1">IF(OR(Tbl_BCROutputs_Electric[[#This Row],[Replacement Type]]="Partial Displacement",Tbl_BCROutputs_Electric[[#This Row],[Savings Stream]]="EE"),
        INDEX(Tbl_MeasureList[[Measure ID]:[Current ER (EE) High Measure Gas Fuel Savings (1,000 cu.ft. gas/year)]],
                      MATCH(Tbl_BCROutputs_Electric[[#This Row],[Measure ID]:[Measure ID]],Tbl_MeasureList[[Measure ID]:[Measure ID]],0),
                      MATCH(V$10,Tbl_MeasureList[#Headers],0)),
      0)</f>
        <v>96.721311475409834</v>
      </c>
      <c r="W21" s="640">
        <f ca="1">IF(OR(Tbl_BCROutputs_Electric[[#This Row],[Replacement Type]]="Partial Displacement",Tbl_BCROutputs_Electric[[#This Row],[Savings Stream]]="EE"),
        INDEX(Tbl_MeasureList[[Measure ID]:[Current ER (EE) High Measure Gas Fuel Savings (1,000 cu.ft. gas/year)]],
                      MATCH(Tbl_BCROutputs_Electric[[#This Row],[Measure ID]:[Measure ID]],Tbl_MeasureList[[Measure ID]:[Measure ID]],0),
                      MATCH(W$10,Tbl_MeasureList[#Headers],0)),
       0)</f>
        <v>0</v>
      </c>
      <c r="X21" s="636">
        <f ca="1">IF(Tbl_BCROutputs_Electric[[#This Row],[Replacement Type]]="Partial Displacement",
        INDEX(Tbl_MeasureList[[Measure ID]:[Current ER (EE) High Measure Gas Fuel Savings (1,000 cu.ft. gas/year)]],
                      MATCH(Tbl_BCROutputs_Electric[[#This Row],[Measure ID]:[Measure ID]],Tbl_MeasureList[[Measure ID]:[Measure ID]],0),
                      MATCH(X$26,Tbl_MeasureList[#Headers],0)),
       IF(Tbl_BCROutputs_Electric[[#This Row],[Savings Stream]]="Retire",
              INDEX(Tbl_MeasureList[],MATCH(Tbl_BCROutputs_Electric[[#This Row],[Measure ID]:[Measure ID]],Tbl_MeasureList[[Measure ID]:[Measure ID]],0),MATCH(X$25,Tbl_MeasureList[#Headers],0)),
              INDEX(Tbl_MeasureList[],MATCH(Tbl_BCROutputs_Electric[[#This Row],[Measure ID]:[Measure ID]],Tbl_MeasureList[[Measure ID]:[Measure ID]],0),MATCH(X$24,Tbl_MeasureList[#Headers],0))
            ))</f>
        <v>-7528.9455183408954</v>
      </c>
      <c r="Y21" s="641">
        <f ca="1">IF(Tbl_BCROutputs_Electric[[#This Row],[Replacement Type]]="Partial Displacement",
        INDEX(Tbl_MeasureList[[Measure ID]:[Current ER (EE) High Measure Gas Fuel Savings (1,000 cu.ft. gas/year)]],
                      MATCH(Tbl_BCROutputs_Electric[[#This Row],[Measure ID]:[Measure ID]],Tbl_MeasureList[[Measure ID]:[Measure ID]],0),
                      MATCH(Y$26,Tbl_MeasureList[#Headers],0)),
       IF(Tbl_BCROutputs_Electric[[#This Row],[Savings Stream]]="Retire",
              INDEX(Tbl_MeasureList[],MATCH(Tbl_BCROutputs_Electric[[#This Row],[Measure ID]:[Measure ID]],Tbl_MeasureList[[Measure ID]:[Measure ID]],0),MATCH(Y$25,Tbl_MeasureList[#Headers],0)),
              INDEX(Tbl_MeasureList[],MATCH(Tbl_BCROutputs_Electric[[#This Row],[Measure ID]:[Measure ID]],Tbl_MeasureList[[Measure ID]:[Measure ID]],0),MATCH(Y$24,Tbl_MeasureList[#Headers],0))
            ))</f>
        <v>508.37739130434784</v>
      </c>
      <c r="Z21" s="396">
        <f ca="1">IF(Tbl_BCROutputs_Electric[[#This Row],[Replacement Type]]="Partial Displacement",
        INDEX(Tbl_MeasureList[[Measure ID]:[Current ER (EE) High Measure Gas Fuel Savings (1,000 cu.ft. gas/year)]],
                      MATCH(Tbl_BCROutputs_Electric[[#This Row],[Measure ID]:[Measure ID]],Tbl_MeasureList[[Measure ID]:[Measure ID]],0),
                      MATCH(Z$26,Tbl_MeasureList[#Headers],0)),
       IF(Tbl_BCROutputs_Electric[[#This Row],[Savings Stream]]="Retire",
              INDEX(Tbl_MeasureList[],MATCH(Tbl_BCROutputs_Electric[[#This Row],[Measure ID]:[Measure ID]],Tbl_MeasureList[[Measure ID]:[Measure ID]],0),MATCH(Z$25,Tbl_MeasureList[#Headers],0)),
              INDEX(Tbl_MeasureList[],MATCH(Tbl_BCROutputs_Electric[[#This Row],[Measure ID]:[Measure ID]],Tbl_MeasureList[[Measure ID]:[Measure ID]],0),MATCH(Z$24,Tbl_MeasureList[#Headers],0))
            ))</f>
        <v>-1.7697794822627038</v>
      </c>
      <c r="AA21" s="654">
        <f ca="1">IF(Tbl_BCROutputs_Electric[[#This Row],[Replacement Type]]="Partial Displacement",
        INDEX(Tbl_MeasureList[[Measure ID]:[Current ER (EE) High Measure Gas Fuel Savings (1,000 cu.ft. gas/year)]],
                      MATCH(Tbl_BCROutputs_Electric[[#This Row],[Measure ID]:[Measure ID]],Tbl_MeasureList[[Measure ID]:[Measure ID]],0),
                      MATCH(AA$26,Tbl_MeasureList[#Headers],0)),
       IF(Tbl_BCROutputs_Electric[[#This Row],[Savings Stream]]="Retire",
              INDEX(Tbl_MeasureList[],MATCH(Tbl_BCROutputs_Electric[[#This Row],[Measure ID]:[Measure ID]],Tbl_MeasureList[[Measure ID]:[Measure ID]],0),MATCH(AA$25,Tbl_MeasureList[#Headers],0)),
              INDEX(Tbl_MeasureList[],MATCH(Tbl_BCROutputs_Electric[[#This Row],[Measure ID]:[Measure ID]],Tbl_MeasureList[[Measure ID]:[Measure ID]],0),MATCH(AA$24,Tbl_MeasureList[#Headers],0))
            ))</f>
        <v>1.6000000000000236E-2</v>
      </c>
      <c r="AB21" s="655">
        <f>IF(Tbl_BCROutputs_Electric[[#This Row],[Replacement Fuel]]="Electric+Oil", INPUT_OILHEATSWITCHOVER,
         IF(Tbl_BCROutputs_Electric[[#This Row],[Replacement Fuel]]="Electric+Propane", INPUT_PROPANEHEATSWITCHOVER,
                IF(Tbl_BCROutputs_Electric[[#This Row],[Replacement Fuel]]="Electric+Gas", INPUT_GASHEATSWITCHOVER,
                       IF(Tbl_BCROutputs_Electric[[#This Row],[Replacement Fuel]]="Electric", INPUT_RESISTANCEHEAT_SWITCHOVER,0))))</f>
        <v>0</v>
      </c>
    </row>
    <row r="22" spans="2:62" s="581" customFormat="1" x14ac:dyDescent="0.2">
      <c r="B22" s="582"/>
      <c r="C22" s="583" t="s">
        <v>1316</v>
      </c>
      <c r="D22" s="642" t="s">
        <v>1218</v>
      </c>
      <c r="E22" s="643" t="str">
        <f>INDEX(Tbl_MeasureList[],MATCH(Tbl_BCROutputs_Electric[[#This Row],[Measure ID]],Tbl_MeasureList[[Measure ID]:[Measure ID]],0),MATCH(Tbl_BCROutputs_Electric[[#Headers],[Replacement ID]],Tbl_MeasureList[#Headers],0))</f>
        <v>EQUI039</v>
      </c>
      <c r="F22" s="643" t="str">
        <f>INDEX(Tbl_MeasureList[[Measure ID]:[Current ER (EE) High Measure Gas Fuel Savings (1,000 cu.ft. gas/year)]],
               MATCH(Tbl_BCROutputs_Electric[[#This Row],[Measure ID]:[Measure ID]],Tbl_MeasureList[[Measure ID]:[Measure ID]],0),
               MATCH(F$10,Tbl_MeasureList[#Headers],0))</f>
        <v>Room AC/No AC Blend+Propane Boiler</v>
      </c>
      <c r="G22" s="644" t="str">
        <f>INDEX(Tbl_MeasureList[[Measure ID]:[Current ER (EE) High Measure Gas Fuel Savings (1,000 cu.ft. gas/year)]],
               MATCH(Tbl_BCROutputs_Electric[[#This Row],[Measure ID]:[Measure ID]],Tbl_MeasureList[[Measure ID]:[Measure ID]],0),
               MATCH(G$10,Tbl_MeasureList[#Headers],0))</f>
        <v>DMSHP</v>
      </c>
      <c r="H22" s="644" t="str">
        <f>INDEX(Tbl_MeasureList[Replacement Fuel 1],MATCH(Tbl_BCROutputs_Electric[[#This Row],[Measure ID]],Tbl_MeasureList[Measure ID],0))&amp;
  IF(INDEX(Tbl_MeasureList[Replacement Fuel 2],MATCH(Tbl_BCROutputs_Electric[[#This Row],[Measure ID]],Tbl_MeasureList[Measure ID],0))&lt;&gt;"-",
       "+"&amp;INDEX(Tbl_MeasureList[Replacement Fuel 2],MATCH(Tbl_BCROutputs_Electric[[#This Row],[Measure ID]],Tbl_MeasureList[Measure ID],0)),"")</f>
        <v>Electric</v>
      </c>
      <c r="I22" s="645" t="str">
        <f>IF(Tbl_BCROutputs_Electric[[#This Row],[Replacement Fuel]]="Natural Gas",INDEX(Tbl_EquipmentDefinitions[Natural Gas High Measure Efficiency],MATCH(Tbl_BCROutputs_Electric[[#This Row],[Replacement ID]],Tbl_EquipmentDefinitions[Equipment ID],0)),
  IF(Tbl_BCROutputs_Electric[[#This Row],[Replacement Fuel]]="Electric",INDEX(Tbl_EquipmentDefinitions[Electricity High Measure Efficiency],MATCH(Tbl_BCROutputs_Electric[[#This Row],[Replacement ID]],Tbl_EquipmentDefinitions[Equipment ID],0)),
  IF(Tbl_BCROutputs_Electric[[#This Row],[Replacement Fuel]]="Electric+Oil",
        INDEX(Tbl_EquipmentDefinitions[Electricity High Measure Efficiency],MATCH(Tbl_BCROutputs_Electric[[#This Row],[Replacement ID]],Tbl_EquipmentDefinitions[Equipment ID],0))&amp;CHAR(10)&amp;
        INDEX(Tbl_EquipmentDefinitions[Oil Baseline Efficiency],MATCH(Tbl_BCROutputs_Electric[[#This Row],[Replacement ID]],Tbl_EquipmentDefinitions[Equipment ID],0)),
  IF(Tbl_BCROutputs_Electric[[#This Row],[Replacement Fuel]]="Electric+Propane",
        INDEX(Tbl_EquipmentDefinitions[Electricity High Measure Efficiency],MATCH(Tbl_BCROutputs_Electric[[#This Row],[Replacement ID]],Tbl_EquipmentDefinitions[Equipment ID],0))&amp;CHAR(10)&amp;
        INDEX(Tbl_EquipmentDefinitions[Propane Baseline Efficiency],MATCH(Tbl_BCROutputs_Electric[[#This Row],[Replacement ID]],Tbl_EquipmentDefinitions[Equipment ID],0)),
  IF(Tbl_BCROutputs_Electric[[#This Row],[Replacement Fuel]]="Electric+Electric",INDEX(Tbl_EquipmentDefinitions[Electricity High Measure Efficiency],MATCH(Tbl_BCROutputs_Electric[[#This Row],[Replacement ID]],Tbl_EquipmentDefinitions[Equipment ID],0)),
)))))</f>
        <v>20 SEER/12.0 HSPF</v>
      </c>
      <c r="J22" s="83" t="str">
        <f>INDEX(Tbl_MeasureList[[Measure ID]:[Current ER (EE) High Measure Gas Fuel Savings (1,000 cu.ft. gas/year)]],
               MATCH(Tbl_BCROutputs_Electric[[#This Row],[Measure ID]:[Measure ID]],Tbl_MeasureList[[Measure ID]:[Measure ID]],0),
               MATCH(J$10,Tbl_MeasureList[#Headers],0))</f>
        <v>No</v>
      </c>
      <c r="K22" s="646" t="str">
        <f>IF(Tbl_BCROutputs_Electric[[#This Row],[Keep Existing Heating Equipment?]]="Yes","Partial Displacement","Full Replacement")</f>
        <v>Full Replacement</v>
      </c>
      <c r="L22" s="631">
        <f>IF(Tbl_BCROutputs_Electric[[#This Row],[Replacement Type]]="Partial Displacement",
        INDEX(Tbl_EquipmentDefinitions[New Unit Equipment Life (years)],
                       MATCH(INDEX(Tbl_MeasureList[[Measure ID]:[Current ER (EE) High Measure Gas Fuel Savings (1,000 cu.ft. gas/year)]],
                                                      MATCH(Tbl_BCROutputs_Electric[[#This Row],[Measure ID]:[Measure ID]],Tbl_MeasureList[Measure ID],0),
                                                      MATCH(L$24,Tbl_MeasureList[#Headers],0)),
                                        Tbl_EquipmentDefinitions[Equipment ID],
                                        0)),
        IF(Tbl_BCROutputs_Electric[[#This Row],[Savings Stream]]="Retire",
             INDEX(Tbl_MeasureList[],MATCH(Tbl_BCROutputs_Electric[[#This Row],[Measure ID]],Tbl_MeasureList[[Measure ID]:[Measure ID]],0),MATCH($L$26,Tbl_MeasureList[#Headers],0)),
             INDEX(Tbl_MeasureList[],MATCH(Tbl_BCROutputs_Electric[[#This Row],[Measure ID]],Tbl_MeasureList[[Measure ID]:[Measure ID]],0),MATCH($L$25,Tbl_MeasureList[#Headers],0)))
        )</f>
        <v>10</v>
      </c>
      <c r="M22" s="632">
        <f>IF(Tbl_BCROutputs_Electric[[#This Row],[Replacement Type]]="Partial Displacement",
       INDEX(Tbl_MeasureList[[Measure ID]:[Current ER (EE) High Measure Gas Fuel Savings (1,000 cu.ft. gas/year)]],
                      MATCH(Tbl_BCROutputs_Electric[[#This Row],[Measure ID]:[Measure ID]],Tbl_MeasureList[[Measure ID]:[Measure ID]],0),
                      MATCH(M$25,Tbl_MeasureList[#Headers],0)),
       IF(Tbl_BCROutputs_Electric[[#This Row],[Savings Stream]]="Retire",0,
              INDEX(Tbl_MeasureList[[Measure ID]:[Current ER (EE) High Measure Gas Fuel Savings (1,000 cu.ft. gas/year)]],
                      MATCH(Tbl_BCROutputs_Electric[[#This Row],[Measure ID]:[Measure ID]],Tbl_MeasureList[[Measure ID]:[Measure ID]],0),
                      MATCH(M$24,Tbl_MeasureList[#Headers],0))))</f>
        <v>0</v>
      </c>
      <c r="N22" s="633">
        <f>IF(Tbl_BCROutputs_Electric[[#This Row],[Replacement Type]]="Partial Displacement",INPUT_SYSTEMINTEGRATIONCOST,0)</f>
        <v>0</v>
      </c>
      <c r="O22" s="634">
        <f>IF(AND(ISNUMBER(SEARCH("DMSHP",Tbl_BCROutputs_Electric[[#This Row],[Replacement Name]])),Tbl_BCROutputs_Electric[[#This Row],[Savings Stream]]="EE"),INPUT_ELECTRICALSYSTEMUPGRADECOST,0)</f>
        <v>0</v>
      </c>
      <c r="P22" s="394">
        <f>IF(OR(Tbl_BCROutputs_Electric[[#This Row],[Replacement Type]]="Partial Displacement",Tbl_BCROutputs_Electric[[#This Row],[Savings Stream]]="EE"),
        INDEX(Tbl_MeasureList[[Measure ID]:[Current ER (EE) High Measure Gas Fuel Savings (1,000 cu.ft. gas/year)]],
                      MATCH(Tbl_BCROutputs_Electric[[#This Row],[Measure ID]],Tbl_MeasureList[[Measure ID]:[Measure ID]],0),
                      MATCH(P$24,Tbl_MeasureList[#Headers],0)),
        0
       )</f>
        <v>0</v>
      </c>
      <c r="Q22" s="635">
        <f>IF(Tbl_BCROutputs_Electric[[#This Row],[Total Cost New Equipment, not including deferred replacement (USD)]]="-","-",Tbl_BCROutputs_Electric[[#This Row],[Total Cost New Equipment, not including deferred replacement (USD)]]-Tbl_BCROutputs_Electric[[#This Row],[Deferred Replacement Credit (USD)]])</f>
        <v>0</v>
      </c>
      <c r="R22" s="636">
        <f>IF(Tbl_BCROutputs_Electric[[#This Row],[Replacement Type]]="Partial Displacement",
        INDEX(Tbl_MeasureList[[Measure ID]:[Current ER (EE) High Measure Gas Fuel Savings (1,000 cu.ft. gas/year)]],
                      MATCH(Tbl_BCROutputs_Electric[[#This Row],[Measure ID]:[Measure ID]],Tbl_MeasureList[[Measure ID]:[Measure ID]],0),
                      MATCH(R$26,Tbl_MeasureList[#Headers],0)),
        IF(Tbl_BCROutputs_Electric[[#This Row],[Savings Stream]]="Retire",
              INDEX(Tbl_MeasureList[],MATCH(Tbl_BCROutputs_Electric[[#This Row],[Measure ID]:[Measure ID]],Tbl_MeasureList[[Measure ID]:[Measure ID]],0),MATCH(R$25,Tbl_MeasureList[#Headers],0)),
              INDEX(Tbl_MeasureList[],MATCH(Tbl_BCROutputs_Electric[[#This Row],[Measure ID]:[Measure ID]],Tbl_MeasureList[[Measure ID]:[Measure ID]],0),MATCH(R$24,Tbl_MeasureList[#Headers],0))
            )
       )</f>
        <v>290.50434782608704</v>
      </c>
      <c r="S22" s="637">
        <f>IF(Tbl_BCROutputs_Electric[[#This Row],[Replacement Type]]="Partial Displacement",
        INDEX(Tbl_MeasureList[[Measure ID]:[Current ER (EE) High Measure Gas Fuel Savings (1,000 cu.ft. gas/year)]],
                      MATCH(Tbl_BCROutputs_Electric[[#This Row],[Measure ID]:[Measure ID]],Tbl_MeasureList[[Measure ID]:[Measure ID]],0),
                      MATCH(S$26,Tbl_MeasureList[#Headers],0)),
       IF(Tbl_BCROutputs_Electric[[#This Row],[Savings Stream]]="Retire",
             INDEX(Tbl_MeasureList[],MATCH(Tbl_BCROutputs_Electric[[#This Row],[Measure ID]:[Measure ID]],Tbl_MeasureList[[Measure ID]:[Measure ID]],0),MATCH(S$25,Tbl_MeasureList[#Headers],0)),
             INDEX(Tbl_MeasureList[],MATCH(Tbl_BCROutputs_Electric[[#This Row],[Measure ID]:[Measure ID]],Tbl_MeasureList[[Measure ID]:[Measure ID]],0),MATCH(S$24,Tbl_MeasureList[#Headers],0))))</f>
        <v>6.5365560260394346</v>
      </c>
      <c r="T22" s="638">
        <f>IF(Tbl_BCROutputs_Electric[[#This Row],[Replacement Type]]="Partial Displacement",
        INDEX(Tbl_MeasureList[[Measure ID]:[Current ER (EE) High Measure Gas Fuel Savings (1,000 cu.ft. gas/year)]],
                      MATCH(Tbl_BCROutputs_Electric[[#This Row],[Measure ID]:[Measure ID]],Tbl_MeasureList[[Measure ID]:[Measure ID]],0),
                      MATCH(T$26,Tbl_MeasureList[#Headers],0)),
       IF(Tbl_BCROutputs_Electric[[#This Row],[Savings Stream]]="Retire",
              INDEX(Tbl_MeasureList[],MATCH(Tbl_BCROutputs_Electric[[#This Row],[Measure ID]:[Measure ID]],Tbl_MeasureList[[Measure ID]:[Measure ID]],0),MATCH(T$25,Tbl_MeasureList[#Headers],0)),
              INDEX(Tbl_MeasureList[],MATCH(Tbl_BCROutputs_Electric[[#This Row],[Measure ID]:[Measure ID]],Tbl_MeasureList[[Measure ID]:[Measure ID]],0),MATCH(T$24,Tbl_MeasureList[#Headers],0))
            ))</f>
        <v>5.5453551912568315</v>
      </c>
      <c r="U22" s="397">
        <f>IF(Tbl_BCROutputs_Electric[[#This Row],[Replacement Type]]="Partial Displacement",
        INDEX(Tbl_MeasureList[[Measure ID]:[Current ER (EE) High Measure Gas Fuel Savings (1,000 cu.ft. gas/year)]],
                      MATCH(Tbl_BCROutputs_Electric[[#This Row],[Measure ID]:[Measure ID]],Tbl_MeasureList[[Measure ID]:[Measure ID]],0),
                      MATCH(U$26,Tbl_MeasureList[#Headers],0)),
       IF(Tbl_BCROutputs_Electric[[#This Row],[Savings Stream]]="Retire",
              INDEX(Tbl_MeasureList[],MATCH(Tbl_BCROutputs_Electric[[#This Row],[Measure ID]:[Measure ID]],Tbl_MeasureList[[Measure ID]:[Measure ID]],0),MATCH(U$25,Tbl_MeasureList[#Headers],0)),
              INDEX(Tbl_MeasureList[],MATCH(Tbl_BCROutputs_Electric[[#This Row],[Measure ID]:[Measure ID]],Tbl_MeasureList[[Measure ID]:[Measure ID]],0),MATCH(U$24,Tbl_MeasureList[#Headers],0))
            ))</f>
        <v>0</v>
      </c>
      <c r="V22" s="639">
        <f>IF(OR(Tbl_BCROutputs_Electric[[#This Row],[Replacement Type]]="Partial Displacement",Tbl_BCROutputs_Electric[[#This Row],[Savings Stream]]="EE"),
        INDEX(Tbl_MeasureList[[Measure ID]:[Current ER (EE) High Measure Gas Fuel Savings (1,000 cu.ft. gas/year)]],
                      MATCH(Tbl_BCROutputs_Electric[[#This Row],[Measure ID]:[Measure ID]],Tbl_MeasureList[[Measure ID]:[Measure ID]],0),
                      MATCH(V$10,Tbl_MeasureList[#Headers],0)),
      0)</f>
        <v>0</v>
      </c>
      <c r="W22" s="640">
        <f>IF(OR(Tbl_BCROutputs_Electric[[#This Row],[Replacement Type]]="Partial Displacement",Tbl_BCROutputs_Electric[[#This Row],[Savings Stream]]="EE"),
        INDEX(Tbl_MeasureList[[Measure ID]:[Current ER (EE) High Measure Gas Fuel Savings (1,000 cu.ft. gas/year)]],
                      MATCH(Tbl_BCROutputs_Electric[[#This Row],[Measure ID]:[Measure ID]],Tbl_MeasureList[[Measure ID]:[Measure ID]],0),
                      MATCH(W$10,Tbl_MeasureList[#Headers],0)),
       0)</f>
        <v>0</v>
      </c>
      <c r="X22" s="636">
        <f>IF(Tbl_BCROutputs_Electric[[#This Row],[Replacement Type]]="Partial Displacement",
        INDEX(Tbl_MeasureList[[Measure ID]:[Current ER (EE) High Measure Gas Fuel Savings (1,000 cu.ft. gas/year)]],
                      MATCH(Tbl_BCROutputs_Electric[[#This Row],[Measure ID]:[Measure ID]],Tbl_MeasureList[[Measure ID]:[Measure ID]],0),
                      MATCH(X$26,Tbl_MeasureList[#Headers],0)),
       IF(Tbl_BCROutputs_Electric[[#This Row],[Savings Stream]]="Retire",
              INDEX(Tbl_MeasureList[],MATCH(Tbl_BCROutputs_Electric[[#This Row],[Measure ID]:[Measure ID]],Tbl_MeasureList[[Measure ID]:[Measure ID]],0),MATCH(X$25,Tbl_MeasureList[#Headers],0)),
              INDEX(Tbl_MeasureList[],MATCH(Tbl_BCROutputs_Electric[[#This Row],[Measure ID]:[Measure ID]],Tbl_MeasureList[[Measure ID]:[Measure ID]],0),MATCH(X$24,Tbl_MeasureList[#Headers],0))
            ))</f>
        <v>0</v>
      </c>
      <c r="Y22" s="641">
        <f>IF(Tbl_BCROutputs_Electric[[#This Row],[Replacement Type]]="Partial Displacement",
        INDEX(Tbl_MeasureList[[Measure ID]:[Current ER (EE) High Measure Gas Fuel Savings (1,000 cu.ft. gas/year)]],
                      MATCH(Tbl_BCROutputs_Electric[[#This Row],[Measure ID]:[Measure ID]],Tbl_MeasureList[[Measure ID]:[Measure ID]],0),
                      MATCH(Y$26,Tbl_MeasureList[#Headers],0)),
       IF(Tbl_BCROutputs_Electric[[#This Row],[Savings Stream]]="Retire",
              INDEX(Tbl_MeasureList[],MATCH(Tbl_BCROutputs_Electric[[#This Row],[Measure ID]:[Measure ID]],Tbl_MeasureList[[Measure ID]:[Measure ID]],0),MATCH(Y$25,Tbl_MeasureList[#Headers],0)),
              INDEX(Tbl_MeasureList[],MATCH(Tbl_BCROutputs_Electric[[#This Row],[Measure ID]:[Measure ID]],Tbl_MeasureList[[Measure ID]:[Measure ID]],0),MATCH(Y$24,Tbl_MeasureList[#Headers],0))
            ))</f>
        <v>290.50434782608704</v>
      </c>
      <c r="Z22" s="396">
        <f>IF(Tbl_BCROutputs_Electric[[#This Row],[Replacement Type]]="Partial Displacement",
        INDEX(Tbl_MeasureList[[Measure ID]:[Current ER (EE) High Measure Gas Fuel Savings (1,000 cu.ft. gas/year)]],
                      MATCH(Tbl_BCROutputs_Electric[[#This Row],[Measure ID]:[Measure ID]],Tbl_MeasureList[[Measure ID]:[Measure ID]],0),
                      MATCH(Z$26,Tbl_MeasureList[#Headers],0)),
       IF(Tbl_BCROutputs_Electric[[#This Row],[Savings Stream]]="Retire",
              INDEX(Tbl_MeasureList[],MATCH(Tbl_BCROutputs_Electric[[#This Row],[Measure ID]:[Measure ID]],Tbl_MeasureList[[Measure ID]:[Measure ID]],0),MATCH(Z$25,Tbl_MeasureList[#Headers],0)),
              INDEX(Tbl_MeasureList[],MATCH(Tbl_BCROutputs_Electric[[#This Row],[Measure ID]:[Measure ID]],Tbl_MeasureList[[Measure ID]:[Measure ID]],0),MATCH(Z$24,Tbl_MeasureList[#Headers],0))
            ))</f>
        <v>0</v>
      </c>
      <c r="AA22" s="654">
        <f>IF(Tbl_BCROutputs_Electric[[#This Row],[Replacement Type]]="Partial Displacement",
        INDEX(Tbl_MeasureList[[Measure ID]:[Current ER (EE) High Measure Gas Fuel Savings (1,000 cu.ft. gas/year)]],
                      MATCH(Tbl_BCROutputs_Electric[[#This Row],[Measure ID]:[Measure ID]],Tbl_MeasureList[[Measure ID]:[Measure ID]],0),
                      MATCH(AA$26,Tbl_MeasureList[#Headers],0)),
       IF(Tbl_BCROutputs_Electric[[#This Row],[Savings Stream]]="Retire",
              INDEX(Tbl_MeasureList[],MATCH(Tbl_BCROutputs_Electric[[#This Row],[Measure ID]:[Measure ID]],Tbl_MeasureList[[Measure ID]:[Measure ID]],0),MATCH(AA$25,Tbl_MeasureList[#Headers],0)),
              INDEX(Tbl_MeasureList[],MATCH(Tbl_BCROutputs_Electric[[#This Row],[Measure ID]:[Measure ID]],Tbl_MeasureList[[Measure ID]:[Measure ID]],0),MATCH(AA$24,Tbl_MeasureList[#Headers],0))
            ))</f>
        <v>0.38399999999999967</v>
      </c>
      <c r="AB22" s="655">
        <f>IF(Tbl_BCROutputs_Electric[[#This Row],[Replacement Fuel]]="Electric+Oil", INPUT_OILHEATSWITCHOVER,
         IF(Tbl_BCROutputs_Electric[[#This Row],[Replacement Fuel]]="Electric+Propane", INPUT_PROPANEHEATSWITCHOVER,
                IF(Tbl_BCROutputs_Electric[[#This Row],[Replacement Fuel]]="Electric+Gas", INPUT_GASHEATSWITCHOVER,
                       IF(Tbl_BCROutputs_Electric[[#This Row],[Replacement Fuel]]="Electric", INPUT_RESISTANCEHEAT_SWITCHOVER,0))))</f>
        <v>0</v>
      </c>
    </row>
    <row r="23" spans="2:62" s="581" customFormat="1" x14ac:dyDescent="0.2">
      <c r="B23" s="582"/>
    </row>
    <row r="24" spans="2:62" x14ac:dyDescent="0.2">
      <c r="B24" s="16"/>
      <c r="C24" s="577" t="s">
        <v>1454</v>
      </c>
      <c r="D24" s="577"/>
      <c r="E24" s="577"/>
      <c r="F24" s="578"/>
      <c r="G24" s="578"/>
      <c r="H24" s="578"/>
      <c r="I24" s="578"/>
      <c r="J24" s="578"/>
      <c r="K24" s="578" t="s">
        <v>1519</v>
      </c>
      <c r="L24" s="600" t="s">
        <v>80</v>
      </c>
      <c r="M24" s="600" t="s">
        <v>703</v>
      </c>
      <c r="N24" s="578"/>
      <c r="O24" s="578" t="s">
        <v>1519</v>
      </c>
      <c r="P24" s="600" t="s">
        <v>1445</v>
      </c>
      <c r="Q24" s="578"/>
      <c r="R24" s="600" t="s">
        <v>1268</v>
      </c>
      <c r="S24" s="600" t="s">
        <v>1274</v>
      </c>
      <c r="T24" s="600" t="s">
        <v>1272</v>
      </c>
      <c r="U24" s="600" t="s">
        <v>1273</v>
      </c>
      <c r="V24" s="600" t="s">
        <v>1519</v>
      </c>
      <c r="W24" s="600" t="s">
        <v>1519</v>
      </c>
      <c r="X24" s="600" t="s">
        <v>1483</v>
      </c>
      <c r="Y24" s="600" t="s">
        <v>1484</v>
      </c>
      <c r="Z24" s="600" t="s">
        <v>1269</v>
      </c>
      <c r="AA24" s="600" t="s">
        <v>1270</v>
      </c>
    </row>
    <row r="25" spans="2:62" x14ac:dyDescent="0.2">
      <c r="B25" s="16"/>
      <c r="C25" s="598"/>
      <c r="D25" s="598"/>
      <c r="E25" s="598"/>
      <c r="F25" s="599"/>
      <c r="G25" s="599"/>
      <c r="H25" s="599"/>
      <c r="I25" s="599"/>
      <c r="J25" s="599"/>
      <c r="K25" s="599" t="s">
        <v>1519</v>
      </c>
      <c r="L25" s="600" t="s">
        <v>1280</v>
      </c>
      <c r="M25" s="600" t="s">
        <v>752</v>
      </c>
      <c r="N25" s="599"/>
      <c r="O25" s="599"/>
      <c r="P25" s="600"/>
      <c r="Q25" s="599"/>
      <c r="R25" s="600" t="s">
        <v>1243</v>
      </c>
      <c r="S25" s="600" t="s">
        <v>1249</v>
      </c>
      <c r="T25" s="600" t="s">
        <v>1247</v>
      </c>
      <c r="U25" s="600" t="s">
        <v>1248</v>
      </c>
      <c r="V25" s="611" t="s">
        <v>1519</v>
      </c>
      <c r="W25" s="611" t="s">
        <v>1519</v>
      </c>
      <c r="X25" s="600" t="s">
        <v>1479</v>
      </c>
      <c r="Y25" s="600" t="s">
        <v>1480</v>
      </c>
      <c r="Z25" s="600" t="s">
        <v>1244</v>
      </c>
      <c r="AA25" s="600" t="s">
        <v>1245</v>
      </c>
    </row>
    <row r="26" spans="2:62" x14ac:dyDescent="0.2">
      <c r="B26" s="16"/>
      <c r="C26" s="598"/>
      <c r="D26" s="598"/>
      <c r="E26" s="598"/>
      <c r="F26" s="599"/>
      <c r="G26" s="599"/>
      <c r="H26" s="599"/>
      <c r="I26" s="599"/>
      <c r="J26" s="599"/>
      <c r="K26" s="599" t="s">
        <v>1519</v>
      </c>
      <c r="L26" s="600" t="s">
        <v>910</v>
      </c>
      <c r="M26" s="599"/>
      <c r="N26" s="599"/>
      <c r="O26" s="599"/>
      <c r="P26" s="599"/>
      <c r="Q26" s="599"/>
      <c r="R26" s="600" t="s">
        <v>1231</v>
      </c>
      <c r="S26" s="600" t="s">
        <v>1237</v>
      </c>
      <c r="T26" s="600" t="s">
        <v>1235</v>
      </c>
      <c r="U26" s="600" t="s">
        <v>1236</v>
      </c>
      <c r="V26" s="611" t="s">
        <v>1519</v>
      </c>
      <c r="W26" s="611" t="s">
        <v>1519</v>
      </c>
      <c r="X26" s="600" t="s">
        <v>1471</v>
      </c>
      <c r="Y26" s="600" t="s">
        <v>1472</v>
      </c>
      <c r="Z26" s="600" t="s">
        <v>1232</v>
      </c>
      <c r="AA26" s="600" t="s">
        <v>1233</v>
      </c>
    </row>
    <row r="28" spans="2:62" ht="13.5" thickBot="1" x14ac:dyDescent="0.25">
      <c r="B28" s="9" t="s">
        <v>1192</v>
      </c>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row>
    <row r="29" spans="2:62" x14ac:dyDescent="0.2">
      <c r="B29" s="15"/>
      <c r="L29" s="601"/>
      <c r="M29" s="601"/>
      <c r="N29" s="601"/>
      <c r="O29" s="601"/>
      <c r="P29" s="601"/>
      <c r="Q29" s="601"/>
      <c r="R29" s="601"/>
      <c r="S29" s="601"/>
      <c r="T29" s="601"/>
      <c r="U29" s="601"/>
      <c r="V29" s="601"/>
      <c r="W29" s="601"/>
    </row>
    <row r="30" spans="2:62" ht="12" thickBot="1" x14ac:dyDescent="0.25">
      <c r="B30" s="16"/>
      <c r="C30" s="574" t="s">
        <v>1450</v>
      </c>
      <c r="D30" s="574"/>
      <c r="E30" s="574"/>
      <c r="F30" s="574"/>
      <c r="G30" s="574"/>
      <c r="H30" s="574"/>
      <c r="I30" s="574"/>
      <c r="J30" s="574"/>
      <c r="K30" s="574"/>
      <c r="L30" s="574"/>
      <c r="M30" s="575" t="s">
        <v>120</v>
      </c>
      <c r="N30" s="576"/>
      <c r="O30" s="576"/>
      <c r="P30" s="576"/>
      <c r="Q30" s="576"/>
      <c r="R30" s="575" t="s">
        <v>1514</v>
      </c>
      <c r="S30" s="575" t="s">
        <v>1515</v>
      </c>
      <c r="T30" s="575" t="s">
        <v>1452</v>
      </c>
      <c r="U30" s="575"/>
      <c r="V30" s="575"/>
      <c r="W30" s="575"/>
      <c r="X30" s="418"/>
      <c r="Y30" s="418"/>
      <c r="Z30" s="418"/>
      <c r="AA30" s="418"/>
    </row>
    <row r="31" spans="2:62" ht="84" customHeight="1" thickBot="1" x14ac:dyDescent="0.25">
      <c r="B31" s="16"/>
      <c r="C31" s="280" t="s">
        <v>76</v>
      </c>
      <c r="D31" s="280" t="s">
        <v>1215</v>
      </c>
      <c r="E31" s="280" t="s">
        <v>80</v>
      </c>
      <c r="F31" s="280" t="s">
        <v>79</v>
      </c>
      <c r="G31" s="280" t="s">
        <v>81</v>
      </c>
      <c r="H31" s="280" t="s">
        <v>1071</v>
      </c>
      <c r="I31" s="280" t="s">
        <v>1075</v>
      </c>
      <c r="J31" s="280" t="s">
        <v>751</v>
      </c>
      <c r="K31" s="280" t="s">
        <v>1189</v>
      </c>
      <c r="L31" s="258" t="s">
        <v>1190</v>
      </c>
      <c r="M31" s="259" t="s">
        <v>634</v>
      </c>
      <c r="N31" s="280" t="s">
        <v>1209</v>
      </c>
      <c r="O31" s="280" t="s">
        <v>1210</v>
      </c>
      <c r="P31" s="280" t="s">
        <v>1570</v>
      </c>
      <c r="Q31" s="258" t="s">
        <v>1195</v>
      </c>
      <c r="R31" s="259" t="s">
        <v>1528</v>
      </c>
      <c r="S31" s="521" t="s">
        <v>1529</v>
      </c>
      <c r="T31" s="259" t="s">
        <v>1530</v>
      </c>
      <c r="U31" s="24" t="s">
        <v>1523</v>
      </c>
      <c r="V31" s="24" t="s">
        <v>1325</v>
      </c>
      <c r="W31" s="24" t="s">
        <v>1326</v>
      </c>
    </row>
    <row r="32" spans="2:62" s="581" customFormat="1" x14ac:dyDescent="0.2">
      <c r="B32" s="582"/>
      <c r="C32" s="583" t="s">
        <v>94</v>
      </c>
      <c r="D32" s="583" t="s">
        <v>1216</v>
      </c>
      <c r="E32" s="83" t="str">
        <f>INDEX(Tbl_MeasureList[],MATCH(Tbl_BCROutputs_Gas[[#This Row],[Measure ID]],Tbl_MeasureList[[Measure ID]:[Measure ID]],0),MATCH(Tbl_BCROutputs_Gas[[#Headers],[Replacement ID]],Tbl_MeasureList[#Headers],0))</f>
        <v>EQUI016</v>
      </c>
      <c r="F32" s="83" t="str">
        <f>INDEX(Tbl_MeasureList[[Measure ID]:[Current ER (EE) High Measure Gas Fuel Savings (1,000 cu.ft. gas/year)]],
               MATCH(Tbl_BCROutputs_Gas[[#This Row],[Measure ID]:[Measure ID]],Tbl_MeasureList[[Measure ID]:[Measure ID]],0),
               MATCH(F$31,Tbl_MeasureList[#Headers],0))</f>
        <v>Oil Boiler</v>
      </c>
      <c r="G32" s="83" t="str">
        <f>INDEX(Tbl_MeasureList[[Measure ID]:[Current ER (EE) High Measure Gas Fuel Savings (1,000 cu.ft. gas/year)]],
               MATCH(Tbl_BCROutputs_Gas[[#This Row],[Measure ID]:[Measure ID]],Tbl_MeasureList[[Measure ID]:[Measure ID]],0),
               MATCH(G$31,Tbl_MeasureList[#Headers],0))</f>
        <v>Gas Boiler</v>
      </c>
      <c r="H32" s="83" t="str">
        <f>INDEX(Tbl_MeasureList[Replacement Fuel 1],MATCH(Tbl_BCROutputs_Gas[[#This Row],[Measure ID]],Tbl_MeasureList[Measure ID],0))&amp;
  IF(INDEX(Tbl_MeasureList[Replacement Fuel 2],MATCH(Tbl_BCROutputs_Gas[[#This Row],[Measure ID]],Tbl_MeasureList[Measure ID],0))&lt;&gt;"-",
       "+"&amp;INDEX(Tbl_MeasureList[Replacement Fuel 2],MATCH(Tbl_BCROutputs_Gas[[#This Row],[Measure ID]],Tbl_MeasureList[Measure ID],0)),"")</f>
        <v>Natural Gas</v>
      </c>
      <c r="I32" s="629" t="str">
        <f>IF(Tbl_BCROutputs_Gas[[#This Row],[Replacement Fuel]]="Natural Gas",INDEX(Tbl_EquipmentDefinitions[Natural Gas High Measure Efficiency],MATCH(Tbl_BCROutputs_Gas[[#This Row],[Replacement ID]],Tbl_EquipmentDefinitions[Equipment ID],0)),
  IF(Tbl_BCROutputs_Gas[[#This Row],[Replacement Fuel]]="Electric",INDEX(Tbl_EquipmentDefinitions[Electricity High Measure Efficiency],MATCH(Tbl_BCROutputs_Gas[[#This Row],[Replacement ID]],Tbl_EquipmentDefinitions[Equipment ID],0)),
  IF(Tbl_BCROutputs_Gas[[#This Row],[Replacement Fuel]]="Electric+Oil",
        INDEX(Tbl_EquipmentDefinitions[Electricity High Measure Efficiency],MATCH(Tbl_BCROutputs_Gas[[#This Row],[Replacement ID]],Tbl_EquipmentDefinitions[Equipment ID],0))&amp;CHAR(10)&amp;
        INDEX(Tbl_EquipmentDefinitions[Oil Baseline Efficiency],MATCH(Tbl_BCROutputs_Gas[[#This Row],[Replacement ID]],Tbl_EquipmentDefinitions[Equipment ID],0)),
  IF(Tbl_BCROutputs_Gas[[#This Row],[Replacement Fuel]]="Electric+Propane",
        INDEX(Tbl_EquipmentDefinitions[Electricity High Measure Efficiency],MATCH(Tbl_BCROutputs_Gas[[#This Row],[Replacement ID]],Tbl_EquipmentDefinitions[Equipment ID],0))&amp;CHAR(10)&amp;
        INDEX(Tbl_EquipmentDefinitions[Propane Baseline Efficiency],MATCH(Tbl_BCROutputs_Gas[[#This Row],[Replacement ID]],Tbl_EquipmentDefinitions[Equipment ID],0)),
  IF(Tbl_BCROutputs_Gas[[#This Row],[Replacement Fuel]]="Electric+Electric",INDEX(Tbl_EquipmentDefinitions[Electricity High Measure Efficiency],MATCH(Tbl_BCROutputs_Gas[[#This Row],[Replacement ID]],Tbl_EquipmentDefinitions[Equipment ID],0)),
)))))</f>
        <v>95% AFUE (89.4% actual)</v>
      </c>
      <c r="J32" s="83" t="str">
        <f>INDEX(Tbl_MeasureList[[Measure ID]:[Current ER (EE) High Measure Gas Fuel Savings (1,000 cu.ft. gas/year)]],
               MATCH(Tbl_BCROutputs_Gas[[#This Row],[Measure ID]:[Measure ID]],Tbl_MeasureList[[Measure ID]:[Measure ID]],0),
               MATCH(J$31,Tbl_MeasureList[#Headers],0))</f>
        <v>No</v>
      </c>
      <c r="K32" s="630" t="str">
        <f>IF(Tbl_BCROutputs_Gas[[#This Row],[Keep Existing Heating Equipment?]]="Yes","Partial Displacement","Full Replacement")</f>
        <v>Full Replacement</v>
      </c>
      <c r="L32" s="647">
        <f>IF(Tbl_BCROutputs_Gas[[#This Row],[Replacement Type]]="Partial Displacement",
        INDEX(Tbl_EquipmentDefinitions[New Unit Equipment Life (years)],
                       MATCH(INDEX(Tbl_MeasureList[[Measure ID]:[Current ER (EE) High Measure Gas Fuel Savings (1,000 cu.ft. gas/year)]],
                                                      MATCH(Tbl_BCROutputs_Gas[[#This Row],[Measure ID]:[Measure ID]],Tbl_MeasureList[Measure ID],0),
                                                      MATCH(L$45,Tbl_MeasureList[#Headers],0)),
                                        Tbl_EquipmentDefinitions[Equipment ID],
                                        0)),
        IF(Tbl_BCROutputs_Gas[[#This Row],[Savings Stream]]="Retire",
             INDEX(Tbl_MeasureList[],MATCH(Tbl_BCROutputs_Gas[[#This Row],[Measure ID]],Tbl_MeasureList[[Measure ID]:[Measure ID]],0),MATCH($L$47,Tbl_MeasureList[#Headers],0)),
             INDEX(Tbl_MeasureList[],MATCH(Tbl_BCROutputs_Gas[[#This Row],[Measure ID]],Tbl_MeasureList[[Measure ID]:[Measure ID]],0),MATCH($L$46,Tbl_MeasureList[#Headers],0)))
        )</f>
        <v>20</v>
      </c>
      <c r="M32" s="648">
        <f>IF(Tbl_BCROutputs_Gas[[#This Row],[Savings Stream]]="Retire",0,
          INDEX(Tbl_MeasureList[[Measure ID]:[Current ER (EE) High Measure Gas Fuel Savings (1,000 cu.ft. gas/year)]],
                 MATCH(Tbl_BCROutputs_Gas[[#This Row],[Measure ID]:[Measure ID]],Tbl_MeasureList[[Measure ID]:[Measure ID]],0),
                 MATCH(M$45,Tbl_MeasureList[#Headers],0)))</f>
        <v>2955.424988838648</v>
      </c>
      <c r="N32" s="633">
        <f>IF(INPUT_INCLUDEGASLINE="Yes",
        IF(OR(INDEX(Tbl_MeasureList[[Measure ID]:[Current ER (EE) High Measure Gas Fuel Savings (1,000 cu.ft. gas/year)]],
                                   MATCH(Tbl_BCROutputs_Gas[[#This Row],[Measure ID]:[Measure ID]],Tbl_MeasureList[Measure ID],0),
                                   MATCH(N$46,Tbl_MeasureList[#Headers],0))="Natural Gas",
                    INDEX(Tbl_MeasureList[[Measure ID]:[Current ER (EE) High Measure Gas Fuel Savings (1,000 cu.ft. gas/year)]],
                                   MATCH(Tbl_BCROutputs_Gas[[#This Row],[Measure ID]:[Measure ID]],Tbl_MeasureList[Measure ID],0),
                                   MATCH(N$45,Tbl_MeasureList[#Headers],0))="Natural Gas"),
             IF(Tbl_BCROutputs_Gas[[#This Row],[Savings Stream]]="EE",
                   INPUT_GASLINECOST,
                   0),
             "n/a"),
         "Off (see Inputs tab)")</f>
        <v>5600</v>
      </c>
      <c r="O32" s="634">
        <f>IF(Tbl_BCROutputs_Gas[[#This Row],[Savings Stream]]="EE",
        IF(_xlfn.XOR(ISNUMBER(SEARCH("Boiler",Tbl_BCROutputs_Gas[[#This Row],[Baseline Name]])),ISNUMBER(SEARCH("Boiler",Tbl_BCROutputs_Gas[[#This Row],[Replacement Name]]))),INPUT_EQUIPMENTDISPOSALCOST,0),
        0)</f>
        <v>0</v>
      </c>
      <c r="P32" s="649">
        <f ca="1">IF(OR(Tbl_BCROutputs_Gas[[#This Row],[Replacement Type]]="Partial Displacement",Tbl_BCROutputs_Gas[[#This Row],[Savings Stream]]="EE"),
        INDEX(Tbl_MeasureList[[Measure ID]:[Current ER (EE) High Measure Gas Fuel Savings (1,000 cu.ft. gas/year)]],
                      MATCH(Tbl_BCROutputs_Gas[[#This Row],[Measure ID]],Tbl_MeasureList[[Measure ID]:[Measure ID]],0),
                      MATCH(P$45,Tbl_MeasureList[#Headers],0)),
        IF(Tbl_BCROutputs_Gas[[#This Row],[Savings Stream]]="Retire",
              0,
              0
            )
       )</f>
        <v>15071</v>
      </c>
      <c r="Q32" s="650">
        <f ca="1">IF(Tbl_BCROutputs_Gas[[#This Row],[Total Cost New Equipment, not including deferred replacement (USD)]]="-","-",Tbl_BCROutputs_Gas[[#This Row],[Total Cost New Equipment, not including deferred replacement (USD)]]-Tbl_BCROutputs_Gas[[#This Row],[Deferred Replacement Credit (USD)]])</f>
        <v>12115.575011161352</v>
      </c>
      <c r="R32" s="651">
        <f ca="1">IF(Tbl_BCROutputs_Gas[[#This Row],[Replacement Type]]="Partial Replacement",
        -1*INDEX(Tbl_MeasureList[[Measure ID]:[Current ER (EE) High Measure Gas Fuel Savings (1,000 cu.ft. gas/year)]],
                             MATCH(Tbl_BCROutputs_Gas[[#This Row],[Measure ID]:[Measure ID]],Tbl_MeasureList[[Measure ID]:[Measure ID]],0),
                             MATCH(R$45,Tbl_MeasureList[#Headers],0))/10,
       IF(Tbl_BCROutputs_Gas[[#This Row],[Savings Stream]]="Retire",
                             -1*INDEX(Tbl_MeasureList[],MATCH(Tbl_BCROutputs_Gas[[#This Row],[Measure ID]:[Measure ID]],Tbl_MeasureList[[Measure ID]:[Measure ID]],0),MATCH(R$47,Tbl_MeasureList[#Headers],0))/10,
                             -1*INDEX(Tbl_MeasureList[],MATCH(Tbl_BCROutputs_Gas[[#This Row],[Measure ID]:[Measure ID]],Tbl_MeasureList[[Measure ID]:[Measure ID]],0),MATCH(R$46,Tbl_MeasureList[#Headers],0))/10
            ))</f>
        <v>85.794183445190157</v>
      </c>
      <c r="S32" s="652">
        <f ca="1">IF(Tbl_BCROutputs_Gas[[#This Row],[Replacement Type]]="Partial Displacement",
        INDEX(Tbl_MeasureList[[Measure ID]:[Current ER (EE) High Measure Gas Fuel Savings (1,000 cu.ft. gas/year)]],
                      MATCH(Tbl_BCROutputs_Gas[[#This Row],[Measure ID]:[Measure ID]],Tbl_MeasureList[[Measure ID]:[Measure ID]],0),
                      MATCH(S$47,Tbl_MeasureList[#Headers],0)),
       IF(Tbl_BCROutputs_Gas[[#This Row],[Savings Stream]]="Retire",
             INDEX(Tbl_MeasureList[],MATCH(Tbl_BCROutputs_Gas[[#This Row],[Measure ID]:[Measure ID]],Tbl_MeasureList[[Measure ID]:[Measure ID]],0),MATCH(S$46,Tbl_MeasureList[#Headers],0)),
             INDEX(Tbl_MeasureList[],MATCH(Tbl_BCROutputs_Gas[[#This Row],[Measure ID]:[Measure ID]],Tbl_MeasureList[[Measure ID]:[Measure ID]],0),MATCH(S$45,Tbl_MeasureList[#Headers],0))))</f>
        <v>5.2355563643336609</v>
      </c>
      <c r="T32" s="517">
        <f ca="1">IF(Tbl_BCROutputs_Gas[[#This Row],[Replacement Type]]="Partial Displacement",
        INDEX(Tbl_MeasureList[[Measure ID]:[Current ER (EE) High Measure Gas Fuel Savings (1,000 cu.ft. gas/year)]],
                      MATCH(Tbl_BCROutputs_Gas[[#This Row],[Measure ID]:[Measure ID]],Tbl_MeasureList[[Measure ID]:[Measure ID]],0),
                      MATCH(T$47,Tbl_MeasureList[#Headers],0)),
       IF(Tbl_BCROutputs_Gas[[#This Row],[Savings Stream]]="Retire",
             INDEX(Tbl_MeasureList[],MATCH(Tbl_BCROutputs_Gas[[#This Row],[Measure ID]:[Measure ID]],Tbl_MeasureList[[Measure ID]:[Measure ID]],0),MATCH(T$46,Tbl_MeasureList[#Headers],0)),
             INDEX(Tbl_MeasureList[],MATCH(Tbl_BCROutputs_Gas[[#This Row],[Measure ID]:[Measure ID]],Tbl_MeasureList[[Measure ID]:[Measure ID]],0),MATCH(T$45,Tbl_MeasureList[#Headers],0))))</f>
        <v>0</v>
      </c>
      <c r="U32" s="397">
        <f ca="1">IF(Tbl_BCROutputs_Gas[[#This Row],[Replacement Type]]="Partial Displacement",
        INDEX(Tbl_MeasureList[[Measure ID]:[Current ER (EE) High Measure Gas Fuel Savings (1,000 cu.ft. gas/year)]],
                      MATCH(Tbl_BCROutputs_Gas[[#This Row],[Measure ID]:[Measure ID]],Tbl_MeasureList[[Measure ID]:[Measure ID]],0),
                      MATCH(U$47,Tbl_MeasureList[#Headers],0)),
       IF(Tbl_BCROutputs_Gas[[#This Row],[Savings Stream]]="Retire",
             INDEX(Tbl_MeasureList[],MATCH(Tbl_BCROutputs_Gas[[#This Row],[Measure ID]:[Measure ID]],Tbl_MeasureList[[Measure ID]:[Measure ID]],0),MATCH(U$46,Tbl_MeasureList[#Headers],0)),
             INDEX(Tbl_MeasureList[],MATCH(Tbl_BCROutputs_Gas[[#This Row],[Measure ID]:[Measure ID]],Tbl_MeasureList[[Measure ID]:[Measure ID]],0),MATCH(U$45,Tbl_MeasureList[#Headers],0))))</f>
        <v>91.30952380952381</v>
      </c>
      <c r="V32" s="639">
        <f ca="1">IF(OR(Tbl_BCROutputs_Gas[[#This Row],[Replacement Type]]="Partial Displacement",Tbl_BCROutputs_Gas[[#This Row],[Savings Stream]]="EE"),
        INDEX(Tbl_MeasureList[[Measure ID]:[Current ER (EE) High Measure Gas Fuel Savings (1,000 cu.ft. gas/year)]],
                      MATCH(Tbl_BCROutputs_Gas[[#This Row],[Measure ID]:[Measure ID]],Tbl_MeasureList[[Measure ID]:[Measure ID]],0),
                      MATCH(Tbl_BCROutputs_Gas[[#Headers],[Fuel Switch Propane Annual Consumption Savings (MMBtu/yr)]],Tbl_MeasureList[#Headers],0)),
      0)</f>
        <v>0</v>
      </c>
      <c r="W32" s="639">
        <f ca="1">IF(OR(Tbl_BCROutputs_Gas[[#This Row],[Replacement Type]]="Partial Displacement",Tbl_BCROutputs_Gas[[#This Row],[Savings Stream]]="EE"),
        INDEX(Tbl_MeasureList[[Measure ID]:[Current ER (EE) High Measure Gas Fuel Savings (1,000 cu.ft. gas/year)]],
                      MATCH(Tbl_BCROutputs_Gas[[#This Row],[Measure ID]:[Measure ID]],Tbl_MeasureList[[Measure ID]:[Measure ID]],0),
                      MATCH(Tbl_BCROutputs_Gas[[#Headers],[Fuel Switch Oil Annual Consumption Savings (MMBtu/yr)]],Tbl_MeasureList[#Headers],0)),
       0)</f>
        <v>91.30952380952381</v>
      </c>
      <c r="Y32" s="653"/>
    </row>
    <row r="33" spans="2:25" s="581" customFormat="1" x14ac:dyDescent="0.2">
      <c r="B33" s="582"/>
      <c r="C33" s="583" t="s">
        <v>94</v>
      </c>
      <c r="D33" s="583" t="s">
        <v>1218</v>
      </c>
      <c r="E33" s="83" t="str">
        <f>INDEX(Tbl_MeasureList[],MATCH(Tbl_BCROutputs_Gas[[#This Row],[Measure ID]],Tbl_MeasureList[[Measure ID]:[Measure ID]],0),MATCH(Tbl_BCROutputs_Gas[[#Headers],[Replacement ID]],Tbl_MeasureList[#Headers],0))</f>
        <v>EQUI016</v>
      </c>
      <c r="F33" s="83" t="str">
        <f>INDEX(Tbl_MeasureList[[Measure ID]:[Current ER (EE) High Measure Gas Fuel Savings (1,000 cu.ft. gas/year)]],
               MATCH(Tbl_BCROutputs_Gas[[#This Row],[Measure ID]:[Measure ID]],Tbl_MeasureList[[Measure ID]:[Measure ID]],0),
               MATCH(F$31,Tbl_MeasureList[#Headers],0))</f>
        <v>Oil Boiler</v>
      </c>
      <c r="G33" s="83" t="str">
        <f>INDEX(Tbl_MeasureList[[Measure ID]:[Current ER (EE) High Measure Gas Fuel Savings (1,000 cu.ft. gas/year)]],
               MATCH(Tbl_BCROutputs_Gas[[#This Row],[Measure ID]:[Measure ID]],Tbl_MeasureList[[Measure ID]:[Measure ID]],0),
               MATCH(G$31,Tbl_MeasureList[#Headers],0))</f>
        <v>Gas Boiler</v>
      </c>
      <c r="H33" s="83" t="str">
        <f>INDEX(Tbl_MeasureList[Replacement Fuel 1],MATCH(Tbl_BCROutputs_Gas[[#This Row],[Measure ID]],Tbl_MeasureList[Measure ID],0))&amp;
  IF(INDEX(Tbl_MeasureList[Replacement Fuel 2],MATCH(Tbl_BCROutputs_Gas[[#This Row],[Measure ID]],Tbl_MeasureList[Measure ID],0))&lt;&gt;"-",
       "+"&amp;INDEX(Tbl_MeasureList[Replacement Fuel 2],MATCH(Tbl_BCROutputs_Gas[[#This Row],[Measure ID]],Tbl_MeasureList[Measure ID],0)),"")</f>
        <v>Natural Gas</v>
      </c>
      <c r="I33" s="629" t="str">
        <f>IF(Tbl_BCROutputs_Gas[[#This Row],[Replacement Fuel]]="Natural Gas",INDEX(Tbl_EquipmentDefinitions[Natural Gas High Measure Efficiency],MATCH(Tbl_BCROutputs_Gas[[#This Row],[Replacement ID]],Tbl_EquipmentDefinitions[Equipment ID],0)),
  IF(Tbl_BCROutputs_Gas[[#This Row],[Replacement Fuel]]="Electric",INDEX(Tbl_EquipmentDefinitions[Electricity High Measure Efficiency],MATCH(Tbl_BCROutputs_Gas[[#This Row],[Replacement ID]],Tbl_EquipmentDefinitions[Equipment ID],0)),
  IF(Tbl_BCROutputs_Gas[[#This Row],[Replacement Fuel]]="Electric+Oil",
        INDEX(Tbl_EquipmentDefinitions[Electricity High Measure Efficiency],MATCH(Tbl_BCROutputs_Gas[[#This Row],[Replacement ID]],Tbl_EquipmentDefinitions[Equipment ID],0))&amp;CHAR(10)&amp;
        INDEX(Tbl_EquipmentDefinitions[Oil Baseline Efficiency],MATCH(Tbl_BCROutputs_Gas[[#This Row],[Replacement ID]],Tbl_EquipmentDefinitions[Equipment ID],0)),
  IF(Tbl_BCROutputs_Gas[[#This Row],[Replacement Fuel]]="Electric+Propane",
        INDEX(Tbl_EquipmentDefinitions[Electricity High Measure Efficiency],MATCH(Tbl_BCROutputs_Gas[[#This Row],[Replacement ID]],Tbl_EquipmentDefinitions[Equipment ID],0))&amp;CHAR(10)&amp;
        INDEX(Tbl_EquipmentDefinitions[Propane Baseline Efficiency],MATCH(Tbl_BCROutputs_Gas[[#This Row],[Replacement ID]],Tbl_EquipmentDefinitions[Equipment ID],0)),
  IF(Tbl_BCROutputs_Gas[[#This Row],[Replacement Fuel]]="Electric+Electric",INDEX(Tbl_EquipmentDefinitions[Electricity High Measure Efficiency],MATCH(Tbl_BCROutputs_Gas[[#This Row],[Replacement ID]],Tbl_EquipmentDefinitions[Equipment ID],0)),
)))))</f>
        <v>95% AFUE (89.4% actual)</v>
      </c>
      <c r="J33" s="83" t="str">
        <f>INDEX(Tbl_MeasureList[[Measure ID]:[Current ER (EE) High Measure Gas Fuel Savings (1,000 cu.ft. gas/year)]],
               MATCH(Tbl_BCROutputs_Gas[[#This Row],[Measure ID]:[Measure ID]],Tbl_MeasureList[[Measure ID]:[Measure ID]],0),
               MATCH(J$31,Tbl_MeasureList[#Headers],0))</f>
        <v>No</v>
      </c>
      <c r="K33" s="630" t="str">
        <f>IF(Tbl_BCROutputs_Gas[[#This Row],[Keep Existing Heating Equipment?]]="Yes","Partial Displacement","Full Replacement")</f>
        <v>Full Replacement</v>
      </c>
      <c r="L33" s="647">
        <f>IF(Tbl_BCROutputs_Gas[[#This Row],[Replacement Type]]="Partial Displacement",
        INDEX(Tbl_EquipmentDefinitions[New Unit Equipment Life (years)],
                       MATCH(INDEX(Tbl_MeasureList[[Measure ID]:[Current ER (EE) High Measure Gas Fuel Savings (1,000 cu.ft. gas/year)]],
                                                      MATCH(Tbl_BCROutputs_Gas[[#This Row],[Measure ID]:[Measure ID]],Tbl_MeasureList[Measure ID],0),
                                                      MATCH(L$45,Tbl_MeasureList[#Headers],0)),
                                        Tbl_EquipmentDefinitions[Equipment ID],
                                        0)),
        IF(Tbl_BCROutputs_Gas[[#This Row],[Savings Stream]]="Retire",
             INDEX(Tbl_MeasureList[],MATCH(Tbl_BCROutputs_Gas[[#This Row],[Measure ID]],Tbl_MeasureList[[Measure ID]:[Measure ID]],0),MATCH($L$47,Tbl_MeasureList[#Headers],0)),
             INDEX(Tbl_MeasureList[],MATCH(Tbl_BCROutputs_Gas[[#This Row],[Measure ID]],Tbl_MeasureList[[Measure ID]:[Measure ID]],0),MATCH($L$46,Tbl_MeasureList[#Headers],0)))
        )</f>
        <v>10</v>
      </c>
      <c r="M33" s="648">
        <f>IF(Tbl_BCROutputs_Gas[[#This Row],[Savings Stream]]="Retire",0,
          INDEX(Tbl_MeasureList[[Measure ID]:[Current ER (EE) High Measure Gas Fuel Savings (1,000 cu.ft. gas/year)]],
                 MATCH(Tbl_BCROutputs_Gas[[#This Row],[Measure ID]:[Measure ID]],Tbl_MeasureList[[Measure ID]:[Measure ID]],0),
                 MATCH(M$45,Tbl_MeasureList[#Headers],0)))</f>
        <v>0</v>
      </c>
      <c r="N33" s="633">
        <f>IF(INPUT_INCLUDEGASLINE="Yes",
        IF(OR(INDEX(Tbl_MeasureList[[Measure ID]:[Current ER (EE) High Measure Gas Fuel Savings (1,000 cu.ft. gas/year)]],
                                   MATCH(Tbl_BCROutputs_Gas[[#This Row],[Measure ID]:[Measure ID]],Tbl_MeasureList[Measure ID],0),
                                   MATCH(N$46,Tbl_MeasureList[#Headers],0))="Natural Gas",
                    INDEX(Tbl_MeasureList[[Measure ID]:[Current ER (EE) High Measure Gas Fuel Savings (1,000 cu.ft. gas/year)]],
                                   MATCH(Tbl_BCROutputs_Gas[[#This Row],[Measure ID]:[Measure ID]],Tbl_MeasureList[Measure ID],0),
                                   MATCH(N$45,Tbl_MeasureList[#Headers],0))="Natural Gas"),
             IF(Tbl_BCROutputs_Gas[[#This Row],[Savings Stream]]="EE",
                   INPUT_GASLINECOST,
                   0),
             "n/a"),
         "Off (see Inputs tab)")</f>
        <v>0</v>
      </c>
      <c r="O33" s="634">
        <f>IF(Tbl_BCROutputs_Gas[[#This Row],[Savings Stream]]="EE",
        IF(_xlfn.XOR(ISNUMBER(SEARCH("Boiler",Tbl_BCROutputs_Gas[[#This Row],[Baseline Name]])),ISNUMBER(SEARCH("Boiler",Tbl_BCROutputs_Gas[[#This Row],[Replacement Name]]))),INPUT_EQUIPMENTDISPOSALCOST,0),
        0)</f>
        <v>0</v>
      </c>
      <c r="P33" s="649">
        <f>IF(OR(Tbl_BCROutputs_Gas[[#This Row],[Replacement Type]]="Partial Displacement",Tbl_BCROutputs_Gas[[#This Row],[Savings Stream]]="EE"),
        INDEX(Tbl_MeasureList[[Measure ID]:[Current ER (EE) High Measure Gas Fuel Savings (1,000 cu.ft. gas/year)]],
                      MATCH(Tbl_BCROutputs_Gas[[#This Row],[Measure ID]],Tbl_MeasureList[[Measure ID]:[Measure ID]],0),
                      MATCH(P$45,Tbl_MeasureList[#Headers],0)),
        IF(Tbl_BCROutputs_Gas[[#This Row],[Savings Stream]]="Retire",
              0,
              0
            )
       )</f>
        <v>0</v>
      </c>
      <c r="Q33" s="650">
        <f>IF(Tbl_BCROutputs_Gas[[#This Row],[Total Cost New Equipment, not including deferred replacement (USD)]]="-","-",Tbl_BCROutputs_Gas[[#This Row],[Total Cost New Equipment, not including deferred replacement (USD)]]-Tbl_BCROutputs_Gas[[#This Row],[Deferred Replacement Credit (USD)]])</f>
        <v>0</v>
      </c>
      <c r="R33" s="651">
        <f>IF(Tbl_BCROutputs_Gas[[#This Row],[Replacement Type]]="Partial Replacement",
        -1*INDEX(Tbl_MeasureList[[Measure ID]:[Current ER (EE) High Measure Gas Fuel Savings (1,000 cu.ft. gas/year)]],
                             MATCH(Tbl_BCROutputs_Gas[[#This Row],[Measure ID]:[Measure ID]],Tbl_MeasureList[[Measure ID]:[Measure ID]],0),
                             MATCH(R$45,Tbl_MeasureList[#Headers],0))/10,
       IF(Tbl_BCROutputs_Gas[[#This Row],[Savings Stream]]="Retire",
                             -1*INDEX(Tbl_MeasureList[],MATCH(Tbl_BCROutputs_Gas[[#This Row],[Measure ID]:[Measure ID]],Tbl_MeasureList[[Measure ID]:[Measure ID]],0),MATCH(R$47,Tbl_MeasureList[#Headers],0))/10,
                             -1*INDEX(Tbl_MeasureList[],MATCH(Tbl_BCROutputs_Gas[[#This Row],[Measure ID]:[Measure ID]],Tbl_MeasureList[[Measure ID]:[Measure ID]],0),MATCH(R$46,Tbl_MeasureList[#Headers],0))/10
            ))</f>
        <v>0</v>
      </c>
      <c r="S33" s="652">
        <f>IF(Tbl_BCROutputs_Gas[[#This Row],[Replacement Type]]="Partial Displacement",
        INDEX(Tbl_MeasureList[[Measure ID]:[Current ER (EE) High Measure Gas Fuel Savings (1,000 cu.ft. gas/year)]],
                      MATCH(Tbl_BCROutputs_Gas[[#This Row],[Measure ID]:[Measure ID]],Tbl_MeasureList[[Measure ID]:[Measure ID]],0),
                      MATCH(S$47,Tbl_MeasureList[#Headers],0)),
       IF(Tbl_BCROutputs_Gas[[#This Row],[Savings Stream]]="Retire",
             INDEX(Tbl_MeasureList[],MATCH(Tbl_BCROutputs_Gas[[#This Row],[Measure ID]:[Measure ID]],Tbl_MeasureList[[Measure ID]:[Measure ID]],0),MATCH(S$46,Tbl_MeasureList[#Headers],0)),
             INDEX(Tbl_MeasureList[],MATCH(Tbl_BCROutputs_Gas[[#This Row],[Measure ID]:[Measure ID]],Tbl_MeasureList[[Measure ID]:[Measure ID]],0),MATCH(S$45,Tbl_MeasureList[#Headers],0))))</f>
        <v>10.957142857142856</v>
      </c>
      <c r="T33" s="517">
        <f>IF(Tbl_BCROutputs_Gas[[#This Row],[Replacement Type]]="Partial Displacement",
        INDEX(Tbl_MeasureList[[Measure ID]:[Current ER (EE) High Measure Gas Fuel Savings (1,000 cu.ft. gas/year)]],
                      MATCH(Tbl_BCROutputs_Gas[[#This Row],[Measure ID]:[Measure ID]],Tbl_MeasureList[[Measure ID]:[Measure ID]],0),
                      MATCH(T$47,Tbl_MeasureList[#Headers],0)),
       IF(Tbl_BCROutputs_Gas[[#This Row],[Savings Stream]]="Retire",
             INDEX(Tbl_MeasureList[],MATCH(Tbl_BCROutputs_Gas[[#This Row],[Measure ID]:[Measure ID]],Tbl_MeasureList[[Measure ID]:[Measure ID]],0),MATCH(T$46,Tbl_MeasureList[#Headers],0)),
             INDEX(Tbl_MeasureList[],MATCH(Tbl_BCROutputs_Gas[[#This Row],[Measure ID]:[Measure ID]],Tbl_MeasureList[[Measure ID]:[Measure ID]],0),MATCH(T$45,Tbl_MeasureList[#Headers],0))))</f>
        <v>0</v>
      </c>
      <c r="U33" s="397">
        <f>IF(Tbl_BCROutputs_Gas[[#This Row],[Replacement Type]]="Partial Displacement",
        INDEX(Tbl_MeasureList[[Measure ID]:[Current ER (EE) High Measure Gas Fuel Savings (1,000 cu.ft. gas/year)]],
                      MATCH(Tbl_BCROutputs_Gas[[#This Row],[Measure ID]:[Measure ID]],Tbl_MeasureList[[Measure ID]:[Measure ID]],0),
                      MATCH(U$47,Tbl_MeasureList[#Headers],0)),
       IF(Tbl_BCROutputs_Gas[[#This Row],[Savings Stream]]="Retire",
             INDEX(Tbl_MeasureList[],MATCH(Tbl_BCROutputs_Gas[[#This Row],[Measure ID]:[Measure ID]],Tbl_MeasureList[[Measure ID]:[Measure ID]],0),MATCH(U$46,Tbl_MeasureList[#Headers],0)),
             INDEX(Tbl_MeasureList[],MATCH(Tbl_BCROutputs_Gas[[#This Row],[Measure ID]:[Measure ID]],Tbl_MeasureList[[Measure ID]:[Measure ID]],0),MATCH(U$45,Tbl_MeasureList[#Headers],0))))</f>
        <v>10.957142857142856</v>
      </c>
      <c r="V33" s="639">
        <f>IF(OR(Tbl_BCROutputs_Gas[[#This Row],[Replacement Type]]="Partial Displacement",Tbl_BCROutputs_Gas[[#This Row],[Savings Stream]]="EE"),
        INDEX(Tbl_MeasureList[[Measure ID]:[Current ER (EE) High Measure Gas Fuel Savings (1,000 cu.ft. gas/year)]],
                      MATCH(Tbl_BCROutputs_Gas[[#This Row],[Measure ID]:[Measure ID]],Tbl_MeasureList[[Measure ID]:[Measure ID]],0),
                      MATCH(Tbl_BCROutputs_Gas[[#Headers],[Fuel Switch Propane Annual Consumption Savings (MMBtu/yr)]],Tbl_MeasureList[#Headers],0)),
      0)</f>
        <v>0</v>
      </c>
      <c r="W33" s="639">
        <f>IF(OR(Tbl_BCROutputs_Gas[[#This Row],[Replacement Type]]="Partial Displacement",Tbl_BCROutputs_Gas[[#This Row],[Savings Stream]]="EE"),
        INDEX(Tbl_MeasureList[[Measure ID]:[Current ER (EE) High Measure Gas Fuel Savings (1,000 cu.ft. gas/year)]],
                      MATCH(Tbl_BCROutputs_Gas[[#This Row],[Measure ID]:[Measure ID]],Tbl_MeasureList[[Measure ID]:[Measure ID]],0),
                      MATCH(Tbl_BCROutputs_Gas[[#Headers],[Fuel Switch Oil Annual Consumption Savings (MMBtu/yr)]],Tbl_MeasureList[#Headers],0)),
       0)</f>
        <v>0</v>
      </c>
      <c r="Y33" s="653"/>
    </row>
    <row r="34" spans="2:25" s="581" customFormat="1" x14ac:dyDescent="0.2">
      <c r="B34" s="582"/>
      <c r="C34" s="583" t="s">
        <v>95</v>
      </c>
      <c r="D34" s="583" t="s">
        <v>1216</v>
      </c>
      <c r="E34" s="83" t="str">
        <f>INDEX(Tbl_MeasureList[],MATCH(Tbl_BCROutputs_Gas[[#This Row],[Measure ID]],Tbl_MeasureList[[Measure ID]:[Measure ID]],0),MATCH(Tbl_BCROutputs_Gas[[#Headers],[Replacement ID]],Tbl_MeasureList[#Headers],0))</f>
        <v>EQUI016</v>
      </c>
      <c r="F34" s="83" t="str">
        <f>INDEX(Tbl_MeasureList[[Measure ID]:[Current ER (EE) High Measure Gas Fuel Savings (1,000 cu.ft. gas/year)]],
               MATCH(Tbl_BCROutputs_Gas[[#This Row],[Measure ID]:[Measure ID]],Tbl_MeasureList[[Measure ID]:[Measure ID]],0),
               MATCH(F$31,Tbl_MeasureList[#Headers],0))</f>
        <v>Propane Boiler</v>
      </c>
      <c r="G34" s="83" t="str">
        <f>INDEX(Tbl_MeasureList[[Measure ID]:[Current ER (EE) High Measure Gas Fuel Savings (1,000 cu.ft. gas/year)]],
               MATCH(Tbl_BCROutputs_Gas[[#This Row],[Measure ID]:[Measure ID]],Tbl_MeasureList[[Measure ID]:[Measure ID]],0),
               MATCH(G$31,Tbl_MeasureList[#Headers],0))</f>
        <v>Gas Boiler</v>
      </c>
      <c r="H34" s="83" t="str">
        <f>INDEX(Tbl_MeasureList[Replacement Fuel 1],MATCH(Tbl_BCROutputs_Gas[[#This Row],[Measure ID]],Tbl_MeasureList[Measure ID],0))&amp;
  IF(INDEX(Tbl_MeasureList[Replacement Fuel 2],MATCH(Tbl_BCROutputs_Gas[[#This Row],[Measure ID]],Tbl_MeasureList[Measure ID],0))&lt;&gt;"-",
       "+"&amp;INDEX(Tbl_MeasureList[Replacement Fuel 2],MATCH(Tbl_BCROutputs_Gas[[#This Row],[Measure ID]],Tbl_MeasureList[Measure ID],0)),"")</f>
        <v>Natural Gas</v>
      </c>
      <c r="I34" s="629" t="str">
        <f>IF(Tbl_BCROutputs_Gas[[#This Row],[Replacement Fuel]]="Natural Gas",INDEX(Tbl_EquipmentDefinitions[Natural Gas High Measure Efficiency],MATCH(Tbl_BCROutputs_Gas[[#This Row],[Replacement ID]],Tbl_EquipmentDefinitions[Equipment ID],0)),
  IF(Tbl_BCROutputs_Gas[[#This Row],[Replacement Fuel]]="Electric",INDEX(Tbl_EquipmentDefinitions[Electricity High Measure Efficiency],MATCH(Tbl_BCROutputs_Gas[[#This Row],[Replacement ID]],Tbl_EquipmentDefinitions[Equipment ID],0)),
  IF(Tbl_BCROutputs_Gas[[#This Row],[Replacement Fuel]]="Electric+Oil",
        INDEX(Tbl_EquipmentDefinitions[Electricity High Measure Efficiency],MATCH(Tbl_BCROutputs_Gas[[#This Row],[Replacement ID]],Tbl_EquipmentDefinitions[Equipment ID],0))&amp;CHAR(10)&amp;
        INDEX(Tbl_EquipmentDefinitions[Oil Baseline Efficiency],MATCH(Tbl_BCROutputs_Gas[[#This Row],[Replacement ID]],Tbl_EquipmentDefinitions[Equipment ID],0)),
  IF(Tbl_BCROutputs_Gas[[#This Row],[Replacement Fuel]]="Electric+Propane",
        INDEX(Tbl_EquipmentDefinitions[Electricity High Measure Efficiency],MATCH(Tbl_BCROutputs_Gas[[#This Row],[Replacement ID]],Tbl_EquipmentDefinitions[Equipment ID],0))&amp;CHAR(10)&amp;
        INDEX(Tbl_EquipmentDefinitions[Propane Baseline Efficiency],MATCH(Tbl_BCROutputs_Gas[[#This Row],[Replacement ID]],Tbl_EquipmentDefinitions[Equipment ID],0)),
  IF(Tbl_BCROutputs_Gas[[#This Row],[Replacement Fuel]]="Electric+Electric",INDEX(Tbl_EquipmentDefinitions[Electricity High Measure Efficiency],MATCH(Tbl_BCROutputs_Gas[[#This Row],[Replacement ID]],Tbl_EquipmentDefinitions[Equipment ID],0)),
)))))</f>
        <v>95% AFUE (89.4% actual)</v>
      </c>
      <c r="J34" s="83" t="str">
        <f>INDEX(Tbl_MeasureList[[Measure ID]:[Current ER (EE) High Measure Gas Fuel Savings (1,000 cu.ft. gas/year)]],
               MATCH(Tbl_BCROutputs_Gas[[#This Row],[Measure ID]:[Measure ID]],Tbl_MeasureList[[Measure ID]:[Measure ID]],0),
               MATCH(J$31,Tbl_MeasureList[#Headers],0))</f>
        <v>No</v>
      </c>
      <c r="K34" s="630" t="str">
        <f>IF(Tbl_BCROutputs_Gas[[#This Row],[Keep Existing Heating Equipment?]]="Yes","Partial Displacement","Full Replacement")</f>
        <v>Full Replacement</v>
      </c>
      <c r="L34" s="647">
        <f>IF(Tbl_BCROutputs_Gas[[#This Row],[Replacement Type]]="Partial Displacement",
        INDEX(Tbl_EquipmentDefinitions[New Unit Equipment Life (years)],
                       MATCH(INDEX(Tbl_MeasureList[[Measure ID]:[Current ER (EE) High Measure Gas Fuel Savings (1,000 cu.ft. gas/year)]],
                                                      MATCH(Tbl_BCROutputs_Gas[[#This Row],[Measure ID]:[Measure ID]],Tbl_MeasureList[Measure ID],0),
                                                      MATCH(L$45,Tbl_MeasureList[#Headers],0)),
                                        Tbl_EquipmentDefinitions[Equipment ID],
                                        0)),
        IF(Tbl_BCROutputs_Gas[[#This Row],[Savings Stream]]="Retire",
             INDEX(Tbl_MeasureList[],MATCH(Tbl_BCROutputs_Gas[[#This Row],[Measure ID]],Tbl_MeasureList[[Measure ID]:[Measure ID]],0),MATCH($L$47,Tbl_MeasureList[#Headers],0)),
             INDEX(Tbl_MeasureList[],MATCH(Tbl_BCROutputs_Gas[[#This Row],[Measure ID]],Tbl_MeasureList[[Measure ID]:[Measure ID]],0),MATCH($L$46,Tbl_MeasureList[#Headers],0)))
        )</f>
        <v>20</v>
      </c>
      <c r="M34" s="648">
        <f>IF(Tbl_BCROutputs_Gas[[#This Row],[Savings Stream]]="Retire",0,
          INDEX(Tbl_MeasureList[[Measure ID]:[Current ER (EE) High Measure Gas Fuel Savings (1,000 cu.ft. gas/year)]],
                 MATCH(Tbl_BCROutputs_Gas[[#This Row],[Measure ID]:[Measure ID]],Tbl_MeasureList[[Measure ID]:[Measure ID]],0),
                 MATCH(M$45,Tbl_MeasureList[#Headers],0)))</f>
        <v>2838.7748035815443</v>
      </c>
      <c r="N34" s="633">
        <f>IF(INPUT_INCLUDEGASLINE="Yes",
        IF(OR(INDEX(Tbl_MeasureList[[Measure ID]:[Current ER (EE) High Measure Gas Fuel Savings (1,000 cu.ft. gas/year)]],
                                   MATCH(Tbl_BCROutputs_Gas[[#This Row],[Measure ID]:[Measure ID]],Tbl_MeasureList[Measure ID],0),
                                   MATCH(N$46,Tbl_MeasureList[#Headers],0))="Natural Gas",
                    INDEX(Tbl_MeasureList[[Measure ID]:[Current ER (EE) High Measure Gas Fuel Savings (1,000 cu.ft. gas/year)]],
                                   MATCH(Tbl_BCROutputs_Gas[[#This Row],[Measure ID]:[Measure ID]],Tbl_MeasureList[Measure ID],0),
                                   MATCH(N$45,Tbl_MeasureList[#Headers],0))="Natural Gas"),
             IF(Tbl_BCROutputs_Gas[[#This Row],[Savings Stream]]="EE",
                   INPUT_GASLINECOST,
                   0),
             "n/a"),
         "Off (see Inputs tab)")</f>
        <v>5600</v>
      </c>
      <c r="O34" s="634">
        <f>IF(Tbl_BCROutputs_Gas[[#This Row],[Savings Stream]]="EE",
        IF(_xlfn.XOR(ISNUMBER(SEARCH("Boiler",Tbl_BCROutputs_Gas[[#This Row],[Baseline Name]])),ISNUMBER(SEARCH("Boiler",Tbl_BCROutputs_Gas[[#This Row],[Replacement Name]]))),INPUT_EQUIPMENTDISPOSALCOST,0),
        0)</f>
        <v>0</v>
      </c>
      <c r="P34" s="649">
        <f ca="1">IF(OR(Tbl_BCROutputs_Gas[[#This Row],[Replacement Type]]="Partial Displacement",Tbl_BCROutputs_Gas[[#This Row],[Savings Stream]]="EE"),
        INDEX(Tbl_MeasureList[[Measure ID]:[Current ER (EE) High Measure Gas Fuel Savings (1,000 cu.ft. gas/year)]],
                      MATCH(Tbl_BCROutputs_Gas[[#This Row],[Measure ID]],Tbl_MeasureList[[Measure ID]:[Measure ID]],0),
                      MATCH(P$45,Tbl_MeasureList[#Headers],0)),
        IF(Tbl_BCROutputs_Gas[[#This Row],[Savings Stream]]="Retire",
              0,
              0
            )
       )</f>
        <v>15071</v>
      </c>
      <c r="Q34" s="650">
        <f ca="1">IF(Tbl_BCROutputs_Gas[[#This Row],[Total Cost New Equipment, not including deferred replacement (USD)]]="-","-",Tbl_BCROutputs_Gas[[#This Row],[Total Cost New Equipment, not including deferred replacement (USD)]]-Tbl_BCROutputs_Gas[[#This Row],[Deferred Replacement Credit (USD)]])</f>
        <v>12232.225196418456</v>
      </c>
      <c r="R34" s="651">
        <f ca="1">IF(Tbl_BCROutputs_Gas[[#This Row],[Replacement Type]]="Partial Replacement",
        -1*INDEX(Tbl_MeasureList[[Measure ID]:[Current ER (EE) High Measure Gas Fuel Savings (1,000 cu.ft. gas/year)]],
                             MATCH(Tbl_BCROutputs_Gas[[#This Row],[Measure ID]:[Measure ID]],Tbl_MeasureList[[Measure ID]:[Measure ID]],0),
                             MATCH(R$45,Tbl_MeasureList[#Headers],0))/10,
       IF(Tbl_BCROutputs_Gas[[#This Row],[Savings Stream]]="Retire",
                             -1*INDEX(Tbl_MeasureList[],MATCH(Tbl_BCROutputs_Gas[[#This Row],[Measure ID]:[Measure ID]],Tbl_MeasureList[[Measure ID]:[Measure ID]],0),MATCH(R$47,Tbl_MeasureList[#Headers],0))/10,
                             -1*INDEX(Tbl_MeasureList[],MATCH(Tbl_BCROutputs_Gas[[#This Row],[Measure ID]:[Measure ID]],Tbl_MeasureList[[Measure ID]:[Measure ID]],0),MATCH(R$46,Tbl_MeasureList[#Headers],0))/10
            ))</f>
        <v>85.794183445190157</v>
      </c>
      <c r="S34" s="652">
        <f ca="1">IF(Tbl_BCROutputs_Gas[[#This Row],[Replacement Type]]="Partial Displacement",
        INDEX(Tbl_MeasureList[[Measure ID]:[Current ER (EE) High Measure Gas Fuel Savings (1,000 cu.ft. gas/year)]],
                      MATCH(Tbl_BCROutputs_Gas[[#This Row],[Measure ID]:[Measure ID]],Tbl_MeasureList[[Measure ID]:[Measure ID]],0),
                      MATCH(S$47,Tbl_MeasureList[#Headers],0)),
       IF(Tbl_BCROutputs_Gas[[#This Row],[Savings Stream]]="Retire",
             INDEX(Tbl_MeasureList[],MATCH(Tbl_BCROutputs_Gas[[#This Row],[Measure ID]:[Measure ID]],Tbl_MeasureList[[Measure ID]:[Measure ID]],0),MATCH(S$46,Tbl_MeasureList[#Headers],0)),
             INDEX(Tbl_MeasureList[],MATCH(Tbl_BCROutputs_Gas[[#This Row],[Measure ID]:[Measure ID]],Tbl_MeasureList[[Measure ID]:[Measure ID]],0),MATCH(S$45,Tbl_MeasureList[#Headers],0))))</f>
        <v>10.534748030219674</v>
      </c>
      <c r="T34" s="517">
        <f ca="1">IF(Tbl_BCROutputs_Gas[[#This Row],[Replacement Type]]="Partial Displacement",
        INDEX(Tbl_MeasureList[[Measure ID]:[Current ER (EE) High Measure Gas Fuel Savings (1,000 cu.ft. gas/year)]],
                      MATCH(Tbl_BCROutputs_Gas[[#This Row],[Measure ID]:[Measure ID]],Tbl_MeasureList[[Measure ID]:[Measure ID]],0),
                      MATCH(T$47,Tbl_MeasureList[#Headers],0)),
       IF(Tbl_BCROutputs_Gas[[#This Row],[Savings Stream]]="Retire",
             INDEX(Tbl_MeasureList[],MATCH(Tbl_BCROutputs_Gas[[#This Row],[Measure ID]:[Measure ID]],Tbl_MeasureList[[Measure ID]:[Measure ID]],0),MATCH(T$46,Tbl_MeasureList[#Headers],0)),
             INDEX(Tbl_MeasureList[],MATCH(Tbl_BCROutputs_Gas[[#This Row],[Measure ID]:[Measure ID]],Tbl_MeasureList[[Measure ID]:[Measure ID]],0),MATCH(T$45,Tbl_MeasureList[#Headers],0))))</f>
        <v>96.721311475409834</v>
      </c>
      <c r="U34" s="397">
        <f ca="1">IF(Tbl_BCROutputs_Gas[[#This Row],[Replacement Type]]="Partial Displacement",
        INDEX(Tbl_MeasureList[[Measure ID]:[Current ER (EE) High Measure Gas Fuel Savings (1,000 cu.ft. gas/year)]],
                      MATCH(Tbl_BCROutputs_Gas[[#This Row],[Measure ID]:[Measure ID]],Tbl_MeasureList[[Measure ID]:[Measure ID]],0),
                      MATCH(U$47,Tbl_MeasureList[#Headers],0)),
       IF(Tbl_BCROutputs_Gas[[#This Row],[Savings Stream]]="Retire",
             INDEX(Tbl_MeasureList[],MATCH(Tbl_BCROutputs_Gas[[#This Row],[Measure ID]:[Measure ID]],Tbl_MeasureList[[Measure ID]:[Measure ID]],0),MATCH(U$46,Tbl_MeasureList[#Headers],0)),
             INDEX(Tbl_MeasureList[],MATCH(Tbl_BCROutputs_Gas[[#This Row],[Measure ID]:[Measure ID]],Tbl_MeasureList[[Measure ID]:[Measure ID]],0),MATCH(U$45,Tbl_MeasureList[#Headers],0))))</f>
        <v>0</v>
      </c>
      <c r="V34" s="639">
        <f ca="1">IF(OR(Tbl_BCROutputs_Gas[[#This Row],[Replacement Type]]="Partial Displacement",Tbl_BCROutputs_Gas[[#This Row],[Savings Stream]]="EE"),
        INDEX(Tbl_MeasureList[[Measure ID]:[Current ER (EE) High Measure Gas Fuel Savings (1,000 cu.ft. gas/year)]],
                      MATCH(Tbl_BCROutputs_Gas[[#This Row],[Measure ID]:[Measure ID]],Tbl_MeasureList[[Measure ID]:[Measure ID]],0),
                      MATCH(Tbl_BCROutputs_Gas[[#Headers],[Fuel Switch Propane Annual Consumption Savings (MMBtu/yr)]],Tbl_MeasureList[#Headers],0)),
      0)</f>
        <v>96.721311475409834</v>
      </c>
      <c r="W34" s="639">
        <f ca="1">IF(OR(Tbl_BCROutputs_Gas[[#This Row],[Replacement Type]]="Partial Displacement",Tbl_BCROutputs_Gas[[#This Row],[Savings Stream]]="EE"),
        INDEX(Tbl_MeasureList[[Measure ID]:[Current ER (EE) High Measure Gas Fuel Savings (1,000 cu.ft. gas/year)]],
                      MATCH(Tbl_BCROutputs_Gas[[#This Row],[Measure ID]:[Measure ID]],Tbl_MeasureList[[Measure ID]:[Measure ID]],0),
                      MATCH(Tbl_BCROutputs_Gas[[#Headers],[Fuel Switch Oil Annual Consumption Savings (MMBtu/yr)]],Tbl_MeasureList[#Headers],0)),
       0)</f>
        <v>0</v>
      </c>
      <c r="Y34" s="653"/>
    </row>
    <row r="35" spans="2:25" s="581" customFormat="1" x14ac:dyDescent="0.2">
      <c r="B35" s="582"/>
      <c r="C35" s="583" t="s">
        <v>95</v>
      </c>
      <c r="D35" s="583" t="s">
        <v>1218</v>
      </c>
      <c r="E35" s="83" t="str">
        <f>INDEX(Tbl_MeasureList[],MATCH(Tbl_BCROutputs_Gas[[#This Row],[Measure ID]],Tbl_MeasureList[[Measure ID]:[Measure ID]],0),MATCH(Tbl_BCROutputs_Gas[[#Headers],[Replacement ID]],Tbl_MeasureList[#Headers],0))</f>
        <v>EQUI016</v>
      </c>
      <c r="F35" s="83" t="str">
        <f>INDEX(Tbl_MeasureList[[Measure ID]:[Current ER (EE) High Measure Gas Fuel Savings (1,000 cu.ft. gas/year)]],
               MATCH(Tbl_BCROutputs_Gas[[#This Row],[Measure ID]:[Measure ID]],Tbl_MeasureList[[Measure ID]:[Measure ID]],0),
               MATCH(F$31,Tbl_MeasureList[#Headers],0))</f>
        <v>Propane Boiler</v>
      </c>
      <c r="G35" s="83" t="str">
        <f>INDEX(Tbl_MeasureList[[Measure ID]:[Current ER (EE) High Measure Gas Fuel Savings (1,000 cu.ft. gas/year)]],
               MATCH(Tbl_BCROutputs_Gas[[#This Row],[Measure ID]:[Measure ID]],Tbl_MeasureList[[Measure ID]:[Measure ID]],0),
               MATCH(G$31,Tbl_MeasureList[#Headers],0))</f>
        <v>Gas Boiler</v>
      </c>
      <c r="H35" s="83" t="str">
        <f>INDEX(Tbl_MeasureList[Replacement Fuel 1],MATCH(Tbl_BCROutputs_Gas[[#This Row],[Measure ID]],Tbl_MeasureList[Measure ID],0))&amp;
  IF(INDEX(Tbl_MeasureList[Replacement Fuel 2],MATCH(Tbl_BCROutputs_Gas[[#This Row],[Measure ID]],Tbl_MeasureList[Measure ID],0))&lt;&gt;"-",
       "+"&amp;INDEX(Tbl_MeasureList[Replacement Fuel 2],MATCH(Tbl_BCROutputs_Gas[[#This Row],[Measure ID]],Tbl_MeasureList[Measure ID],0)),"")</f>
        <v>Natural Gas</v>
      </c>
      <c r="I35" s="629" t="str">
        <f>IF(Tbl_BCROutputs_Gas[[#This Row],[Replacement Fuel]]="Natural Gas",INDEX(Tbl_EquipmentDefinitions[Natural Gas High Measure Efficiency],MATCH(Tbl_BCROutputs_Gas[[#This Row],[Replacement ID]],Tbl_EquipmentDefinitions[Equipment ID],0)),
  IF(Tbl_BCROutputs_Gas[[#This Row],[Replacement Fuel]]="Electric",INDEX(Tbl_EquipmentDefinitions[Electricity High Measure Efficiency],MATCH(Tbl_BCROutputs_Gas[[#This Row],[Replacement ID]],Tbl_EquipmentDefinitions[Equipment ID],0)),
  IF(Tbl_BCROutputs_Gas[[#This Row],[Replacement Fuel]]="Electric+Oil",
        INDEX(Tbl_EquipmentDefinitions[Electricity High Measure Efficiency],MATCH(Tbl_BCROutputs_Gas[[#This Row],[Replacement ID]],Tbl_EquipmentDefinitions[Equipment ID],0))&amp;CHAR(10)&amp;
        INDEX(Tbl_EquipmentDefinitions[Oil Baseline Efficiency],MATCH(Tbl_BCROutputs_Gas[[#This Row],[Replacement ID]],Tbl_EquipmentDefinitions[Equipment ID],0)),
  IF(Tbl_BCROutputs_Gas[[#This Row],[Replacement Fuel]]="Electric+Propane",
        INDEX(Tbl_EquipmentDefinitions[Electricity High Measure Efficiency],MATCH(Tbl_BCROutputs_Gas[[#This Row],[Replacement ID]],Tbl_EquipmentDefinitions[Equipment ID],0))&amp;CHAR(10)&amp;
        INDEX(Tbl_EquipmentDefinitions[Propane Baseline Efficiency],MATCH(Tbl_BCROutputs_Gas[[#This Row],[Replacement ID]],Tbl_EquipmentDefinitions[Equipment ID],0)),
  IF(Tbl_BCROutputs_Gas[[#This Row],[Replacement Fuel]]="Electric+Electric",INDEX(Tbl_EquipmentDefinitions[Electricity High Measure Efficiency],MATCH(Tbl_BCROutputs_Gas[[#This Row],[Replacement ID]],Tbl_EquipmentDefinitions[Equipment ID],0)),
)))))</f>
        <v>95% AFUE (89.4% actual)</v>
      </c>
      <c r="J35" s="83" t="str">
        <f>INDEX(Tbl_MeasureList[[Measure ID]:[Current ER (EE) High Measure Gas Fuel Savings (1,000 cu.ft. gas/year)]],
               MATCH(Tbl_BCROutputs_Gas[[#This Row],[Measure ID]:[Measure ID]],Tbl_MeasureList[[Measure ID]:[Measure ID]],0),
               MATCH(J$31,Tbl_MeasureList[#Headers],0))</f>
        <v>No</v>
      </c>
      <c r="K35" s="630" t="str">
        <f>IF(Tbl_BCROutputs_Gas[[#This Row],[Keep Existing Heating Equipment?]]="Yes","Partial Displacement","Full Replacement")</f>
        <v>Full Replacement</v>
      </c>
      <c r="L35" s="647">
        <f>IF(Tbl_BCROutputs_Gas[[#This Row],[Replacement Type]]="Partial Displacement",
        INDEX(Tbl_EquipmentDefinitions[New Unit Equipment Life (years)],
                       MATCH(INDEX(Tbl_MeasureList[[Measure ID]:[Current ER (EE) High Measure Gas Fuel Savings (1,000 cu.ft. gas/year)]],
                                                      MATCH(Tbl_BCROutputs_Gas[[#This Row],[Measure ID]:[Measure ID]],Tbl_MeasureList[Measure ID],0),
                                                      MATCH(L$45,Tbl_MeasureList[#Headers],0)),
                                        Tbl_EquipmentDefinitions[Equipment ID],
                                        0)),
        IF(Tbl_BCROutputs_Gas[[#This Row],[Savings Stream]]="Retire",
             INDEX(Tbl_MeasureList[],MATCH(Tbl_BCROutputs_Gas[[#This Row],[Measure ID]],Tbl_MeasureList[[Measure ID]:[Measure ID]],0),MATCH($L$47,Tbl_MeasureList[#Headers],0)),
             INDEX(Tbl_MeasureList[],MATCH(Tbl_BCROutputs_Gas[[#This Row],[Measure ID]],Tbl_MeasureList[[Measure ID]:[Measure ID]],0),MATCH($L$46,Tbl_MeasureList[#Headers],0)))
        )</f>
        <v>10</v>
      </c>
      <c r="M35" s="648">
        <f>IF(Tbl_BCROutputs_Gas[[#This Row],[Savings Stream]]="Retire",0,
          INDEX(Tbl_MeasureList[[Measure ID]:[Current ER (EE) High Measure Gas Fuel Savings (1,000 cu.ft. gas/year)]],
                 MATCH(Tbl_BCROutputs_Gas[[#This Row],[Measure ID]:[Measure ID]],Tbl_MeasureList[[Measure ID]:[Measure ID]],0),
                 MATCH(M$45,Tbl_MeasureList[#Headers],0)))</f>
        <v>0</v>
      </c>
      <c r="N35" s="633">
        <f>IF(INPUT_INCLUDEGASLINE="Yes",
        IF(OR(INDEX(Tbl_MeasureList[[Measure ID]:[Current ER (EE) High Measure Gas Fuel Savings (1,000 cu.ft. gas/year)]],
                                   MATCH(Tbl_BCROutputs_Gas[[#This Row],[Measure ID]:[Measure ID]],Tbl_MeasureList[Measure ID],0),
                                   MATCH(N$46,Tbl_MeasureList[#Headers],0))="Natural Gas",
                    INDEX(Tbl_MeasureList[[Measure ID]:[Current ER (EE) High Measure Gas Fuel Savings (1,000 cu.ft. gas/year)]],
                                   MATCH(Tbl_BCROutputs_Gas[[#This Row],[Measure ID]:[Measure ID]],Tbl_MeasureList[Measure ID],0),
                                   MATCH(N$45,Tbl_MeasureList[#Headers],0))="Natural Gas"),
             IF(Tbl_BCROutputs_Gas[[#This Row],[Savings Stream]]="EE",
                   INPUT_GASLINECOST,
                   0),
             "n/a"),
         "Off (see Inputs tab)")</f>
        <v>0</v>
      </c>
      <c r="O35" s="634">
        <f>IF(Tbl_BCROutputs_Gas[[#This Row],[Savings Stream]]="EE",
        IF(_xlfn.XOR(ISNUMBER(SEARCH("Boiler",Tbl_BCROutputs_Gas[[#This Row],[Baseline Name]])),ISNUMBER(SEARCH("Boiler",Tbl_BCROutputs_Gas[[#This Row],[Replacement Name]]))),INPUT_EQUIPMENTDISPOSALCOST,0),
        0)</f>
        <v>0</v>
      </c>
      <c r="P35" s="649">
        <f>IF(OR(Tbl_BCROutputs_Gas[[#This Row],[Replacement Type]]="Partial Displacement",Tbl_BCROutputs_Gas[[#This Row],[Savings Stream]]="EE"),
        INDEX(Tbl_MeasureList[[Measure ID]:[Current ER (EE) High Measure Gas Fuel Savings (1,000 cu.ft. gas/year)]],
                      MATCH(Tbl_BCROutputs_Gas[[#This Row],[Measure ID]],Tbl_MeasureList[[Measure ID]:[Measure ID]],0),
                      MATCH(P$45,Tbl_MeasureList[#Headers],0)),
        IF(Tbl_BCROutputs_Gas[[#This Row],[Savings Stream]]="Retire",
              0,
              0
            )
       )</f>
        <v>0</v>
      </c>
      <c r="Q35" s="650">
        <f>IF(Tbl_BCROutputs_Gas[[#This Row],[Total Cost New Equipment, not including deferred replacement (USD)]]="-","-",Tbl_BCROutputs_Gas[[#This Row],[Total Cost New Equipment, not including deferred replacement (USD)]]-Tbl_BCROutputs_Gas[[#This Row],[Deferred Replacement Credit (USD)]])</f>
        <v>0</v>
      </c>
      <c r="R35" s="651">
        <f>IF(Tbl_BCROutputs_Gas[[#This Row],[Replacement Type]]="Partial Replacement",
        -1*INDEX(Tbl_MeasureList[[Measure ID]:[Current ER (EE) High Measure Gas Fuel Savings (1,000 cu.ft. gas/year)]],
                             MATCH(Tbl_BCROutputs_Gas[[#This Row],[Measure ID]:[Measure ID]],Tbl_MeasureList[[Measure ID]:[Measure ID]],0),
                             MATCH(R$45,Tbl_MeasureList[#Headers],0))/10,
       IF(Tbl_BCROutputs_Gas[[#This Row],[Savings Stream]]="Retire",
                             -1*INDEX(Tbl_MeasureList[],MATCH(Tbl_BCROutputs_Gas[[#This Row],[Measure ID]:[Measure ID]],Tbl_MeasureList[[Measure ID]:[Measure ID]],0),MATCH(R$47,Tbl_MeasureList[#Headers],0))/10,
                             -1*INDEX(Tbl_MeasureList[],MATCH(Tbl_BCROutputs_Gas[[#This Row],[Measure ID]:[Measure ID]],Tbl_MeasureList[[Measure ID]:[Measure ID]],0),MATCH(R$46,Tbl_MeasureList[#Headers],0))/10
            ))</f>
        <v>0</v>
      </c>
      <c r="S35" s="652">
        <f>IF(Tbl_BCROutputs_Gas[[#This Row],[Replacement Type]]="Partial Displacement",
        INDEX(Tbl_MeasureList[[Measure ID]:[Current ER (EE) High Measure Gas Fuel Savings (1,000 cu.ft. gas/year)]],
                      MATCH(Tbl_BCROutputs_Gas[[#This Row],[Measure ID]:[Measure ID]],Tbl_MeasureList[[Measure ID]:[Measure ID]],0),
                      MATCH(S$47,Tbl_MeasureList[#Headers],0)),
       IF(Tbl_BCROutputs_Gas[[#This Row],[Savings Stream]]="Retire",
             INDEX(Tbl_MeasureList[],MATCH(Tbl_BCROutputs_Gas[[#This Row],[Measure ID]:[Measure ID]],Tbl_MeasureList[[Measure ID]:[Measure ID]],0),MATCH(S$46,Tbl_MeasureList[#Headers],0)),
             INDEX(Tbl_MeasureList[],MATCH(Tbl_BCROutputs_Gas[[#This Row],[Measure ID]:[Measure ID]],Tbl_MeasureList[[Measure ID]:[Measure ID]],0),MATCH(S$45,Tbl_MeasureList[#Headers],0))))</f>
        <v>5.5453551912568315</v>
      </c>
      <c r="T35" s="517">
        <f>IF(Tbl_BCROutputs_Gas[[#This Row],[Replacement Type]]="Partial Displacement",
        INDEX(Tbl_MeasureList[[Measure ID]:[Current ER (EE) High Measure Gas Fuel Savings (1,000 cu.ft. gas/year)]],
                      MATCH(Tbl_BCROutputs_Gas[[#This Row],[Measure ID]:[Measure ID]],Tbl_MeasureList[[Measure ID]:[Measure ID]],0),
                      MATCH(T$47,Tbl_MeasureList[#Headers],0)),
       IF(Tbl_BCROutputs_Gas[[#This Row],[Savings Stream]]="Retire",
             INDEX(Tbl_MeasureList[],MATCH(Tbl_BCROutputs_Gas[[#This Row],[Measure ID]:[Measure ID]],Tbl_MeasureList[[Measure ID]:[Measure ID]],0),MATCH(T$46,Tbl_MeasureList[#Headers],0)),
             INDEX(Tbl_MeasureList[],MATCH(Tbl_BCROutputs_Gas[[#This Row],[Measure ID]:[Measure ID]],Tbl_MeasureList[[Measure ID]:[Measure ID]],0),MATCH(T$45,Tbl_MeasureList[#Headers],0))))</f>
        <v>5.5453551912568315</v>
      </c>
      <c r="U35" s="397">
        <f>IF(Tbl_BCROutputs_Gas[[#This Row],[Replacement Type]]="Partial Displacement",
        INDEX(Tbl_MeasureList[[Measure ID]:[Current ER (EE) High Measure Gas Fuel Savings (1,000 cu.ft. gas/year)]],
                      MATCH(Tbl_BCROutputs_Gas[[#This Row],[Measure ID]:[Measure ID]],Tbl_MeasureList[[Measure ID]:[Measure ID]],0),
                      MATCH(U$47,Tbl_MeasureList[#Headers],0)),
       IF(Tbl_BCROutputs_Gas[[#This Row],[Savings Stream]]="Retire",
             INDEX(Tbl_MeasureList[],MATCH(Tbl_BCROutputs_Gas[[#This Row],[Measure ID]:[Measure ID]],Tbl_MeasureList[[Measure ID]:[Measure ID]],0),MATCH(U$46,Tbl_MeasureList[#Headers],0)),
             INDEX(Tbl_MeasureList[],MATCH(Tbl_BCROutputs_Gas[[#This Row],[Measure ID]:[Measure ID]],Tbl_MeasureList[[Measure ID]:[Measure ID]],0),MATCH(U$45,Tbl_MeasureList[#Headers],0))))</f>
        <v>0</v>
      </c>
      <c r="V35" s="639">
        <f>IF(OR(Tbl_BCROutputs_Gas[[#This Row],[Replacement Type]]="Partial Displacement",Tbl_BCROutputs_Gas[[#This Row],[Savings Stream]]="EE"),
        INDEX(Tbl_MeasureList[[Measure ID]:[Current ER (EE) High Measure Gas Fuel Savings (1,000 cu.ft. gas/year)]],
                      MATCH(Tbl_BCROutputs_Gas[[#This Row],[Measure ID]:[Measure ID]],Tbl_MeasureList[[Measure ID]:[Measure ID]],0),
                      MATCH(Tbl_BCROutputs_Gas[[#Headers],[Fuel Switch Propane Annual Consumption Savings (MMBtu/yr)]],Tbl_MeasureList[#Headers],0)),
      0)</f>
        <v>0</v>
      </c>
      <c r="W35" s="639">
        <f>IF(OR(Tbl_BCROutputs_Gas[[#This Row],[Replacement Type]]="Partial Displacement",Tbl_BCROutputs_Gas[[#This Row],[Savings Stream]]="EE"),
        INDEX(Tbl_MeasureList[[Measure ID]:[Current ER (EE) High Measure Gas Fuel Savings (1,000 cu.ft. gas/year)]],
                      MATCH(Tbl_BCROutputs_Gas[[#This Row],[Measure ID]:[Measure ID]],Tbl_MeasureList[[Measure ID]:[Measure ID]],0),
                      MATCH(Tbl_BCROutputs_Gas[[#Headers],[Fuel Switch Oil Annual Consumption Savings (MMBtu/yr)]],Tbl_MeasureList[#Headers],0)),
       0)</f>
        <v>0</v>
      </c>
      <c r="Y35" s="653"/>
    </row>
    <row r="36" spans="2:25" s="581" customFormat="1" ht="22.5" x14ac:dyDescent="0.2">
      <c r="B36" s="582"/>
      <c r="C36" s="583" t="s">
        <v>98</v>
      </c>
      <c r="D36" s="583" t="s">
        <v>1216</v>
      </c>
      <c r="E36" s="83" t="str">
        <f>INDEX(Tbl_MeasureList[],MATCH(Tbl_BCROutputs_Gas[[#This Row],[Measure ID]],Tbl_MeasureList[[Measure ID]:[Measure ID]],0),MATCH(Tbl_BCROutputs_Gas[[#Headers],[Replacement ID]],Tbl_MeasureList[#Headers],0))</f>
        <v>EQUI020</v>
      </c>
      <c r="F36" s="83" t="str">
        <f>INDEX(Tbl_MeasureList[[Measure ID]:[Current ER (EE) High Measure Gas Fuel Savings (1,000 cu.ft. gas/year)]],
               MATCH(Tbl_BCROutputs_Gas[[#This Row],[Measure ID]:[Measure ID]],Tbl_MeasureList[[Measure ID]:[Measure ID]],0),
               MATCH(F$31,Tbl_MeasureList[#Headers],0))</f>
        <v>Oil Furnace</v>
      </c>
      <c r="G36" s="83" t="str">
        <f>INDEX(Tbl_MeasureList[[Measure ID]:[Current ER (EE) High Measure Gas Fuel Savings (1,000 cu.ft. gas/year)]],
               MATCH(Tbl_BCROutputs_Gas[[#This Row],[Measure ID]:[Measure ID]],Tbl_MeasureList[[Measure ID]:[Measure ID]],0),
               MATCH(G$31,Tbl_MeasureList[#Headers],0))</f>
        <v>Gas Furnace</v>
      </c>
      <c r="H36" s="83" t="str">
        <f>INDEX(Tbl_MeasureList[Replacement Fuel 1],MATCH(Tbl_BCROutputs_Gas[[#This Row],[Measure ID]],Tbl_MeasureList[Measure ID],0))&amp;
  IF(INDEX(Tbl_MeasureList[Replacement Fuel 2],MATCH(Tbl_BCROutputs_Gas[[#This Row],[Measure ID]],Tbl_MeasureList[Measure ID],0))&lt;&gt;"-",
       "+"&amp;INDEX(Tbl_MeasureList[Replacement Fuel 2],MATCH(Tbl_BCROutputs_Gas[[#This Row],[Measure ID]],Tbl_MeasureList[Measure ID],0)),"")</f>
        <v>Natural Gas</v>
      </c>
      <c r="I36" s="629" t="str">
        <f>IF(Tbl_BCROutputs_Gas[[#This Row],[Replacement Fuel]]="Natural Gas",INDEX(Tbl_EquipmentDefinitions[Natural Gas High Measure Efficiency],MATCH(Tbl_BCROutputs_Gas[[#This Row],[Replacement ID]],Tbl_EquipmentDefinitions[Equipment ID],0)),
  IF(Tbl_BCROutputs_Gas[[#This Row],[Replacement Fuel]]="Electric",INDEX(Tbl_EquipmentDefinitions[Electricity High Measure Efficiency],MATCH(Tbl_BCROutputs_Gas[[#This Row],[Replacement ID]],Tbl_EquipmentDefinitions[Equipment ID],0)),
  IF(Tbl_BCROutputs_Gas[[#This Row],[Replacement Fuel]]="Electric+Oil",
        INDEX(Tbl_EquipmentDefinitions[Electricity High Measure Efficiency],MATCH(Tbl_BCROutputs_Gas[[#This Row],[Replacement ID]],Tbl_EquipmentDefinitions[Equipment ID],0))&amp;CHAR(10)&amp;
        INDEX(Tbl_EquipmentDefinitions[Oil Baseline Efficiency],MATCH(Tbl_BCROutputs_Gas[[#This Row],[Replacement ID]],Tbl_EquipmentDefinitions[Equipment ID],0)),
  IF(Tbl_BCROutputs_Gas[[#This Row],[Replacement Fuel]]="Electric+Propane",
        INDEX(Tbl_EquipmentDefinitions[Electricity High Measure Efficiency],MATCH(Tbl_BCROutputs_Gas[[#This Row],[Replacement ID]],Tbl_EquipmentDefinitions[Equipment ID],0))&amp;CHAR(10)&amp;
        INDEX(Tbl_EquipmentDefinitions[Propane Baseline Efficiency],MATCH(Tbl_BCROutputs_Gas[[#This Row],[Replacement ID]],Tbl_EquipmentDefinitions[Equipment ID],0)),
  IF(Tbl_BCROutputs_Gas[[#This Row],[Replacement Fuel]]="Electric+Electric",INDEX(Tbl_EquipmentDefinitions[Electricity High Measure Efficiency],MATCH(Tbl_BCROutputs_Gas[[#This Row],[Replacement ID]],Tbl_EquipmentDefinitions[Equipment ID],0)),
)))))</f>
        <v>97% AFUE (97.2% actual) w/ ECM fan motor</v>
      </c>
      <c r="J36" s="83" t="str">
        <f>INDEX(Tbl_MeasureList[[Measure ID]:[Current ER (EE) High Measure Gas Fuel Savings (1,000 cu.ft. gas/year)]],
               MATCH(Tbl_BCROutputs_Gas[[#This Row],[Measure ID]:[Measure ID]],Tbl_MeasureList[[Measure ID]:[Measure ID]],0),
               MATCH(J$31,Tbl_MeasureList[#Headers],0))</f>
        <v>No</v>
      </c>
      <c r="K36" s="630" t="str">
        <f>IF(Tbl_BCROutputs_Gas[[#This Row],[Keep Existing Heating Equipment?]]="Yes","Partial Displacement","Full Replacement")</f>
        <v>Full Replacement</v>
      </c>
      <c r="L36" s="647">
        <f>IF(Tbl_BCROutputs_Gas[[#This Row],[Replacement Type]]="Partial Displacement",
        INDEX(Tbl_EquipmentDefinitions[New Unit Equipment Life (years)],
                       MATCH(INDEX(Tbl_MeasureList[[Measure ID]:[Current ER (EE) High Measure Gas Fuel Savings (1,000 cu.ft. gas/year)]],
                                                      MATCH(Tbl_BCROutputs_Gas[[#This Row],[Measure ID]:[Measure ID]],Tbl_MeasureList[Measure ID],0),
                                                      MATCH(L$45,Tbl_MeasureList[#Headers],0)),
                                        Tbl_EquipmentDefinitions[Equipment ID],
                                        0)),
        IF(Tbl_BCROutputs_Gas[[#This Row],[Savings Stream]]="Retire",
             INDEX(Tbl_MeasureList[],MATCH(Tbl_BCROutputs_Gas[[#This Row],[Measure ID]],Tbl_MeasureList[[Measure ID]:[Measure ID]],0),MATCH($L$47,Tbl_MeasureList[#Headers],0)),
             INDEX(Tbl_MeasureList[],MATCH(Tbl_BCROutputs_Gas[[#This Row],[Measure ID]],Tbl_MeasureList[[Measure ID]:[Measure ID]],0),MATCH($L$46,Tbl_MeasureList[#Headers],0)))
        )</f>
        <v>17</v>
      </c>
      <c r="M36" s="648">
        <f>IF(Tbl_BCROutputs_Gas[[#This Row],[Savings Stream]]="Retire",0,
          INDEX(Tbl_MeasureList[[Measure ID]:[Current ER (EE) High Measure Gas Fuel Savings (1,000 cu.ft. gas/year)]],
                 MATCH(Tbl_BCROutputs_Gas[[#This Row],[Measure ID]:[Measure ID]],Tbl_MeasureList[[Measure ID]:[Measure ID]],0),
                 MATCH(M$45,Tbl_MeasureList[#Headers],0)))</f>
        <v>3107.1406232179743</v>
      </c>
      <c r="N36" s="633">
        <f>IF(INPUT_INCLUDEGASLINE="Yes",
        IF(OR(INDEX(Tbl_MeasureList[[Measure ID]:[Current ER (EE) High Measure Gas Fuel Savings (1,000 cu.ft. gas/year)]],
                                   MATCH(Tbl_BCROutputs_Gas[[#This Row],[Measure ID]:[Measure ID]],Tbl_MeasureList[Measure ID],0),
                                   MATCH(N$46,Tbl_MeasureList[#Headers],0))="Natural Gas",
                    INDEX(Tbl_MeasureList[[Measure ID]:[Current ER (EE) High Measure Gas Fuel Savings (1,000 cu.ft. gas/year)]],
                                   MATCH(Tbl_BCROutputs_Gas[[#This Row],[Measure ID]:[Measure ID]],Tbl_MeasureList[Measure ID],0),
                                   MATCH(N$45,Tbl_MeasureList[#Headers],0))="Natural Gas"),
             IF(Tbl_BCROutputs_Gas[[#This Row],[Savings Stream]]="EE",
                   INPUT_GASLINECOST,
                   0),
             "n/a"),
         "Off (see Inputs tab)")</f>
        <v>5600</v>
      </c>
      <c r="O36" s="634">
        <f>IF(Tbl_BCROutputs_Gas[[#This Row],[Savings Stream]]="EE",
        IF(_xlfn.XOR(ISNUMBER(SEARCH("Boiler",Tbl_BCROutputs_Gas[[#This Row],[Baseline Name]])),ISNUMBER(SEARCH("Boiler",Tbl_BCROutputs_Gas[[#This Row],[Replacement Name]]))),INPUT_EQUIPMENTDISPOSALCOST,0),
        0)</f>
        <v>0</v>
      </c>
      <c r="P36" s="649">
        <f ca="1">IF(OR(Tbl_BCROutputs_Gas[[#This Row],[Replacement Type]]="Partial Displacement",Tbl_BCROutputs_Gas[[#This Row],[Savings Stream]]="EE"),
        INDEX(Tbl_MeasureList[[Measure ID]:[Current ER (EE) High Measure Gas Fuel Savings (1,000 cu.ft. gas/year)]],
                      MATCH(Tbl_BCROutputs_Gas[[#This Row],[Measure ID]],Tbl_MeasureList[[Measure ID]:[Measure ID]],0),
                      MATCH(P$45,Tbl_MeasureList[#Headers],0)),
        IF(Tbl_BCROutputs_Gas[[#This Row],[Savings Stream]]="Retire",
              0,
              0
            )
       )</f>
        <v>11970</v>
      </c>
      <c r="Q36" s="650">
        <f ca="1">IF(Tbl_BCROutputs_Gas[[#This Row],[Total Cost New Equipment, not including deferred replacement (USD)]]="-","-",Tbl_BCROutputs_Gas[[#This Row],[Total Cost New Equipment, not including deferred replacement (USD)]]-Tbl_BCROutputs_Gas[[#This Row],[Deferred Replacement Credit (USD)]])</f>
        <v>8862.8593767820257</v>
      </c>
      <c r="R36" s="651">
        <f ca="1">IF(Tbl_BCROutputs_Gas[[#This Row],[Replacement Type]]="Partial Replacement",
        -1*INDEX(Tbl_MeasureList[[Measure ID]:[Current ER (EE) High Measure Gas Fuel Savings (1,000 cu.ft. gas/year)]],
                             MATCH(Tbl_BCROutputs_Gas[[#This Row],[Measure ID]:[Measure ID]],Tbl_MeasureList[[Measure ID]:[Measure ID]],0),
                             MATCH(R$45,Tbl_MeasureList[#Headers],0))/10,
       IF(Tbl_BCROutputs_Gas[[#This Row],[Savings Stream]]="Retire",
                             -1*INDEX(Tbl_MeasureList[],MATCH(Tbl_BCROutputs_Gas[[#This Row],[Measure ID]:[Measure ID]],Tbl_MeasureList[[Measure ID]:[Measure ID]],0),MATCH(R$47,Tbl_MeasureList[#Headers],0))/10,
                             -1*INDEX(Tbl_MeasureList[],MATCH(Tbl_BCROutputs_Gas[[#This Row],[Measure ID]:[Measure ID]],Tbl_MeasureList[[Measure ID]:[Measure ID]],0),MATCH(R$46,Tbl_MeasureList[#Headers],0))/10
            ))</f>
        <v>71.086370370370361</v>
      </c>
      <c r="S36" s="652">
        <f ca="1">IF(Tbl_BCROutputs_Gas[[#This Row],[Replacement Type]]="Partial Displacement",
        INDEX(Tbl_MeasureList[[Measure ID]:[Current ER (EE) High Measure Gas Fuel Savings (1,000 cu.ft. gas/year)]],
                      MATCH(Tbl_BCROutputs_Gas[[#This Row],[Measure ID]:[Measure ID]],Tbl_MeasureList[[Measure ID]:[Measure ID]],0),
                      MATCH(S$47,Tbl_MeasureList[#Headers],0)),
       IF(Tbl_BCROutputs_Gas[[#This Row],[Savings Stream]]="Retire",
             INDEX(Tbl_MeasureList[],MATCH(Tbl_BCROutputs_Gas[[#This Row],[Measure ID]:[Measure ID]],Tbl_MeasureList[[Measure ID]:[Measure ID]],0),MATCH(S$46,Tbl_MeasureList[#Headers],0)),
             INDEX(Tbl_MeasureList[],MATCH(Tbl_BCROutputs_Gas[[#This Row],[Measure ID]:[Measure ID]],Tbl_MeasureList[[Measure ID]:[Measure ID]],0),MATCH(S$45,Tbl_MeasureList[#Headers],0))))</f>
        <v>11.891366183846529</v>
      </c>
      <c r="T36" s="517">
        <f ca="1">IF(Tbl_BCROutputs_Gas[[#This Row],[Replacement Type]]="Partial Displacement",
        INDEX(Tbl_MeasureList[[Measure ID]:[Current ER (EE) High Measure Gas Fuel Savings (1,000 cu.ft. gas/year)]],
                      MATCH(Tbl_BCROutputs_Gas[[#This Row],[Measure ID]:[Measure ID]],Tbl_MeasureList[[Measure ID]:[Measure ID]],0),
                      MATCH(T$47,Tbl_MeasureList[#Headers],0)),
       IF(Tbl_BCROutputs_Gas[[#This Row],[Savings Stream]]="Retire",
             INDEX(Tbl_MeasureList[],MATCH(Tbl_BCROutputs_Gas[[#This Row],[Measure ID]:[Measure ID]],Tbl_MeasureList[[Measure ID]:[Measure ID]],0),MATCH(T$46,Tbl_MeasureList[#Headers],0)),
             INDEX(Tbl_MeasureList[],MATCH(Tbl_BCROutputs_Gas[[#This Row],[Measure ID]:[Measure ID]],Tbl_MeasureList[[Measure ID]:[Measure ID]],0),MATCH(T$45,Tbl_MeasureList[#Headers],0))))</f>
        <v>0</v>
      </c>
      <c r="U36" s="397">
        <f ca="1">IF(Tbl_BCROutputs_Gas[[#This Row],[Replacement Type]]="Partial Displacement",
        INDEX(Tbl_MeasureList[[Measure ID]:[Current ER (EE) High Measure Gas Fuel Savings (1,000 cu.ft. gas/year)]],
                      MATCH(Tbl_BCROutputs_Gas[[#This Row],[Measure ID]:[Measure ID]],Tbl_MeasureList[[Measure ID]:[Measure ID]],0),
                      MATCH(U$47,Tbl_MeasureList[#Headers],0)),
       IF(Tbl_BCROutputs_Gas[[#This Row],[Savings Stream]]="Retire",
             INDEX(Tbl_MeasureList[],MATCH(Tbl_BCROutputs_Gas[[#This Row],[Measure ID]:[Measure ID]],Tbl_MeasureList[[Measure ID]:[Measure ID]],0),MATCH(U$46,Tbl_MeasureList[#Headers],0)),
             INDEX(Tbl_MeasureList[],MATCH(Tbl_BCROutputs_Gas[[#This Row],[Measure ID]:[Measure ID]],Tbl_MeasureList[[Measure ID]:[Measure ID]],0),MATCH(U$45,Tbl_MeasureList[#Headers],0))))</f>
        <v>82.409638554216883</v>
      </c>
      <c r="V36" s="639">
        <f ca="1">IF(OR(Tbl_BCROutputs_Gas[[#This Row],[Replacement Type]]="Partial Displacement",Tbl_BCROutputs_Gas[[#This Row],[Savings Stream]]="EE"),
        INDEX(Tbl_MeasureList[[Measure ID]:[Current ER (EE) High Measure Gas Fuel Savings (1,000 cu.ft. gas/year)]],
                      MATCH(Tbl_BCROutputs_Gas[[#This Row],[Measure ID]:[Measure ID]],Tbl_MeasureList[[Measure ID]:[Measure ID]],0),
                      MATCH(Tbl_BCROutputs_Gas[[#Headers],[Fuel Switch Propane Annual Consumption Savings (MMBtu/yr)]],Tbl_MeasureList[#Headers],0)),
      0)</f>
        <v>0</v>
      </c>
      <c r="W36" s="639">
        <f ca="1">IF(OR(Tbl_BCROutputs_Gas[[#This Row],[Replacement Type]]="Partial Displacement",Tbl_BCROutputs_Gas[[#This Row],[Savings Stream]]="EE"),
        INDEX(Tbl_MeasureList[[Measure ID]:[Current ER (EE) High Measure Gas Fuel Savings (1,000 cu.ft. gas/year)]],
                      MATCH(Tbl_BCROutputs_Gas[[#This Row],[Measure ID]:[Measure ID]],Tbl_MeasureList[[Measure ID]:[Measure ID]],0),
                      MATCH(Tbl_BCROutputs_Gas[[#Headers],[Fuel Switch Oil Annual Consumption Savings (MMBtu/yr)]],Tbl_MeasureList[#Headers],0)),
       0)</f>
        <v>82.409638554216883</v>
      </c>
      <c r="Y36" s="653"/>
    </row>
    <row r="37" spans="2:25" s="581" customFormat="1" ht="22.5" x14ac:dyDescent="0.2">
      <c r="B37" s="582"/>
      <c r="C37" s="583" t="s">
        <v>98</v>
      </c>
      <c r="D37" s="583" t="s">
        <v>1218</v>
      </c>
      <c r="E37" s="83" t="str">
        <f>INDEX(Tbl_MeasureList[],MATCH(Tbl_BCROutputs_Gas[[#This Row],[Measure ID]],Tbl_MeasureList[[Measure ID]:[Measure ID]],0),MATCH(Tbl_BCROutputs_Gas[[#Headers],[Replacement ID]],Tbl_MeasureList[#Headers],0))</f>
        <v>EQUI020</v>
      </c>
      <c r="F37" s="83" t="str">
        <f>INDEX(Tbl_MeasureList[[Measure ID]:[Current ER (EE) High Measure Gas Fuel Savings (1,000 cu.ft. gas/year)]],
               MATCH(Tbl_BCROutputs_Gas[[#This Row],[Measure ID]:[Measure ID]],Tbl_MeasureList[[Measure ID]:[Measure ID]],0),
               MATCH(F$31,Tbl_MeasureList[#Headers],0))</f>
        <v>Oil Furnace</v>
      </c>
      <c r="G37" s="83" t="str">
        <f>INDEX(Tbl_MeasureList[[Measure ID]:[Current ER (EE) High Measure Gas Fuel Savings (1,000 cu.ft. gas/year)]],
               MATCH(Tbl_BCROutputs_Gas[[#This Row],[Measure ID]:[Measure ID]],Tbl_MeasureList[[Measure ID]:[Measure ID]],0),
               MATCH(G$31,Tbl_MeasureList[#Headers],0))</f>
        <v>Gas Furnace</v>
      </c>
      <c r="H37" s="83" t="str">
        <f>INDEX(Tbl_MeasureList[Replacement Fuel 1],MATCH(Tbl_BCROutputs_Gas[[#This Row],[Measure ID]],Tbl_MeasureList[Measure ID],0))&amp;
  IF(INDEX(Tbl_MeasureList[Replacement Fuel 2],MATCH(Tbl_BCROutputs_Gas[[#This Row],[Measure ID]],Tbl_MeasureList[Measure ID],0))&lt;&gt;"-",
       "+"&amp;INDEX(Tbl_MeasureList[Replacement Fuel 2],MATCH(Tbl_BCROutputs_Gas[[#This Row],[Measure ID]],Tbl_MeasureList[Measure ID],0)),"")</f>
        <v>Natural Gas</v>
      </c>
      <c r="I37" s="629" t="str">
        <f>IF(Tbl_BCROutputs_Gas[[#This Row],[Replacement Fuel]]="Natural Gas",INDEX(Tbl_EquipmentDefinitions[Natural Gas High Measure Efficiency],MATCH(Tbl_BCROutputs_Gas[[#This Row],[Replacement ID]],Tbl_EquipmentDefinitions[Equipment ID],0)),
  IF(Tbl_BCROutputs_Gas[[#This Row],[Replacement Fuel]]="Electric",INDEX(Tbl_EquipmentDefinitions[Electricity High Measure Efficiency],MATCH(Tbl_BCROutputs_Gas[[#This Row],[Replacement ID]],Tbl_EquipmentDefinitions[Equipment ID],0)),
  IF(Tbl_BCROutputs_Gas[[#This Row],[Replacement Fuel]]="Electric+Oil",
        INDEX(Tbl_EquipmentDefinitions[Electricity High Measure Efficiency],MATCH(Tbl_BCROutputs_Gas[[#This Row],[Replacement ID]],Tbl_EquipmentDefinitions[Equipment ID],0))&amp;CHAR(10)&amp;
        INDEX(Tbl_EquipmentDefinitions[Oil Baseline Efficiency],MATCH(Tbl_BCROutputs_Gas[[#This Row],[Replacement ID]],Tbl_EquipmentDefinitions[Equipment ID],0)),
  IF(Tbl_BCROutputs_Gas[[#This Row],[Replacement Fuel]]="Electric+Propane",
        INDEX(Tbl_EquipmentDefinitions[Electricity High Measure Efficiency],MATCH(Tbl_BCROutputs_Gas[[#This Row],[Replacement ID]],Tbl_EquipmentDefinitions[Equipment ID],0))&amp;CHAR(10)&amp;
        INDEX(Tbl_EquipmentDefinitions[Propane Baseline Efficiency],MATCH(Tbl_BCROutputs_Gas[[#This Row],[Replacement ID]],Tbl_EquipmentDefinitions[Equipment ID],0)),
  IF(Tbl_BCROutputs_Gas[[#This Row],[Replacement Fuel]]="Electric+Electric",INDEX(Tbl_EquipmentDefinitions[Electricity High Measure Efficiency],MATCH(Tbl_BCROutputs_Gas[[#This Row],[Replacement ID]],Tbl_EquipmentDefinitions[Equipment ID],0)),
)))))</f>
        <v>97% AFUE (97.2% actual) w/ ECM fan motor</v>
      </c>
      <c r="J37" s="83" t="str">
        <f>INDEX(Tbl_MeasureList[[Measure ID]:[Current ER (EE) High Measure Gas Fuel Savings (1,000 cu.ft. gas/year)]],
               MATCH(Tbl_BCROutputs_Gas[[#This Row],[Measure ID]:[Measure ID]],Tbl_MeasureList[[Measure ID]:[Measure ID]],0),
               MATCH(J$31,Tbl_MeasureList[#Headers],0))</f>
        <v>No</v>
      </c>
      <c r="K37" s="630" t="str">
        <f>IF(Tbl_BCROutputs_Gas[[#This Row],[Keep Existing Heating Equipment?]]="Yes","Partial Displacement","Full Replacement")</f>
        <v>Full Replacement</v>
      </c>
      <c r="L37" s="647">
        <f>IF(Tbl_BCROutputs_Gas[[#This Row],[Replacement Type]]="Partial Displacement",
        INDEX(Tbl_EquipmentDefinitions[New Unit Equipment Life (years)],
                       MATCH(INDEX(Tbl_MeasureList[[Measure ID]:[Current ER (EE) High Measure Gas Fuel Savings (1,000 cu.ft. gas/year)]],
                                                      MATCH(Tbl_BCROutputs_Gas[[#This Row],[Measure ID]:[Measure ID]],Tbl_MeasureList[Measure ID],0),
                                                      MATCH(L$45,Tbl_MeasureList[#Headers],0)),
                                        Tbl_EquipmentDefinitions[Equipment ID],
                                        0)),
        IF(Tbl_BCROutputs_Gas[[#This Row],[Savings Stream]]="Retire",
             INDEX(Tbl_MeasureList[],MATCH(Tbl_BCROutputs_Gas[[#This Row],[Measure ID]],Tbl_MeasureList[[Measure ID]:[Measure ID]],0),MATCH($L$47,Tbl_MeasureList[#Headers],0)),
             INDEX(Tbl_MeasureList[],MATCH(Tbl_BCROutputs_Gas[[#This Row],[Measure ID]],Tbl_MeasureList[[Measure ID]:[Measure ID]],0),MATCH($L$46,Tbl_MeasureList[#Headers],0)))
        )</f>
        <v>6</v>
      </c>
      <c r="M37" s="648">
        <f>IF(Tbl_BCROutputs_Gas[[#This Row],[Savings Stream]]="Retire",0,
          INDEX(Tbl_MeasureList[[Measure ID]:[Current ER (EE) High Measure Gas Fuel Savings (1,000 cu.ft. gas/year)]],
                 MATCH(Tbl_BCROutputs_Gas[[#This Row],[Measure ID]:[Measure ID]],Tbl_MeasureList[[Measure ID]:[Measure ID]],0),
                 MATCH(M$45,Tbl_MeasureList[#Headers],0)))</f>
        <v>0</v>
      </c>
      <c r="N37" s="633">
        <f>IF(INPUT_INCLUDEGASLINE="Yes",
        IF(OR(INDEX(Tbl_MeasureList[[Measure ID]:[Current ER (EE) High Measure Gas Fuel Savings (1,000 cu.ft. gas/year)]],
                                   MATCH(Tbl_BCROutputs_Gas[[#This Row],[Measure ID]:[Measure ID]],Tbl_MeasureList[Measure ID],0),
                                   MATCH(N$46,Tbl_MeasureList[#Headers],0))="Natural Gas",
                    INDEX(Tbl_MeasureList[[Measure ID]:[Current ER (EE) High Measure Gas Fuel Savings (1,000 cu.ft. gas/year)]],
                                   MATCH(Tbl_BCROutputs_Gas[[#This Row],[Measure ID]:[Measure ID]],Tbl_MeasureList[Measure ID],0),
                                   MATCH(N$45,Tbl_MeasureList[#Headers],0))="Natural Gas"),
             IF(Tbl_BCROutputs_Gas[[#This Row],[Savings Stream]]="EE",
                   INPUT_GASLINECOST,
                   0),
             "n/a"),
         "Off (see Inputs tab)")</f>
        <v>0</v>
      </c>
      <c r="O37" s="634">
        <f>IF(Tbl_BCROutputs_Gas[[#This Row],[Savings Stream]]="EE",
        IF(_xlfn.XOR(ISNUMBER(SEARCH("Boiler",Tbl_BCROutputs_Gas[[#This Row],[Baseline Name]])),ISNUMBER(SEARCH("Boiler",Tbl_BCROutputs_Gas[[#This Row],[Replacement Name]]))),INPUT_EQUIPMENTDISPOSALCOST,0),
        0)</f>
        <v>0</v>
      </c>
      <c r="P37" s="649">
        <f>IF(OR(Tbl_BCROutputs_Gas[[#This Row],[Replacement Type]]="Partial Displacement",Tbl_BCROutputs_Gas[[#This Row],[Savings Stream]]="EE"),
        INDEX(Tbl_MeasureList[[Measure ID]:[Current ER (EE) High Measure Gas Fuel Savings (1,000 cu.ft. gas/year)]],
                      MATCH(Tbl_BCROutputs_Gas[[#This Row],[Measure ID]],Tbl_MeasureList[[Measure ID]:[Measure ID]],0),
                      MATCH(P$45,Tbl_MeasureList[#Headers],0)),
        IF(Tbl_BCROutputs_Gas[[#This Row],[Savings Stream]]="Retire",
              0,
              0
            )
       )</f>
        <v>0</v>
      </c>
      <c r="Q37" s="650">
        <f>IF(Tbl_BCROutputs_Gas[[#This Row],[Total Cost New Equipment, not including deferred replacement (USD)]]="-","-",Tbl_BCROutputs_Gas[[#This Row],[Total Cost New Equipment, not including deferred replacement (USD)]]-Tbl_BCROutputs_Gas[[#This Row],[Deferred Replacement Credit (USD)]])</f>
        <v>0</v>
      </c>
      <c r="R37" s="651">
        <f>IF(Tbl_BCROutputs_Gas[[#This Row],[Replacement Type]]="Partial Replacement",
        -1*INDEX(Tbl_MeasureList[[Measure ID]:[Current ER (EE) High Measure Gas Fuel Savings (1,000 cu.ft. gas/year)]],
                             MATCH(Tbl_BCROutputs_Gas[[#This Row],[Measure ID]:[Measure ID]],Tbl_MeasureList[[Measure ID]:[Measure ID]],0),
                             MATCH(R$45,Tbl_MeasureList[#Headers],0))/10,
       IF(Tbl_BCROutputs_Gas[[#This Row],[Savings Stream]]="Retire",
                             -1*INDEX(Tbl_MeasureList[],MATCH(Tbl_BCROutputs_Gas[[#This Row],[Measure ID]:[Measure ID]],Tbl_MeasureList[[Measure ID]:[Measure ID]],0),MATCH(R$47,Tbl_MeasureList[#Headers],0))/10,
                             -1*INDEX(Tbl_MeasureList[],MATCH(Tbl_BCROutputs_Gas[[#This Row],[Measure ID]:[Measure ID]],Tbl_MeasureList[[Measure ID]:[Measure ID]],0),MATCH(R$46,Tbl_MeasureList[#Headers],0))/10
            ))</f>
        <v>0</v>
      </c>
      <c r="S37" s="652">
        <f>IF(Tbl_BCROutputs_Gas[[#This Row],[Replacement Type]]="Partial Displacement",
        INDEX(Tbl_MeasureList[[Measure ID]:[Current ER (EE) High Measure Gas Fuel Savings (1,000 cu.ft. gas/year)]],
                      MATCH(Tbl_BCROutputs_Gas[[#This Row],[Measure ID]:[Measure ID]],Tbl_MeasureList[[Measure ID]:[Measure ID]],0),
                      MATCH(S$47,Tbl_MeasureList[#Headers],0)),
       IF(Tbl_BCROutputs_Gas[[#This Row],[Savings Stream]]="Retire",
             INDEX(Tbl_MeasureList[],MATCH(Tbl_BCROutputs_Gas[[#This Row],[Measure ID]:[Measure ID]],Tbl_MeasureList[[Measure ID]:[Measure ID]],0),MATCH(S$46,Tbl_MeasureList[#Headers],0)),
             INDEX(Tbl_MeasureList[],MATCH(Tbl_BCROutputs_Gas[[#This Row],[Measure ID]:[Measure ID]],Tbl_MeasureList[[Measure ID]:[Measure ID]],0),MATCH(S$45,Tbl_MeasureList[#Headers],0))))</f>
        <v>4.2893712549085876</v>
      </c>
      <c r="T37" s="517">
        <f>IF(Tbl_BCROutputs_Gas[[#This Row],[Replacement Type]]="Partial Displacement",
        INDEX(Tbl_MeasureList[[Measure ID]:[Current ER (EE) High Measure Gas Fuel Savings (1,000 cu.ft. gas/year)]],
                      MATCH(Tbl_BCROutputs_Gas[[#This Row],[Measure ID]:[Measure ID]],Tbl_MeasureList[[Measure ID]:[Measure ID]],0),
                      MATCH(T$47,Tbl_MeasureList[#Headers],0)),
       IF(Tbl_BCROutputs_Gas[[#This Row],[Savings Stream]]="Retire",
             INDEX(Tbl_MeasureList[],MATCH(Tbl_BCROutputs_Gas[[#This Row],[Measure ID]:[Measure ID]],Tbl_MeasureList[[Measure ID]:[Measure ID]],0),MATCH(T$46,Tbl_MeasureList[#Headers],0)),
             INDEX(Tbl_MeasureList[],MATCH(Tbl_BCROutputs_Gas[[#This Row],[Measure ID]:[Measure ID]],Tbl_MeasureList[[Measure ID]:[Measure ID]],0),MATCH(T$45,Tbl_MeasureList[#Headers],0))))</f>
        <v>0</v>
      </c>
      <c r="U37" s="397">
        <f>IF(Tbl_BCROutputs_Gas[[#This Row],[Replacement Type]]="Partial Displacement",
        INDEX(Tbl_MeasureList[[Measure ID]:[Current ER (EE) High Measure Gas Fuel Savings (1,000 cu.ft. gas/year)]],
                      MATCH(Tbl_BCROutputs_Gas[[#This Row],[Measure ID]:[Measure ID]],Tbl_MeasureList[[Measure ID]:[Measure ID]],0),
                      MATCH(U$47,Tbl_MeasureList[#Headers],0)),
       IF(Tbl_BCROutputs_Gas[[#This Row],[Savings Stream]]="Retire",
             INDEX(Tbl_MeasureList[],MATCH(Tbl_BCROutputs_Gas[[#This Row],[Measure ID]:[Measure ID]],Tbl_MeasureList[[Measure ID]:[Measure ID]],0),MATCH(U$46,Tbl_MeasureList[#Headers],0)),
             INDEX(Tbl_MeasureList[],MATCH(Tbl_BCROutputs_Gas[[#This Row],[Measure ID]:[Measure ID]],Tbl_MeasureList[[Measure ID]:[Measure ID]],0),MATCH(U$45,Tbl_MeasureList[#Headers],0))))</f>
        <v>4.2823766549085889</v>
      </c>
      <c r="V37" s="639">
        <f>IF(OR(Tbl_BCROutputs_Gas[[#This Row],[Replacement Type]]="Partial Displacement",Tbl_BCROutputs_Gas[[#This Row],[Savings Stream]]="EE"),
        INDEX(Tbl_MeasureList[[Measure ID]:[Current ER (EE) High Measure Gas Fuel Savings (1,000 cu.ft. gas/year)]],
                      MATCH(Tbl_BCROutputs_Gas[[#This Row],[Measure ID]:[Measure ID]],Tbl_MeasureList[[Measure ID]:[Measure ID]],0),
                      MATCH(Tbl_BCROutputs_Gas[[#Headers],[Fuel Switch Propane Annual Consumption Savings (MMBtu/yr)]],Tbl_MeasureList[#Headers],0)),
      0)</f>
        <v>0</v>
      </c>
      <c r="W37" s="639">
        <f>IF(OR(Tbl_BCROutputs_Gas[[#This Row],[Replacement Type]]="Partial Displacement",Tbl_BCROutputs_Gas[[#This Row],[Savings Stream]]="EE"),
        INDEX(Tbl_MeasureList[[Measure ID]:[Current ER (EE) High Measure Gas Fuel Savings (1,000 cu.ft. gas/year)]],
                      MATCH(Tbl_BCROutputs_Gas[[#This Row],[Measure ID]:[Measure ID]],Tbl_MeasureList[[Measure ID]:[Measure ID]],0),
                      MATCH(Tbl_BCROutputs_Gas[[#Headers],[Fuel Switch Oil Annual Consumption Savings (MMBtu/yr)]],Tbl_MeasureList[#Headers],0)),
       0)</f>
        <v>0</v>
      </c>
      <c r="Y37" s="653"/>
    </row>
    <row r="38" spans="2:25" s="581" customFormat="1" ht="22.5" x14ac:dyDescent="0.2">
      <c r="B38" s="582"/>
      <c r="C38" s="583" t="s">
        <v>99</v>
      </c>
      <c r="D38" s="583" t="s">
        <v>1216</v>
      </c>
      <c r="E38" s="83" t="str">
        <f>INDEX(Tbl_MeasureList[],MATCH(Tbl_BCROutputs_Gas[[#This Row],[Measure ID]],Tbl_MeasureList[[Measure ID]:[Measure ID]],0),MATCH(Tbl_BCROutputs_Gas[[#Headers],[Replacement ID]],Tbl_MeasureList[#Headers],0))</f>
        <v>EQUI020</v>
      </c>
      <c r="F38" s="83" t="str">
        <f>INDEX(Tbl_MeasureList[[Measure ID]:[Current ER (EE) High Measure Gas Fuel Savings (1,000 cu.ft. gas/year)]],
               MATCH(Tbl_BCROutputs_Gas[[#This Row],[Measure ID]:[Measure ID]],Tbl_MeasureList[[Measure ID]:[Measure ID]],0),
               MATCH(F$31,Tbl_MeasureList[#Headers],0))</f>
        <v>Propane Furnace</v>
      </c>
      <c r="G38" s="83" t="str">
        <f>INDEX(Tbl_MeasureList[[Measure ID]:[Current ER (EE) High Measure Gas Fuel Savings (1,000 cu.ft. gas/year)]],
               MATCH(Tbl_BCROutputs_Gas[[#This Row],[Measure ID]:[Measure ID]],Tbl_MeasureList[[Measure ID]:[Measure ID]],0),
               MATCH(G$31,Tbl_MeasureList[#Headers],0))</f>
        <v>Gas Furnace</v>
      </c>
      <c r="H38" s="83" t="str">
        <f>INDEX(Tbl_MeasureList[Replacement Fuel 1],MATCH(Tbl_BCROutputs_Gas[[#This Row],[Measure ID]],Tbl_MeasureList[Measure ID],0))&amp;
  IF(INDEX(Tbl_MeasureList[Replacement Fuel 2],MATCH(Tbl_BCROutputs_Gas[[#This Row],[Measure ID]],Tbl_MeasureList[Measure ID],0))&lt;&gt;"-",
       "+"&amp;INDEX(Tbl_MeasureList[Replacement Fuel 2],MATCH(Tbl_BCROutputs_Gas[[#This Row],[Measure ID]],Tbl_MeasureList[Measure ID],0)),"")</f>
        <v>Natural Gas</v>
      </c>
      <c r="I38" s="629" t="str">
        <f>IF(Tbl_BCROutputs_Gas[[#This Row],[Replacement Fuel]]="Natural Gas",INDEX(Tbl_EquipmentDefinitions[Natural Gas High Measure Efficiency],MATCH(Tbl_BCROutputs_Gas[[#This Row],[Replacement ID]],Tbl_EquipmentDefinitions[Equipment ID],0)),
  IF(Tbl_BCROutputs_Gas[[#This Row],[Replacement Fuel]]="Electric",INDEX(Tbl_EquipmentDefinitions[Electricity High Measure Efficiency],MATCH(Tbl_BCROutputs_Gas[[#This Row],[Replacement ID]],Tbl_EquipmentDefinitions[Equipment ID],0)),
  IF(Tbl_BCROutputs_Gas[[#This Row],[Replacement Fuel]]="Electric+Oil",
        INDEX(Tbl_EquipmentDefinitions[Electricity High Measure Efficiency],MATCH(Tbl_BCROutputs_Gas[[#This Row],[Replacement ID]],Tbl_EquipmentDefinitions[Equipment ID],0))&amp;CHAR(10)&amp;
        INDEX(Tbl_EquipmentDefinitions[Oil Baseline Efficiency],MATCH(Tbl_BCROutputs_Gas[[#This Row],[Replacement ID]],Tbl_EquipmentDefinitions[Equipment ID],0)),
  IF(Tbl_BCROutputs_Gas[[#This Row],[Replacement Fuel]]="Electric+Propane",
        INDEX(Tbl_EquipmentDefinitions[Electricity High Measure Efficiency],MATCH(Tbl_BCROutputs_Gas[[#This Row],[Replacement ID]],Tbl_EquipmentDefinitions[Equipment ID],0))&amp;CHAR(10)&amp;
        INDEX(Tbl_EquipmentDefinitions[Propane Baseline Efficiency],MATCH(Tbl_BCROutputs_Gas[[#This Row],[Replacement ID]],Tbl_EquipmentDefinitions[Equipment ID],0)),
  IF(Tbl_BCROutputs_Gas[[#This Row],[Replacement Fuel]]="Electric+Electric",INDEX(Tbl_EquipmentDefinitions[Electricity High Measure Efficiency],MATCH(Tbl_BCROutputs_Gas[[#This Row],[Replacement ID]],Tbl_EquipmentDefinitions[Equipment ID],0)),
)))))</f>
        <v>97% AFUE (97.2% actual) w/ ECM fan motor</v>
      </c>
      <c r="J38" s="83" t="str">
        <f>INDEX(Tbl_MeasureList[[Measure ID]:[Current ER (EE) High Measure Gas Fuel Savings (1,000 cu.ft. gas/year)]],
               MATCH(Tbl_BCROutputs_Gas[[#This Row],[Measure ID]:[Measure ID]],Tbl_MeasureList[[Measure ID]:[Measure ID]],0),
               MATCH(J$31,Tbl_MeasureList[#Headers],0))</f>
        <v>No</v>
      </c>
      <c r="K38" s="630" t="str">
        <f>IF(Tbl_BCROutputs_Gas[[#This Row],[Keep Existing Heating Equipment?]]="Yes","Partial Displacement","Full Replacement")</f>
        <v>Full Replacement</v>
      </c>
      <c r="L38" s="647">
        <f>IF(Tbl_BCROutputs_Gas[[#This Row],[Replacement Type]]="Partial Displacement",
        INDEX(Tbl_EquipmentDefinitions[New Unit Equipment Life (years)],
                       MATCH(INDEX(Tbl_MeasureList[[Measure ID]:[Current ER (EE) High Measure Gas Fuel Savings (1,000 cu.ft. gas/year)]],
                                                      MATCH(Tbl_BCROutputs_Gas[[#This Row],[Measure ID]:[Measure ID]],Tbl_MeasureList[Measure ID],0),
                                                      MATCH(L$45,Tbl_MeasureList[#Headers],0)),
                                        Tbl_EquipmentDefinitions[Equipment ID],
                                        0)),
        IF(Tbl_BCROutputs_Gas[[#This Row],[Savings Stream]]="Retire",
             INDEX(Tbl_MeasureList[],MATCH(Tbl_BCROutputs_Gas[[#This Row],[Measure ID]],Tbl_MeasureList[[Measure ID]:[Measure ID]],0),MATCH($L$47,Tbl_MeasureList[#Headers],0)),
             INDEX(Tbl_MeasureList[],MATCH(Tbl_BCROutputs_Gas[[#This Row],[Measure ID]],Tbl_MeasureList[[Measure ID]:[Measure ID]],0),MATCH($L$46,Tbl_MeasureList[#Headers],0)))
        )</f>
        <v>17</v>
      </c>
      <c r="M38" s="648">
        <f>IF(Tbl_BCROutputs_Gas[[#This Row],[Savings Stream]]="Retire",0,
          INDEX(Tbl_MeasureList[[Measure ID]:[Current ER (EE) High Measure Gas Fuel Savings (1,000 cu.ft. gas/year)]],
                 MATCH(Tbl_BCROutputs_Gas[[#This Row],[Measure ID]:[Measure ID]],Tbl_MeasureList[[Measure ID]:[Measure ID]],0),
                 MATCH(M$45,Tbl_MeasureList[#Headers],0)))</f>
        <v>2977.3463590984543</v>
      </c>
      <c r="N38" s="633">
        <f>IF(INPUT_INCLUDEGASLINE="Yes",
        IF(OR(INDEX(Tbl_MeasureList[[Measure ID]:[Current ER (EE) High Measure Gas Fuel Savings (1,000 cu.ft. gas/year)]],
                                   MATCH(Tbl_BCROutputs_Gas[[#This Row],[Measure ID]:[Measure ID]],Tbl_MeasureList[Measure ID],0),
                                   MATCH(N$46,Tbl_MeasureList[#Headers],0))="Natural Gas",
                    INDEX(Tbl_MeasureList[[Measure ID]:[Current ER (EE) High Measure Gas Fuel Savings (1,000 cu.ft. gas/year)]],
                                   MATCH(Tbl_BCROutputs_Gas[[#This Row],[Measure ID]:[Measure ID]],Tbl_MeasureList[Measure ID],0),
                                   MATCH(N$45,Tbl_MeasureList[#Headers],0))="Natural Gas"),
             IF(Tbl_BCROutputs_Gas[[#This Row],[Savings Stream]]="EE",
                   INPUT_GASLINECOST,
                   0),
             "n/a"),
         "Off (see Inputs tab)")</f>
        <v>5600</v>
      </c>
      <c r="O38" s="634">
        <f>IF(Tbl_BCROutputs_Gas[[#This Row],[Savings Stream]]="EE",
        IF(_xlfn.XOR(ISNUMBER(SEARCH("Boiler",Tbl_BCROutputs_Gas[[#This Row],[Baseline Name]])),ISNUMBER(SEARCH("Boiler",Tbl_BCROutputs_Gas[[#This Row],[Replacement Name]]))),INPUT_EQUIPMENTDISPOSALCOST,0),
        0)</f>
        <v>0</v>
      </c>
      <c r="P38" s="649">
        <f ca="1">IF(OR(Tbl_BCROutputs_Gas[[#This Row],[Replacement Type]]="Partial Displacement",Tbl_BCROutputs_Gas[[#This Row],[Savings Stream]]="EE"),
        INDEX(Tbl_MeasureList[[Measure ID]:[Current ER (EE) High Measure Gas Fuel Savings (1,000 cu.ft. gas/year)]],
                      MATCH(Tbl_BCROutputs_Gas[[#This Row],[Measure ID]],Tbl_MeasureList[[Measure ID]:[Measure ID]],0),
                      MATCH(P$45,Tbl_MeasureList[#Headers],0)),
        IF(Tbl_BCROutputs_Gas[[#This Row],[Savings Stream]]="Retire",
              0,
              0
            )
       )</f>
        <v>11970</v>
      </c>
      <c r="Q38" s="650">
        <f ca="1">IF(Tbl_BCROutputs_Gas[[#This Row],[Total Cost New Equipment, not including deferred replacement (USD)]]="-","-",Tbl_BCROutputs_Gas[[#This Row],[Total Cost New Equipment, not including deferred replacement (USD)]]-Tbl_BCROutputs_Gas[[#This Row],[Deferred Replacement Credit (USD)]])</f>
        <v>8992.6536409015462</v>
      </c>
      <c r="R38" s="651">
        <f ca="1">IF(Tbl_BCROutputs_Gas[[#This Row],[Replacement Type]]="Partial Replacement",
        -1*INDEX(Tbl_MeasureList[[Measure ID]:[Current ER (EE) High Measure Gas Fuel Savings (1,000 cu.ft. gas/year)]],
                             MATCH(Tbl_BCROutputs_Gas[[#This Row],[Measure ID]:[Measure ID]],Tbl_MeasureList[[Measure ID]:[Measure ID]],0),
                             MATCH(R$45,Tbl_MeasureList[#Headers],0))/10,
       IF(Tbl_BCROutputs_Gas[[#This Row],[Savings Stream]]="Retire",
                             -1*INDEX(Tbl_MeasureList[],MATCH(Tbl_BCROutputs_Gas[[#This Row],[Measure ID]:[Measure ID]],Tbl_MeasureList[[Measure ID]:[Measure ID]],0),MATCH(R$47,Tbl_MeasureList[#Headers],0))/10,
                             -1*INDEX(Tbl_MeasureList[],MATCH(Tbl_BCROutputs_Gas[[#This Row],[Measure ID]:[Measure ID]],Tbl_MeasureList[[Measure ID]:[Measure ID]],0),MATCH(R$46,Tbl_MeasureList[#Headers],0))/10
            ))</f>
        <v>71.086370370370361</v>
      </c>
      <c r="S38" s="652">
        <f ca="1">IF(Tbl_BCROutputs_Gas[[#This Row],[Replacement Type]]="Partial Displacement",
        INDEX(Tbl_MeasureList[[Measure ID]:[Current ER (EE) High Measure Gas Fuel Savings (1,000 cu.ft. gas/year)]],
                      MATCH(Tbl_BCROutputs_Gas[[#This Row],[Measure ID]:[Measure ID]],Tbl_MeasureList[[Measure ID]:[Measure ID]],0),
                      MATCH(S$47,Tbl_MeasureList[#Headers],0)),
       IF(Tbl_BCROutputs_Gas[[#This Row],[Savings Stream]]="Retire",
             INDEX(Tbl_MeasureList[],MATCH(Tbl_BCROutputs_Gas[[#This Row],[Measure ID]:[Measure ID]],Tbl_MeasureList[[Measure ID]:[Measure ID]],0),MATCH(S$46,Tbl_MeasureList[#Headers],0)),
             INDEX(Tbl_MeasureList[],MATCH(Tbl_BCROutputs_Gas[[#This Row],[Measure ID]:[Measure ID]],Tbl_MeasureList[[Measure ID]:[Measure ID]],0),MATCH(S$45,Tbl_MeasureList[#Headers],0))))</f>
        <v>9.9489038649237642</v>
      </c>
      <c r="T38" s="517">
        <f ca="1">IF(Tbl_BCROutputs_Gas[[#This Row],[Replacement Type]]="Partial Displacement",
        INDEX(Tbl_MeasureList[[Measure ID]:[Current ER (EE) High Measure Gas Fuel Savings (1,000 cu.ft. gas/year)]],
                      MATCH(Tbl_BCROutputs_Gas[[#This Row],[Measure ID]:[Measure ID]],Tbl_MeasureList[[Measure ID]:[Measure ID]],0),
                      MATCH(T$47,Tbl_MeasureList[#Headers],0)),
       IF(Tbl_BCROutputs_Gas[[#This Row],[Savings Stream]]="Retire",
             INDEX(Tbl_MeasureList[],MATCH(Tbl_BCROutputs_Gas[[#This Row],[Measure ID]:[Measure ID]],Tbl_MeasureList[[Measure ID]:[Measure ID]],0),MATCH(T$46,Tbl_MeasureList[#Headers],0)),
             INDEX(Tbl_MeasureList[],MATCH(Tbl_BCROutputs_Gas[[#This Row],[Measure ID]:[Measure ID]],Tbl_MeasureList[[Measure ID]:[Measure ID]],0),MATCH(T$45,Tbl_MeasureList[#Headers],0))))</f>
        <v>80.47058823529413</v>
      </c>
      <c r="U38" s="397">
        <f ca="1">IF(Tbl_BCROutputs_Gas[[#This Row],[Replacement Type]]="Partial Displacement",
        INDEX(Tbl_MeasureList[[Measure ID]:[Current ER (EE) High Measure Gas Fuel Savings (1,000 cu.ft. gas/year)]],
                      MATCH(Tbl_BCROutputs_Gas[[#This Row],[Measure ID]:[Measure ID]],Tbl_MeasureList[[Measure ID]:[Measure ID]],0),
                      MATCH(U$47,Tbl_MeasureList[#Headers],0)),
       IF(Tbl_BCROutputs_Gas[[#This Row],[Savings Stream]]="Retire",
             INDEX(Tbl_MeasureList[],MATCH(Tbl_BCROutputs_Gas[[#This Row],[Measure ID]:[Measure ID]],Tbl_MeasureList[[Measure ID]:[Measure ID]],0),MATCH(U$46,Tbl_MeasureList[#Headers],0)),
             INDEX(Tbl_MeasureList[],MATCH(Tbl_BCROutputs_Gas[[#This Row],[Measure ID]:[Measure ID]],Tbl_MeasureList[[Measure ID]:[Measure ID]],0),MATCH(U$45,Tbl_MeasureList[#Headers],0))))</f>
        <v>0</v>
      </c>
      <c r="V38" s="639">
        <f ca="1">IF(OR(Tbl_BCROutputs_Gas[[#This Row],[Replacement Type]]="Partial Displacement",Tbl_BCROutputs_Gas[[#This Row],[Savings Stream]]="EE"),
        INDEX(Tbl_MeasureList[[Measure ID]:[Current ER (EE) High Measure Gas Fuel Savings (1,000 cu.ft. gas/year)]],
                      MATCH(Tbl_BCROutputs_Gas[[#This Row],[Measure ID]:[Measure ID]],Tbl_MeasureList[[Measure ID]:[Measure ID]],0),
                      MATCH(Tbl_BCROutputs_Gas[[#Headers],[Fuel Switch Propane Annual Consumption Savings (MMBtu/yr)]],Tbl_MeasureList[#Headers],0)),
      0)</f>
        <v>80.47058823529413</v>
      </c>
      <c r="W38" s="639">
        <f ca="1">IF(OR(Tbl_BCROutputs_Gas[[#This Row],[Replacement Type]]="Partial Displacement",Tbl_BCROutputs_Gas[[#This Row],[Savings Stream]]="EE"),
        INDEX(Tbl_MeasureList[[Measure ID]:[Current ER (EE) High Measure Gas Fuel Savings (1,000 cu.ft. gas/year)]],
                      MATCH(Tbl_BCROutputs_Gas[[#This Row],[Measure ID]:[Measure ID]],Tbl_MeasureList[[Measure ID]:[Measure ID]],0),
                      MATCH(Tbl_BCROutputs_Gas[[#Headers],[Fuel Switch Oil Annual Consumption Savings (MMBtu/yr)]],Tbl_MeasureList[#Headers],0)),
       0)</f>
        <v>0</v>
      </c>
      <c r="Y38" s="653"/>
    </row>
    <row r="39" spans="2:25" s="581" customFormat="1" ht="22.5" x14ac:dyDescent="0.2">
      <c r="B39" s="582"/>
      <c r="C39" s="583" t="s">
        <v>99</v>
      </c>
      <c r="D39" s="583" t="s">
        <v>1218</v>
      </c>
      <c r="E39" s="83" t="str">
        <f>INDEX(Tbl_MeasureList[],MATCH(Tbl_BCROutputs_Gas[[#This Row],[Measure ID]],Tbl_MeasureList[[Measure ID]:[Measure ID]],0),MATCH(Tbl_BCROutputs_Gas[[#Headers],[Replacement ID]],Tbl_MeasureList[#Headers],0))</f>
        <v>EQUI020</v>
      </c>
      <c r="F39" s="83" t="str">
        <f>INDEX(Tbl_MeasureList[[Measure ID]:[Current ER (EE) High Measure Gas Fuel Savings (1,000 cu.ft. gas/year)]],
               MATCH(Tbl_BCROutputs_Gas[[#This Row],[Measure ID]:[Measure ID]],Tbl_MeasureList[[Measure ID]:[Measure ID]],0),
               MATCH(F$31,Tbl_MeasureList[#Headers],0))</f>
        <v>Propane Furnace</v>
      </c>
      <c r="G39" s="83" t="str">
        <f>INDEX(Tbl_MeasureList[[Measure ID]:[Current ER (EE) High Measure Gas Fuel Savings (1,000 cu.ft. gas/year)]],
               MATCH(Tbl_BCROutputs_Gas[[#This Row],[Measure ID]:[Measure ID]],Tbl_MeasureList[[Measure ID]:[Measure ID]],0),
               MATCH(G$31,Tbl_MeasureList[#Headers],0))</f>
        <v>Gas Furnace</v>
      </c>
      <c r="H39" s="83" t="str">
        <f>INDEX(Tbl_MeasureList[Replacement Fuel 1],MATCH(Tbl_BCROutputs_Gas[[#This Row],[Measure ID]],Tbl_MeasureList[Measure ID],0))&amp;
  IF(INDEX(Tbl_MeasureList[Replacement Fuel 2],MATCH(Tbl_BCROutputs_Gas[[#This Row],[Measure ID]],Tbl_MeasureList[Measure ID],0))&lt;&gt;"-",
       "+"&amp;INDEX(Tbl_MeasureList[Replacement Fuel 2],MATCH(Tbl_BCROutputs_Gas[[#This Row],[Measure ID]],Tbl_MeasureList[Measure ID],0)),"")</f>
        <v>Natural Gas</v>
      </c>
      <c r="I39" s="629" t="str">
        <f>IF(Tbl_BCROutputs_Gas[[#This Row],[Replacement Fuel]]="Natural Gas",INDEX(Tbl_EquipmentDefinitions[Natural Gas High Measure Efficiency],MATCH(Tbl_BCROutputs_Gas[[#This Row],[Replacement ID]],Tbl_EquipmentDefinitions[Equipment ID],0)),
  IF(Tbl_BCROutputs_Gas[[#This Row],[Replacement Fuel]]="Electric",INDEX(Tbl_EquipmentDefinitions[Electricity High Measure Efficiency],MATCH(Tbl_BCROutputs_Gas[[#This Row],[Replacement ID]],Tbl_EquipmentDefinitions[Equipment ID],0)),
  IF(Tbl_BCROutputs_Gas[[#This Row],[Replacement Fuel]]="Electric+Oil",
        INDEX(Tbl_EquipmentDefinitions[Electricity High Measure Efficiency],MATCH(Tbl_BCROutputs_Gas[[#This Row],[Replacement ID]],Tbl_EquipmentDefinitions[Equipment ID],0))&amp;CHAR(10)&amp;
        INDEX(Tbl_EquipmentDefinitions[Oil Baseline Efficiency],MATCH(Tbl_BCROutputs_Gas[[#This Row],[Replacement ID]],Tbl_EquipmentDefinitions[Equipment ID],0)),
  IF(Tbl_BCROutputs_Gas[[#This Row],[Replacement Fuel]]="Electric+Propane",
        INDEX(Tbl_EquipmentDefinitions[Electricity High Measure Efficiency],MATCH(Tbl_BCROutputs_Gas[[#This Row],[Replacement ID]],Tbl_EquipmentDefinitions[Equipment ID],0))&amp;CHAR(10)&amp;
        INDEX(Tbl_EquipmentDefinitions[Propane Baseline Efficiency],MATCH(Tbl_BCROutputs_Gas[[#This Row],[Replacement ID]],Tbl_EquipmentDefinitions[Equipment ID],0)),
  IF(Tbl_BCROutputs_Gas[[#This Row],[Replacement Fuel]]="Electric+Electric",INDEX(Tbl_EquipmentDefinitions[Electricity High Measure Efficiency],MATCH(Tbl_BCROutputs_Gas[[#This Row],[Replacement ID]],Tbl_EquipmentDefinitions[Equipment ID],0)),
)))))</f>
        <v>97% AFUE (97.2% actual) w/ ECM fan motor</v>
      </c>
      <c r="J39" s="83" t="str">
        <f>INDEX(Tbl_MeasureList[[Measure ID]:[Current ER (EE) High Measure Gas Fuel Savings (1,000 cu.ft. gas/year)]],
               MATCH(Tbl_BCROutputs_Gas[[#This Row],[Measure ID]:[Measure ID]],Tbl_MeasureList[[Measure ID]:[Measure ID]],0),
               MATCH(J$31,Tbl_MeasureList[#Headers],0))</f>
        <v>No</v>
      </c>
      <c r="K39" s="630" t="str">
        <f>IF(Tbl_BCROutputs_Gas[[#This Row],[Keep Existing Heating Equipment?]]="Yes","Partial Displacement","Full Replacement")</f>
        <v>Full Replacement</v>
      </c>
      <c r="L39" s="647">
        <f>IF(Tbl_BCROutputs_Gas[[#This Row],[Replacement Type]]="Partial Displacement",
        INDEX(Tbl_EquipmentDefinitions[New Unit Equipment Life (years)],
                       MATCH(INDEX(Tbl_MeasureList[[Measure ID]:[Current ER (EE) High Measure Gas Fuel Savings (1,000 cu.ft. gas/year)]],
                                                      MATCH(Tbl_BCROutputs_Gas[[#This Row],[Measure ID]:[Measure ID]],Tbl_MeasureList[Measure ID],0),
                                                      MATCH(L$45,Tbl_MeasureList[#Headers],0)),
                                        Tbl_EquipmentDefinitions[Equipment ID],
                                        0)),
        IF(Tbl_BCROutputs_Gas[[#This Row],[Savings Stream]]="Retire",
             INDEX(Tbl_MeasureList[],MATCH(Tbl_BCROutputs_Gas[[#This Row],[Measure ID]],Tbl_MeasureList[[Measure ID]:[Measure ID]],0),MATCH($L$47,Tbl_MeasureList[#Headers],0)),
             INDEX(Tbl_MeasureList[],MATCH(Tbl_BCROutputs_Gas[[#This Row],[Measure ID]],Tbl_MeasureList[[Measure ID]:[Measure ID]],0),MATCH($L$46,Tbl_MeasureList[#Headers],0)))
        )</f>
        <v>6</v>
      </c>
      <c r="M39" s="648">
        <f>IF(Tbl_BCROutputs_Gas[[#This Row],[Savings Stream]]="Retire",0,
          INDEX(Tbl_MeasureList[[Measure ID]:[Current ER (EE) High Measure Gas Fuel Savings (1,000 cu.ft. gas/year)]],
                 MATCH(Tbl_BCROutputs_Gas[[#This Row],[Measure ID]:[Measure ID]],Tbl_MeasureList[[Measure ID]:[Measure ID]],0),
                 MATCH(M$45,Tbl_MeasureList[#Headers],0)))</f>
        <v>0</v>
      </c>
      <c r="N39" s="633">
        <f>IF(INPUT_INCLUDEGASLINE="Yes",
        IF(OR(INDEX(Tbl_MeasureList[[Measure ID]:[Current ER (EE) High Measure Gas Fuel Savings (1,000 cu.ft. gas/year)]],
                                   MATCH(Tbl_BCROutputs_Gas[[#This Row],[Measure ID]:[Measure ID]],Tbl_MeasureList[Measure ID],0),
                                   MATCH(N$46,Tbl_MeasureList[#Headers],0))="Natural Gas",
                    INDEX(Tbl_MeasureList[[Measure ID]:[Current ER (EE) High Measure Gas Fuel Savings (1,000 cu.ft. gas/year)]],
                                   MATCH(Tbl_BCROutputs_Gas[[#This Row],[Measure ID]:[Measure ID]],Tbl_MeasureList[Measure ID],0),
                                   MATCH(N$45,Tbl_MeasureList[#Headers],0))="Natural Gas"),
             IF(Tbl_BCROutputs_Gas[[#This Row],[Savings Stream]]="EE",
                   INPUT_GASLINECOST,
                   0),
             "n/a"),
         "Off (see Inputs tab)")</f>
        <v>0</v>
      </c>
      <c r="O39" s="634">
        <f>IF(Tbl_BCROutputs_Gas[[#This Row],[Savings Stream]]="EE",
        IF(_xlfn.XOR(ISNUMBER(SEARCH("Boiler",Tbl_BCROutputs_Gas[[#This Row],[Baseline Name]])),ISNUMBER(SEARCH("Boiler",Tbl_BCROutputs_Gas[[#This Row],[Replacement Name]]))),INPUT_EQUIPMENTDISPOSALCOST,0),
        0)</f>
        <v>0</v>
      </c>
      <c r="P39" s="649">
        <f>IF(OR(Tbl_BCROutputs_Gas[[#This Row],[Replacement Type]]="Partial Displacement",Tbl_BCROutputs_Gas[[#This Row],[Savings Stream]]="EE"),
        INDEX(Tbl_MeasureList[[Measure ID]:[Current ER (EE) High Measure Gas Fuel Savings (1,000 cu.ft. gas/year)]],
                      MATCH(Tbl_BCROutputs_Gas[[#This Row],[Measure ID]],Tbl_MeasureList[[Measure ID]:[Measure ID]],0),
                      MATCH(P$45,Tbl_MeasureList[#Headers],0)),
        IF(Tbl_BCROutputs_Gas[[#This Row],[Savings Stream]]="Retire",
              0,
              0
            )
       )</f>
        <v>0</v>
      </c>
      <c r="Q39" s="650">
        <f>IF(Tbl_BCROutputs_Gas[[#This Row],[Total Cost New Equipment, not including deferred replacement (USD)]]="-","-",Tbl_BCROutputs_Gas[[#This Row],[Total Cost New Equipment, not including deferred replacement (USD)]]-Tbl_BCROutputs_Gas[[#This Row],[Deferred Replacement Credit (USD)]])</f>
        <v>0</v>
      </c>
      <c r="R39" s="651">
        <f>IF(Tbl_BCROutputs_Gas[[#This Row],[Replacement Type]]="Partial Replacement",
        -1*INDEX(Tbl_MeasureList[[Measure ID]:[Current ER (EE) High Measure Gas Fuel Savings (1,000 cu.ft. gas/year)]],
                             MATCH(Tbl_BCROutputs_Gas[[#This Row],[Measure ID]:[Measure ID]],Tbl_MeasureList[[Measure ID]:[Measure ID]],0),
                             MATCH(R$45,Tbl_MeasureList[#Headers],0))/10,
       IF(Tbl_BCROutputs_Gas[[#This Row],[Savings Stream]]="Retire",
                             -1*INDEX(Tbl_MeasureList[],MATCH(Tbl_BCROutputs_Gas[[#This Row],[Measure ID]:[Measure ID]],Tbl_MeasureList[[Measure ID]:[Measure ID]],0),MATCH(R$47,Tbl_MeasureList[#Headers],0))/10,
                             -1*INDEX(Tbl_MeasureList[],MATCH(Tbl_BCROutputs_Gas[[#This Row],[Measure ID]:[Measure ID]],Tbl_MeasureList[[Measure ID]:[Measure ID]],0),MATCH(R$46,Tbl_MeasureList[#Headers],0))/10
            ))</f>
        <v>0</v>
      </c>
      <c r="S39" s="652">
        <f>IF(Tbl_BCROutputs_Gas[[#This Row],[Replacement Type]]="Partial Displacement",
        INDEX(Tbl_MeasureList[[Measure ID]:[Current ER (EE) High Measure Gas Fuel Savings (1,000 cu.ft. gas/year)]],
                      MATCH(Tbl_BCROutputs_Gas[[#This Row],[Measure ID]:[Measure ID]],Tbl_MeasureList[[Measure ID]:[Measure ID]],0),
                      MATCH(S$47,Tbl_MeasureList[#Headers],0)),
       IF(Tbl_BCROutputs_Gas[[#This Row],[Savings Stream]]="Retire",
             INDEX(Tbl_MeasureList[],MATCH(Tbl_BCROutputs_Gas[[#This Row],[Measure ID]:[Measure ID]],Tbl_MeasureList[[Measure ID]:[Measure ID]],0),MATCH(S$46,Tbl_MeasureList[#Headers],0)),
             INDEX(Tbl_MeasureList[],MATCH(Tbl_BCROutputs_Gas[[#This Row],[Measure ID]:[Measure ID]],Tbl_MeasureList[[Measure ID]:[Measure ID]],0),MATCH(S$45,Tbl_MeasureList[#Headers],0))))</f>
        <v>6.2318335738313522</v>
      </c>
      <c r="T39" s="517">
        <f>IF(Tbl_BCROutputs_Gas[[#This Row],[Replacement Type]]="Partial Displacement",
        INDEX(Tbl_MeasureList[[Measure ID]:[Current ER (EE) High Measure Gas Fuel Savings (1,000 cu.ft. gas/year)]],
                      MATCH(Tbl_BCROutputs_Gas[[#This Row],[Measure ID]:[Measure ID]],Tbl_MeasureList[[Measure ID]:[Measure ID]],0),
                      MATCH(T$47,Tbl_MeasureList[#Headers],0)),
       IF(Tbl_BCROutputs_Gas[[#This Row],[Savings Stream]]="Retire",
             INDEX(Tbl_MeasureList[],MATCH(Tbl_BCROutputs_Gas[[#This Row],[Measure ID]:[Measure ID]],Tbl_MeasureList[[Measure ID]:[Measure ID]],0),MATCH(T$46,Tbl_MeasureList[#Headers],0)),
             INDEX(Tbl_MeasureList[],MATCH(Tbl_BCROutputs_Gas[[#This Row],[Measure ID]:[Measure ID]],Tbl_MeasureList[[Measure ID]:[Measure ID]],0),MATCH(T$45,Tbl_MeasureList[#Headers],0))))</f>
        <v>6.2214269738313419</v>
      </c>
      <c r="U39" s="397">
        <f>IF(Tbl_BCROutputs_Gas[[#This Row],[Replacement Type]]="Partial Displacement",
        INDEX(Tbl_MeasureList[[Measure ID]:[Current ER (EE) High Measure Gas Fuel Savings (1,000 cu.ft. gas/year)]],
                      MATCH(Tbl_BCROutputs_Gas[[#This Row],[Measure ID]:[Measure ID]],Tbl_MeasureList[[Measure ID]:[Measure ID]],0),
                      MATCH(U$47,Tbl_MeasureList[#Headers],0)),
       IF(Tbl_BCROutputs_Gas[[#This Row],[Savings Stream]]="Retire",
             INDEX(Tbl_MeasureList[],MATCH(Tbl_BCROutputs_Gas[[#This Row],[Measure ID]:[Measure ID]],Tbl_MeasureList[[Measure ID]:[Measure ID]],0),MATCH(U$46,Tbl_MeasureList[#Headers],0)),
             INDEX(Tbl_MeasureList[],MATCH(Tbl_BCROutputs_Gas[[#This Row],[Measure ID]:[Measure ID]],Tbl_MeasureList[[Measure ID]:[Measure ID]],0),MATCH(U$45,Tbl_MeasureList[#Headers],0))))</f>
        <v>0</v>
      </c>
      <c r="V39" s="639">
        <f>IF(OR(Tbl_BCROutputs_Gas[[#This Row],[Replacement Type]]="Partial Displacement",Tbl_BCROutputs_Gas[[#This Row],[Savings Stream]]="EE"),
        INDEX(Tbl_MeasureList[[Measure ID]:[Current ER (EE) High Measure Gas Fuel Savings (1,000 cu.ft. gas/year)]],
                      MATCH(Tbl_BCROutputs_Gas[[#This Row],[Measure ID]:[Measure ID]],Tbl_MeasureList[[Measure ID]:[Measure ID]],0),
                      MATCH(Tbl_BCROutputs_Gas[[#Headers],[Fuel Switch Propane Annual Consumption Savings (MMBtu/yr)]],Tbl_MeasureList[#Headers],0)),
      0)</f>
        <v>0</v>
      </c>
      <c r="W39" s="639">
        <f>IF(OR(Tbl_BCROutputs_Gas[[#This Row],[Replacement Type]]="Partial Displacement",Tbl_BCROutputs_Gas[[#This Row],[Savings Stream]]="EE"),
        INDEX(Tbl_MeasureList[[Measure ID]:[Current ER (EE) High Measure Gas Fuel Savings (1,000 cu.ft. gas/year)]],
                      MATCH(Tbl_BCROutputs_Gas[[#This Row],[Measure ID]:[Measure ID]],Tbl_MeasureList[[Measure ID]:[Measure ID]],0),
                      MATCH(Tbl_BCROutputs_Gas[[#Headers],[Fuel Switch Oil Annual Consumption Savings (MMBtu/yr)]],Tbl_MeasureList[#Headers],0)),
       0)</f>
        <v>0</v>
      </c>
      <c r="Y39" s="653"/>
    </row>
    <row r="40" spans="2:25" s="581" customFormat="1" ht="10.5" customHeight="1" x14ac:dyDescent="0.2">
      <c r="B40" s="582"/>
      <c r="C40" s="583" t="s">
        <v>101</v>
      </c>
      <c r="D40" s="583" t="s">
        <v>1216</v>
      </c>
      <c r="E40" s="83" t="str">
        <f>INDEX(Tbl_MeasureList[],MATCH(Tbl_BCROutputs_Gas[[#This Row],[Measure ID]],Tbl_MeasureList[[Measure ID]:[Measure ID]],0),MATCH(Tbl_BCROutputs_Gas[[#Headers],[Replacement ID]],Tbl_MeasureList[#Headers],0))</f>
        <v>EQUI022</v>
      </c>
      <c r="F40" s="83" t="str">
        <f>INDEX(Tbl_MeasureList[[Measure ID]:[Current ER (EE) High Measure Gas Fuel Savings (1,000 cu.ft. gas/year)]],
               MATCH(Tbl_BCROutputs_Gas[[#This Row],[Measure ID]:[Measure ID]],Tbl_MeasureList[[Measure ID]:[Measure ID]],0),
               MATCH(F$31,Tbl_MeasureList[#Headers],0))</f>
        <v>Propane Combination Boiler</v>
      </c>
      <c r="G40" s="83" t="str">
        <f>INDEX(Tbl_MeasureList[[Measure ID]:[Current ER (EE) High Measure Gas Fuel Savings (1,000 cu.ft. gas/year)]],
               MATCH(Tbl_BCROutputs_Gas[[#This Row],[Measure ID]:[Measure ID]],Tbl_MeasureList[[Measure ID]:[Measure ID]],0),
               MATCH(G$31,Tbl_MeasureList[#Headers],0))</f>
        <v>Gas Combination Boiler</v>
      </c>
      <c r="H40" s="83" t="str">
        <f>INDEX(Tbl_MeasureList[Replacement Fuel 1],MATCH(Tbl_BCROutputs_Gas[[#This Row],[Measure ID]],Tbl_MeasureList[Measure ID],0))&amp;
  IF(INDEX(Tbl_MeasureList[Replacement Fuel 2],MATCH(Tbl_BCROutputs_Gas[[#This Row],[Measure ID]],Tbl_MeasureList[Measure ID],0))&lt;&gt;"-",
       "+"&amp;INDEX(Tbl_MeasureList[Replacement Fuel 2],MATCH(Tbl_BCROutputs_Gas[[#This Row],[Measure ID]],Tbl_MeasureList[Measure ID],0)),"")</f>
        <v>Natural Gas</v>
      </c>
      <c r="I40" s="629" t="str">
        <f>IF(Tbl_BCROutputs_Gas[[#This Row],[Replacement Fuel]]="Natural Gas",INDEX(Tbl_EquipmentDefinitions[Natural Gas High Measure Efficiency],MATCH(Tbl_BCROutputs_Gas[[#This Row],[Replacement ID]],Tbl_EquipmentDefinitions[Equipment ID],0)),
  IF(Tbl_BCROutputs_Gas[[#This Row],[Replacement Fuel]]="Electric",INDEX(Tbl_EquipmentDefinitions[Electricity High Measure Efficiency],MATCH(Tbl_BCROutputs_Gas[[#This Row],[Replacement ID]],Tbl_EquipmentDefinitions[Equipment ID],0)),
  IF(Tbl_BCROutputs_Gas[[#This Row],[Replacement Fuel]]="Electric+Oil",
        INDEX(Tbl_EquipmentDefinitions[Electricity High Measure Efficiency],MATCH(Tbl_BCROutputs_Gas[[#This Row],[Replacement ID]],Tbl_EquipmentDefinitions[Equipment ID],0))&amp;CHAR(10)&amp;
        INDEX(Tbl_EquipmentDefinitions[Oil Baseline Efficiency],MATCH(Tbl_BCROutputs_Gas[[#This Row],[Replacement ID]],Tbl_EquipmentDefinitions[Equipment ID],0)),
  IF(Tbl_BCROutputs_Gas[[#This Row],[Replacement Fuel]]="Electric+Propane",
        INDEX(Tbl_EquipmentDefinitions[Electricity High Measure Efficiency],MATCH(Tbl_BCROutputs_Gas[[#This Row],[Replacement ID]],Tbl_EquipmentDefinitions[Equipment ID],0))&amp;CHAR(10)&amp;
        INDEX(Tbl_EquipmentDefinitions[Propane Baseline Efficiency],MATCH(Tbl_BCROutputs_Gas[[#This Row],[Replacement ID]],Tbl_EquipmentDefinitions[Equipment ID],0)),
  IF(Tbl_BCROutputs_Gas[[#This Row],[Replacement Fuel]]="Electric+Electric",INDEX(Tbl_EquipmentDefinitions[Electricity High Measure Efficiency],MATCH(Tbl_BCROutputs_Gas[[#This Row],[Replacement ID]],Tbl_EquipmentDefinitions[Equipment ID],0)),
)))))</f>
        <v>95% AFUE</v>
      </c>
      <c r="J40" s="83" t="str">
        <f>INDEX(Tbl_MeasureList[[Measure ID]:[Current ER (EE) High Measure Gas Fuel Savings (1,000 cu.ft. gas/year)]],
               MATCH(Tbl_BCROutputs_Gas[[#This Row],[Measure ID]:[Measure ID]],Tbl_MeasureList[[Measure ID]:[Measure ID]],0),
               MATCH(J$31,Tbl_MeasureList[#Headers],0))</f>
        <v>No</v>
      </c>
      <c r="K40" s="630" t="str">
        <f>IF(Tbl_BCROutputs_Gas[[#This Row],[Keep Existing Heating Equipment?]]="Yes","Partial Displacement","Full Replacement")</f>
        <v>Full Replacement</v>
      </c>
      <c r="L40" s="647">
        <f>IF(Tbl_BCROutputs_Gas[[#This Row],[Replacement Type]]="Partial Displacement",
        INDEX(Tbl_EquipmentDefinitions[New Unit Equipment Life (years)],
                       MATCH(INDEX(Tbl_MeasureList[[Measure ID]:[Current ER (EE) High Measure Gas Fuel Savings (1,000 cu.ft. gas/year)]],
                                                      MATCH(Tbl_BCROutputs_Gas[[#This Row],[Measure ID]:[Measure ID]],Tbl_MeasureList[Measure ID],0),
                                                      MATCH(L$45,Tbl_MeasureList[#Headers],0)),
                                        Tbl_EquipmentDefinitions[Equipment ID],
                                        0)),
        IF(Tbl_BCROutputs_Gas[[#This Row],[Savings Stream]]="Retire",
             INDEX(Tbl_MeasureList[],MATCH(Tbl_BCROutputs_Gas[[#This Row],[Measure ID]],Tbl_MeasureList[[Measure ID]:[Measure ID]],0),MATCH($L$47,Tbl_MeasureList[#Headers],0)),
             INDEX(Tbl_MeasureList[],MATCH(Tbl_BCROutputs_Gas[[#This Row],[Measure ID]],Tbl_MeasureList[[Measure ID]:[Measure ID]],0),MATCH($L$46,Tbl_MeasureList[#Headers],0)))
        )</f>
        <v>19</v>
      </c>
      <c r="M40" s="648">
        <f>IF(Tbl_BCROutputs_Gas[[#This Row],[Savings Stream]]="Retire",0,
          INDEX(Tbl_MeasureList[[Measure ID]:[Current ER (EE) High Measure Gas Fuel Savings (1,000 cu.ft. gas/year)]],
                 MATCH(Tbl_BCROutputs_Gas[[#This Row],[Measure ID]:[Measure ID]],Tbl_MeasureList[[Measure ID]:[Measure ID]],0),
                 MATCH(M$45,Tbl_MeasureList[#Headers],0)))</f>
        <v>6218.0497230298324</v>
      </c>
      <c r="N40" s="633">
        <f>IF(INPUT_INCLUDEGASLINE="Yes",
        IF(OR(INDEX(Tbl_MeasureList[[Measure ID]:[Current ER (EE) High Measure Gas Fuel Savings (1,000 cu.ft. gas/year)]],
                                   MATCH(Tbl_BCROutputs_Gas[[#This Row],[Measure ID]:[Measure ID]],Tbl_MeasureList[Measure ID],0),
                                   MATCH(N$46,Tbl_MeasureList[#Headers],0))="Natural Gas",
                    INDEX(Tbl_MeasureList[[Measure ID]:[Current ER (EE) High Measure Gas Fuel Savings (1,000 cu.ft. gas/year)]],
                                   MATCH(Tbl_BCROutputs_Gas[[#This Row],[Measure ID]:[Measure ID]],Tbl_MeasureList[Measure ID],0),
                                   MATCH(N$45,Tbl_MeasureList[#Headers],0))="Natural Gas"),
             IF(Tbl_BCROutputs_Gas[[#This Row],[Savings Stream]]="EE",
                   INPUT_GASLINECOST,
                   0),
             "n/a"),
         "Off (see Inputs tab)")</f>
        <v>5600</v>
      </c>
      <c r="O40" s="634">
        <f>IF(Tbl_BCROutputs_Gas[[#This Row],[Savings Stream]]="EE",
        IF(_xlfn.XOR(ISNUMBER(SEARCH("Boiler",Tbl_BCROutputs_Gas[[#This Row],[Baseline Name]])),ISNUMBER(SEARCH("Boiler",Tbl_BCROutputs_Gas[[#This Row],[Replacement Name]]))),INPUT_EQUIPMENTDISPOSALCOST,0),
        0)</f>
        <v>0</v>
      </c>
      <c r="P40" s="649">
        <f ca="1">IF(OR(Tbl_BCROutputs_Gas[[#This Row],[Replacement Type]]="Partial Displacement",Tbl_BCROutputs_Gas[[#This Row],[Savings Stream]]="EE"),
        INDEX(Tbl_MeasureList[[Measure ID]:[Current ER (EE) High Measure Gas Fuel Savings (1,000 cu.ft. gas/year)]],
                      MATCH(Tbl_BCROutputs_Gas[[#This Row],[Measure ID]],Tbl_MeasureList[[Measure ID]:[Measure ID]],0),
                      MATCH(P$45,Tbl_MeasureList[#Headers],0)),
        IF(Tbl_BCROutputs_Gas[[#This Row],[Savings Stream]]="Retire",
              0,
              0
            )
       )</f>
        <v>16130</v>
      </c>
      <c r="Q40" s="650">
        <f ca="1">IF(Tbl_BCROutputs_Gas[[#This Row],[Total Cost New Equipment, not including deferred replacement (USD)]]="-","-",Tbl_BCROutputs_Gas[[#This Row],[Total Cost New Equipment, not including deferred replacement (USD)]]-Tbl_BCROutputs_Gas[[#This Row],[Deferred Replacement Credit (USD)]])</f>
        <v>9911.9502769701685</v>
      </c>
      <c r="R40" s="651">
        <f ca="1">IF(Tbl_BCROutputs_Gas[[#This Row],[Replacement Type]]="Partial Replacement",
        -1*INDEX(Tbl_MeasureList[[Measure ID]:[Current ER (EE) High Measure Gas Fuel Savings (1,000 cu.ft. gas/year)]],
                             MATCH(Tbl_BCROutputs_Gas[[#This Row],[Measure ID]:[Measure ID]],Tbl_MeasureList[[Measure ID]:[Measure ID]],0),
                             MATCH(R$45,Tbl_MeasureList[#Headers],0))/10,
       IF(Tbl_BCROutputs_Gas[[#This Row],[Savings Stream]]="Retire",
                             -1*INDEX(Tbl_MeasureList[],MATCH(Tbl_BCROutputs_Gas[[#This Row],[Measure ID]:[Measure ID]],Tbl_MeasureList[[Measure ID]:[Measure ID]],0),MATCH(R$47,Tbl_MeasureList[#Headers],0))/10,
                             -1*INDEX(Tbl_MeasureList[],MATCH(Tbl_BCROutputs_Gas[[#This Row],[Measure ID]:[Measure ID]],Tbl_MeasureList[[Measure ID]:[Measure ID]],0),MATCH(R$46,Tbl_MeasureList[#Headers],0))/10
            ))</f>
        <v>77.291578947368436</v>
      </c>
      <c r="S40" s="652">
        <f ca="1">IF(Tbl_BCROutputs_Gas[[#This Row],[Replacement Type]]="Partial Displacement",
        INDEX(Tbl_MeasureList[[Measure ID]:[Current ER (EE) High Measure Gas Fuel Savings (1,000 cu.ft. gas/year)]],
                      MATCH(Tbl_BCROutputs_Gas[[#This Row],[Measure ID]:[Measure ID]],Tbl_MeasureList[[Measure ID]:[Measure ID]],0),
                      MATCH(S$47,Tbl_MeasureList[#Headers],0)),
       IF(Tbl_BCROutputs_Gas[[#This Row],[Savings Stream]]="Retire",
             INDEX(Tbl_MeasureList[],MATCH(Tbl_BCROutputs_Gas[[#This Row],[Measure ID]:[Measure ID]],Tbl_MeasureList[[Measure ID]:[Measure ID]],0),MATCH(S$46,Tbl_MeasureList[#Headers],0)),
             INDEX(Tbl_MeasureList[],MATCH(Tbl_BCROutputs_Gas[[#This Row],[Measure ID]:[Measure ID]],Tbl_MeasureList[[Measure ID]:[Measure ID]],0),MATCH(S$45,Tbl_MeasureList[#Headers],0))))</f>
        <v>3.9015966081871198</v>
      </c>
      <c r="T40" s="517">
        <f ca="1">IF(Tbl_BCROutputs_Gas[[#This Row],[Replacement Type]]="Partial Displacement",
        INDEX(Tbl_MeasureList[[Measure ID]:[Current ER (EE) High Measure Gas Fuel Savings (1,000 cu.ft. gas/year)]],
                      MATCH(Tbl_BCROutputs_Gas[[#This Row],[Measure ID]:[Measure ID]],Tbl_MeasureList[[Measure ID]:[Measure ID]],0),
                      MATCH(T$47,Tbl_MeasureList[#Headers],0)),
       IF(Tbl_BCROutputs_Gas[[#This Row],[Savings Stream]]="Retire",
             INDEX(Tbl_MeasureList[],MATCH(Tbl_BCROutputs_Gas[[#This Row],[Measure ID]:[Measure ID]],Tbl_MeasureList[[Measure ID]:[Measure ID]],0),MATCH(T$46,Tbl_MeasureList[#Headers],0)),
             INDEX(Tbl_MeasureList[],MATCH(Tbl_BCROutputs_Gas[[#This Row],[Measure ID]:[Measure ID]],Tbl_MeasureList[[Measure ID]:[Measure ID]],0),MATCH(T$45,Tbl_MeasureList[#Headers],0))))</f>
        <v>81.585555555555558</v>
      </c>
      <c r="U40" s="397">
        <f ca="1">IF(Tbl_BCROutputs_Gas[[#This Row],[Replacement Type]]="Partial Displacement",
        INDEX(Tbl_MeasureList[[Measure ID]:[Current ER (EE) High Measure Gas Fuel Savings (1,000 cu.ft. gas/year)]],
                      MATCH(Tbl_BCROutputs_Gas[[#This Row],[Measure ID]:[Measure ID]],Tbl_MeasureList[[Measure ID]:[Measure ID]],0),
                      MATCH(U$47,Tbl_MeasureList[#Headers],0)),
       IF(Tbl_BCROutputs_Gas[[#This Row],[Savings Stream]]="Retire",
             INDEX(Tbl_MeasureList[],MATCH(Tbl_BCROutputs_Gas[[#This Row],[Measure ID]:[Measure ID]],Tbl_MeasureList[[Measure ID]:[Measure ID]],0),MATCH(U$46,Tbl_MeasureList[#Headers],0)),
             INDEX(Tbl_MeasureList[],MATCH(Tbl_BCROutputs_Gas[[#This Row],[Measure ID]:[Measure ID]],Tbl_MeasureList[[Measure ID]:[Measure ID]],0),MATCH(U$45,Tbl_MeasureList[#Headers],0))))</f>
        <v>0</v>
      </c>
      <c r="V40" s="639">
        <f ca="1">IF(OR(Tbl_BCROutputs_Gas[[#This Row],[Replacement Type]]="Partial Displacement",Tbl_BCROutputs_Gas[[#This Row],[Savings Stream]]="EE"),
        INDEX(Tbl_MeasureList[[Measure ID]:[Current ER (EE) High Measure Gas Fuel Savings (1,000 cu.ft. gas/year)]],
                      MATCH(Tbl_BCROutputs_Gas[[#This Row],[Measure ID]:[Measure ID]],Tbl_MeasureList[[Measure ID]:[Measure ID]],0),
                      MATCH(Tbl_BCROutputs_Gas[[#Headers],[Fuel Switch Propane Annual Consumption Savings (MMBtu/yr)]],Tbl_MeasureList[#Headers],0)),
      0)</f>
        <v>81.585555555555558</v>
      </c>
      <c r="W40" s="639">
        <f ca="1">IF(OR(Tbl_BCROutputs_Gas[[#This Row],[Replacement Type]]="Partial Displacement",Tbl_BCROutputs_Gas[[#This Row],[Savings Stream]]="EE"),
        INDEX(Tbl_MeasureList[[Measure ID]:[Current ER (EE) High Measure Gas Fuel Savings (1,000 cu.ft. gas/year)]],
                      MATCH(Tbl_BCROutputs_Gas[[#This Row],[Measure ID]:[Measure ID]],Tbl_MeasureList[[Measure ID]:[Measure ID]],0),
                      MATCH(Tbl_BCROutputs_Gas[[#Headers],[Fuel Switch Oil Annual Consumption Savings (MMBtu/yr)]],Tbl_MeasureList[#Headers],0)),
       0)</f>
        <v>0</v>
      </c>
      <c r="Y40" s="653"/>
    </row>
    <row r="41" spans="2:25" s="581" customFormat="1" ht="10.5" customHeight="1" x14ac:dyDescent="0.2">
      <c r="B41" s="582"/>
      <c r="C41" s="583" t="s">
        <v>101</v>
      </c>
      <c r="D41" s="583" t="s">
        <v>1218</v>
      </c>
      <c r="E41" s="83" t="str">
        <f>INDEX(Tbl_MeasureList[],MATCH(Tbl_BCROutputs_Gas[[#This Row],[Measure ID]],Tbl_MeasureList[[Measure ID]:[Measure ID]],0),MATCH(Tbl_BCROutputs_Gas[[#Headers],[Replacement ID]],Tbl_MeasureList[#Headers],0))</f>
        <v>EQUI022</v>
      </c>
      <c r="F41" s="83" t="str">
        <f>INDEX(Tbl_MeasureList[[Measure ID]:[Current ER (EE) High Measure Gas Fuel Savings (1,000 cu.ft. gas/year)]],
               MATCH(Tbl_BCROutputs_Gas[[#This Row],[Measure ID]:[Measure ID]],Tbl_MeasureList[[Measure ID]:[Measure ID]],0),
               MATCH(F$31,Tbl_MeasureList[#Headers],0))</f>
        <v>Propane Combination Boiler</v>
      </c>
      <c r="G41" s="83" t="str">
        <f>INDEX(Tbl_MeasureList[[Measure ID]:[Current ER (EE) High Measure Gas Fuel Savings (1,000 cu.ft. gas/year)]],
               MATCH(Tbl_BCROutputs_Gas[[#This Row],[Measure ID]:[Measure ID]],Tbl_MeasureList[[Measure ID]:[Measure ID]],0),
               MATCH(G$31,Tbl_MeasureList[#Headers],0))</f>
        <v>Gas Combination Boiler</v>
      </c>
      <c r="H41" s="83" t="str">
        <f>INDEX(Tbl_MeasureList[Replacement Fuel 1],MATCH(Tbl_BCROutputs_Gas[[#This Row],[Measure ID]],Tbl_MeasureList[Measure ID],0))&amp;
  IF(INDEX(Tbl_MeasureList[Replacement Fuel 2],MATCH(Tbl_BCROutputs_Gas[[#This Row],[Measure ID]],Tbl_MeasureList[Measure ID],0))&lt;&gt;"-",
       "+"&amp;INDEX(Tbl_MeasureList[Replacement Fuel 2],MATCH(Tbl_BCROutputs_Gas[[#This Row],[Measure ID]],Tbl_MeasureList[Measure ID],0)),"")</f>
        <v>Natural Gas</v>
      </c>
      <c r="I41" s="629" t="str">
        <f>IF(Tbl_BCROutputs_Gas[[#This Row],[Replacement Fuel]]="Natural Gas",INDEX(Tbl_EquipmentDefinitions[Natural Gas High Measure Efficiency],MATCH(Tbl_BCROutputs_Gas[[#This Row],[Replacement ID]],Tbl_EquipmentDefinitions[Equipment ID],0)),
  IF(Tbl_BCROutputs_Gas[[#This Row],[Replacement Fuel]]="Electric",INDEX(Tbl_EquipmentDefinitions[Electricity High Measure Efficiency],MATCH(Tbl_BCROutputs_Gas[[#This Row],[Replacement ID]],Tbl_EquipmentDefinitions[Equipment ID],0)),
  IF(Tbl_BCROutputs_Gas[[#This Row],[Replacement Fuel]]="Electric+Oil",
        INDEX(Tbl_EquipmentDefinitions[Electricity High Measure Efficiency],MATCH(Tbl_BCROutputs_Gas[[#This Row],[Replacement ID]],Tbl_EquipmentDefinitions[Equipment ID],0))&amp;CHAR(10)&amp;
        INDEX(Tbl_EquipmentDefinitions[Oil Baseline Efficiency],MATCH(Tbl_BCROutputs_Gas[[#This Row],[Replacement ID]],Tbl_EquipmentDefinitions[Equipment ID],0)),
  IF(Tbl_BCROutputs_Gas[[#This Row],[Replacement Fuel]]="Electric+Propane",
        INDEX(Tbl_EquipmentDefinitions[Electricity High Measure Efficiency],MATCH(Tbl_BCROutputs_Gas[[#This Row],[Replacement ID]],Tbl_EquipmentDefinitions[Equipment ID],0))&amp;CHAR(10)&amp;
        INDEX(Tbl_EquipmentDefinitions[Propane Baseline Efficiency],MATCH(Tbl_BCROutputs_Gas[[#This Row],[Replacement ID]],Tbl_EquipmentDefinitions[Equipment ID],0)),
  IF(Tbl_BCROutputs_Gas[[#This Row],[Replacement Fuel]]="Electric+Electric",INDEX(Tbl_EquipmentDefinitions[Electricity High Measure Efficiency],MATCH(Tbl_BCROutputs_Gas[[#This Row],[Replacement ID]],Tbl_EquipmentDefinitions[Equipment ID],0)),
)))))</f>
        <v>95% AFUE</v>
      </c>
      <c r="J41" s="83" t="str">
        <f>INDEX(Tbl_MeasureList[[Measure ID]:[Current ER (EE) High Measure Gas Fuel Savings (1,000 cu.ft. gas/year)]],
               MATCH(Tbl_BCROutputs_Gas[[#This Row],[Measure ID]:[Measure ID]],Tbl_MeasureList[[Measure ID]:[Measure ID]],0),
               MATCH(J$31,Tbl_MeasureList[#Headers],0))</f>
        <v>No</v>
      </c>
      <c r="K41" s="630" t="str">
        <f>IF(Tbl_BCROutputs_Gas[[#This Row],[Keep Existing Heating Equipment?]]="Yes","Partial Displacement","Full Replacement")</f>
        <v>Full Replacement</v>
      </c>
      <c r="L41" s="647">
        <f>IF(Tbl_BCROutputs_Gas[[#This Row],[Replacement Type]]="Partial Displacement",
        INDEX(Tbl_EquipmentDefinitions[New Unit Equipment Life (years)],
                       MATCH(INDEX(Tbl_MeasureList[[Measure ID]:[Current ER (EE) High Measure Gas Fuel Savings (1,000 cu.ft. gas/year)]],
                                                      MATCH(Tbl_BCROutputs_Gas[[#This Row],[Measure ID]:[Measure ID]],Tbl_MeasureList[Measure ID],0),
                                                      MATCH(L$45,Tbl_MeasureList[#Headers],0)),
                                        Tbl_EquipmentDefinitions[Equipment ID],
                                        0)),
        IF(Tbl_BCROutputs_Gas[[#This Row],[Savings Stream]]="Retire",
             INDEX(Tbl_MeasureList[],MATCH(Tbl_BCROutputs_Gas[[#This Row],[Measure ID]],Tbl_MeasureList[[Measure ID]:[Measure ID]],0),MATCH($L$47,Tbl_MeasureList[#Headers],0)),
             INDEX(Tbl_MeasureList[],MATCH(Tbl_BCROutputs_Gas[[#This Row],[Measure ID]],Tbl_MeasureList[[Measure ID]:[Measure ID]],0),MATCH($L$46,Tbl_MeasureList[#Headers],0)))
        )</f>
        <v>7</v>
      </c>
      <c r="M41" s="648">
        <f>IF(Tbl_BCROutputs_Gas[[#This Row],[Savings Stream]]="Retire",0,
          INDEX(Tbl_MeasureList[[Measure ID]:[Current ER (EE) High Measure Gas Fuel Savings (1,000 cu.ft. gas/year)]],
                 MATCH(Tbl_BCROutputs_Gas[[#This Row],[Measure ID]:[Measure ID]],Tbl_MeasureList[[Measure ID]:[Measure ID]],0),
                 MATCH(M$45,Tbl_MeasureList[#Headers],0)))</f>
        <v>0</v>
      </c>
      <c r="N41" s="633">
        <f>IF(INPUT_INCLUDEGASLINE="Yes",
        IF(OR(INDEX(Tbl_MeasureList[[Measure ID]:[Current ER (EE) High Measure Gas Fuel Savings (1,000 cu.ft. gas/year)]],
                                   MATCH(Tbl_BCROutputs_Gas[[#This Row],[Measure ID]:[Measure ID]],Tbl_MeasureList[Measure ID],0),
                                   MATCH(N$46,Tbl_MeasureList[#Headers],0))="Natural Gas",
                    INDEX(Tbl_MeasureList[[Measure ID]:[Current ER (EE) High Measure Gas Fuel Savings (1,000 cu.ft. gas/year)]],
                                   MATCH(Tbl_BCROutputs_Gas[[#This Row],[Measure ID]:[Measure ID]],Tbl_MeasureList[Measure ID],0),
                                   MATCH(N$45,Tbl_MeasureList[#Headers],0))="Natural Gas"),
             IF(Tbl_BCROutputs_Gas[[#This Row],[Savings Stream]]="EE",
                   INPUT_GASLINECOST,
                   0),
             "n/a"),
         "Off (see Inputs tab)")</f>
        <v>0</v>
      </c>
      <c r="O41" s="634">
        <f>IF(Tbl_BCROutputs_Gas[[#This Row],[Savings Stream]]="EE",
        IF(_xlfn.XOR(ISNUMBER(SEARCH("Boiler",Tbl_BCROutputs_Gas[[#This Row],[Baseline Name]])),ISNUMBER(SEARCH("Boiler",Tbl_BCROutputs_Gas[[#This Row],[Replacement Name]]))),INPUT_EQUIPMENTDISPOSALCOST,0),
        0)</f>
        <v>0</v>
      </c>
      <c r="P41" s="649">
        <f>IF(OR(Tbl_BCROutputs_Gas[[#This Row],[Replacement Type]]="Partial Displacement",Tbl_BCROutputs_Gas[[#This Row],[Savings Stream]]="EE"),
        INDEX(Tbl_MeasureList[[Measure ID]:[Current ER (EE) High Measure Gas Fuel Savings (1,000 cu.ft. gas/year)]],
                      MATCH(Tbl_BCROutputs_Gas[[#This Row],[Measure ID]],Tbl_MeasureList[[Measure ID]:[Measure ID]],0),
                      MATCH(P$45,Tbl_MeasureList[#Headers],0)),
        IF(Tbl_BCROutputs_Gas[[#This Row],[Savings Stream]]="Retire",
              0,
              0
            )
       )</f>
        <v>0</v>
      </c>
      <c r="Q41" s="650">
        <f>IF(Tbl_BCROutputs_Gas[[#This Row],[Total Cost New Equipment, not including deferred replacement (USD)]]="-","-",Tbl_BCROutputs_Gas[[#This Row],[Total Cost New Equipment, not including deferred replacement (USD)]]-Tbl_BCROutputs_Gas[[#This Row],[Deferred Replacement Credit (USD)]])</f>
        <v>0</v>
      </c>
      <c r="R41" s="651">
        <f>IF(Tbl_BCROutputs_Gas[[#This Row],[Replacement Type]]="Partial Replacement",
        -1*INDEX(Tbl_MeasureList[[Measure ID]:[Current ER (EE) High Measure Gas Fuel Savings (1,000 cu.ft. gas/year)]],
                             MATCH(Tbl_BCROutputs_Gas[[#This Row],[Measure ID]:[Measure ID]],Tbl_MeasureList[[Measure ID]:[Measure ID]],0),
                             MATCH(R$45,Tbl_MeasureList[#Headers],0))/10,
       IF(Tbl_BCROutputs_Gas[[#This Row],[Savings Stream]]="Retire",
                             -1*INDEX(Tbl_MeasureList[],MATCH(Tbl_BCROutputs_Gas[[#This Row],[Measure ID]:[Measure ID]],Tbl_MeasureList[[Measure ID]:[Measure ID]],0),MATCH(R$47,Tbl_MeasureList[#Headers],0))/10,
                             -1*INDEX(Tbl_MeasureList[],MATCH(Tbl_BCROutputs_Gas[[#This Row],[Measure ID]:[Measure ID]],Tbl_MeasureList[[Measure ID]:[Measure ID]],0),MATCH(R$46,Tbl_MeasureList[#Headers],0))/10
            ))</f>
        <v>0</v>
      </c>
      <c r="S41" s="652">
        <f>IF(Tbl_BCROutputs_Gas[[#This Row],[Replacement Type]]="Partial Displacement",
        INDEX(Tbl_MeasureList[[Measure ID]:[Current ER (EE) High Measure Gas Fuel Savings (1,000 cu.ft. gas/year)]],
                      MATCH(Tbl_BCROutputs_Gas[[#This Row],[Measure ID]:[Measure ID]],Tbl_MeasureList[[Measure ID]:[Measure ID]],0),
                      MATCH(S$47,Tbl_MeasureList[#Headers],0)),
       IF(Tbl_BCROutputs_Gas[[#This Row],[Savings Stream]]="Retire",
             INDEX(Tbl_MeasureList[],MATCH(Tbl_BCROutputs_Gas[[#This Row],[Measure ID]:[Measure ID]],Tbl_MeasureList[[Measure ID]:[Measure ID]],0),MATCH(S$46,Tbl_MeasureList[#Headers],0)),
             INDEX(Tbl_MeasureList[],MATCH(Tbl_BCROutputs_Gas[[#This Row],[Measure ID]:[Measure ID]],Tbl_MeasureList[[Measure ID]:[Measure ID]],0),MATCH(S$45,Tbl_MeasureList[#Headers],0))))</f>
        <v>13.281369509043927</v>
      </c>
      <c r="T41" s="517">
        <f>IF(Tbl_BCROutputs_Gas[[#This Row],[Replacement Type]]="Partial Displacement",
        INDEX(Tbl_MeasureList[[Measure ID]:[Current ER (EE) High Measure Gas Fuel Savings (1,000 cu.ft. gas/year)]],
                      MATCH(Tbl_BCROutputs_Gas[[#This Row],[Measure ID]:[Measure ID]],Tbl_MeasureList[[Measure ID]:[Measure ID]],0),
                      MATCH(T$47,Tbl_MeasureList[#Headers],0)),
       IF(Tbl_BCROutputs_Gas[[#This Row],[Savings Stream]]="Retire",
             INDEX(Tbl_MeasureList[],MATCH(Tbl_BCROutputs_Gas[[#This Row],[Measure ID]:[Measure ID]],Tbl_MeasureList[[Measure ID]:[Measure ID]],0),MATCH(T$46,Tbl_MeasureList[#Headers],0)),
             INDEX(Tbl_MeasureList[],MATCH(Tbl_BCROutputs_Gas[[#This Row],[Measure ID]:[Measure ID]],Tbl_MeasureList[[Measure ID]:[Measure ID]],0),MATCH(T$45,Tbl_MeasureList[#Headers],0))))</f>
        <v>13.281369509043927</v>
      </c>
      <c r="U41" s="397">
        <f>IF(Tbl_BCROutputs_Gas[[#This Row],[Replacement Type]]="Partial Displacement",
        INDEX(Tbl_MeasureList[[Measure ID]:[Current ER (EE) High Measure Gas Fuel Savings (1,000 cu.ft. gas/year)]],
                      MATCH(Tbl_BCROutputs_Gas[[#This Row],[Measure ID]:[Measure ID]],Tbl_MeasureList[[Measure ID]:[Measure ID]],0),
                      MATCH(U$47,Tbl_MeasureList[#Headers],0)),
       IF(Tbl_BCROutputs_Gas[[#This Row],[Savings Stream]]="Retire",
             INDEX(Tbl_MeasureList[],MATCH(Tbl_BCROutputs_Gas[[#This Row],[Measure ID]:[Measure ID]],Tbl_MeasureList[[Measure ID]:[Measure ID]],0),MATCH(U$46,Tbl_MeasureList[#Headers],0)),
             INDEX(Tbl_MeasureList[],MATCH(Tbl_BCROutputs_Gas[[#This Row],[Measure ID]:[Measure ID]],Tbl_MeasureList[[Measure ID]:[Measure ID]],0),MATCH(U$45,Tbl_MeasureList[#Headers],0))))</f>
        <v>0</v>
      </c>
      <c r="V41" s="639">
        <f>IF(OR(Tbl_BCROutputs_Gas[[#This Row],[Replacement Type]]="Partial Displacement",Tbl_BCROutputs_Gas[[#This Row],[Savings Stream]]="EE"),
        INDEX(Tbl_MeasureList[[Measure ID]:[Current ER (EE) High Measure Gas Fuel Savings (1,000 cu.ft. gas/year)]],
                      MATCH(Tbl_BCROutputs_Gas[[#This Row],[Measure ID]:[Measure ID]],Tbl_MeasureList[[Measure ID]:[Measure ID]],0),
                      MATCH(Tbl_BCROutputs_Gas[[#Headers],[Fuel Switch Propane Annual Consumption Savings (MMBtu/yr)]],Tbl_MeasureList[#Headers],0)),
      0)</f>
        <v>0</v>
      </c>
      <c r="W41" s="639">
        <f>IF(OR(Tbl_BCROutputs_Gas[[#This Row],[Replacement Type]]="Partial Displacement",Tbl_BCROutputs_Gas[[#This Row],[Savings Stream]]="EE"),
        INDEX(Tbl_MeasureList[[Measure ID]:[Current ER (EE) High Measure Gas Fuel Savings (1,000 cu.ft. gas/year)]],
                      MATCH(Tbl_BCROutputs_Gas[[#This Row],[Measure ID]:[Measure ID]],Tbl_MeasureList[[Measure ID]:[Measure ID]],0),
                      MATCH(Tbl_BCROutputs_Gas[[#Headers],[Fuel Switch Oil Annual Consumption Savings (MMBtu/yr)]],Tbl_MeasureList[#Headers],0)),
       0)</f>
        <v>0</v>
      </c>
      <c r="Y41" s="653"/>
    </row>
    <row r="42" spans="2:25" s="581" customFormat="1" x14ac:dyDescent="0.2">
      <c r="B42" s="582"/>
      <c r="C42" s="583" t="s">
        <v>1317</v>
      </c>
      <c r="D42" s="583" t="s">
        <v>1216</v>
      </c>
      <c r="E42" s="83" t="str">
        <f>INDEX(Tbl_MeasureList[],MATCH(Tbl_BCROutputs_Gas[[#This Row],[Measure ID]],Tbl_MeasureList[[Measure ID]:[Measure ID]],0),MATCH(Tbl_BCROutputs_Gas[[#Headers],[Replacement ID]],Tbl_MeasureList[#Headers],0))</f>
        <v>EQUI022</v>
      </c>
      <c r="F42" s="83" t="str">
        <f>INDEX(Tbl_MeasureList[[Measure ID]:[Current ER (EE) High Measure Gas Fuel Savings (1,000 cu.ft. gas/year)]],
               MATCH(Tbl_BCROutputs_Gas[[#This Row],[Measure ID]:[Measure ID]],Tbl_MeasureList[[Measure ID]:[Measure ID]],0),
               MATCH(F$31,Tbl_MeasureList[#Headers],0))</f>
        <v>Oil Boiler+Indirect WH</v>
      </c>
      <c r="G42" s="83" t="str">
        <f>INDEX(Tbl_MeasureList[[Measure ID]:[Current ER (EE) High Measure Gas Fuel Savings (1,000 cu.ft. gas/year)]],
               MATCH(Tbl_BCROutputs_Gas[[#This Row],[Measure ID]:[Measure ID]],Tbl_MeasureList[[Measure ID]:[Measure ID]],0),
               MATCH(G$31,Tbl_MeasureList[#Headers],0))</f>
        <v>Gas Combination Boiler</v>
      </c>
      <c r="H42" s="83" t="str">
        <f>INDEX(Tbl_MeasureList[Replacement Fuel 1],MATCH(Tbl_BCROutputs_Gas[[#This Row],[Measure ID]],Tbl_MeasureList[Measure ID],0))&amp;
  IF(INDEX(Tbl_MeasureList[Replacement Fuel 2],MATCH(Tbl_BCROutputs_Gas[[#This Row],[Measure ID]],Tbl_MeasureList[Measure ID],0))&lt;&gt;"-",
       "+"&amp;INDEX(Tbl_MeasureList[Replacement Fuel 2],MATCH(Tbl_BCROutputs_Gas[[#This Row],[Measure ID]],Tbl_MeasureList[Measure ID],0)),"")</f>
        <v>Natural Gas</v>
      </c>
      <c r="I42" s="629" t="str">
        <f>IF(Tbl_BCROutputs_Gas[[#This Row],[Replacement Fuel]]="Natural Gas",INDEX(Tbl_EquipmentDefinitions[Natural Gas High Measure Efficiency],MATCH(Tbl_BCROutputs_Gas[[#This Row],[Replacement ID]],Tbl_EquipmentDefinitions[Equipment ID],0)),
  IF(Tbl_BCROutputs_Gas[[#This Row],[Replacement Fuel]]="Electric",INDEX(Tbl_EquipmentDefinitions[Electricity High Measure Efficiency],MATCH(Tbl_BCROutputs_Gas[[#This Row],[Replacement ID]],Tbl_EquipmentDefinitions[Equipment ID],0)),
  IF(Tbl_BCROutputs_Gas[[#This Row],[Replacement Fuel]]="Electric+Oil",
        INDEX(Tbl_EquipmentDefinitions[Electricity High Measure Efficiency],MATCH(Tbl_BCROutputs_Gas[[#This Row],[Replacement ID]],Tbl_EquipmentDefinitions[Equipment ID],0))&amp;CHAR(10)&amp;
        INDEX(Tbl_EquipmentDefinitions[Oil Baseline Efficiency],MATCH(Tbl_BCROutputs_Gas[[#This Row],[Replacement ID]],Tbl_EquipmentDefinitions[Equipment ID],0)),
  IF(Tbl_BCROutputs_Gas[[#This Row],[Replacement Fuel]]="Electric+Propane",
        INDEX(Tbl_EquipmentDefinitions[Electricity High Measure Efficiency],MATCH(Tbl_BCROutputs_Gas[[#This Row],[Replacement ID]],Tbl_EquipmentDefinitions[Equipment ID],0))&amp;CHAR(10)&amp;
        INDEX(Tbl_EquipmentDefinitions[Propane Baseline Efficiency],MATCH(Tbl_BCROutputs_Gas[[#This Row],[Replacement ID]],Tbl_EquipmentDefinitions[Equipment ID],0)),
  IF(Tbl_BCROutputs_Gas[[#This Row],[Replacement Fuel]]="Electric+Electric",INDEX(Tbl_EquipmentDefinitions[Electricity High Measure Efficiency],MATCH(Tbl_BCROutputs_Gas[[#This Row],[Replacement ID]],Tbl_EquipmentDefinitions[Equipment ID],0)),
)))))</f>
        <v>95% AFUE</v>
      </c>
      <c r="J42" s="83" t="str">
        <f>INDEX(Tbl_MeasureList[[Measure ID]:[Current ER (EE) High Measure Gas Fuel Savings (1,000 cu.ft. gas/year)]],
               MATCH(Tbl_BCROutputs_Gas[[#This Row],[Measure ID]:[Measure ID]],Tbl_MeasureList[[Measure ID]:[Measure ID]],0),
               MATCH(J$31,Tbl_MeasureList[#Headers],0))</f>
        <v>No</v>
      </c>
      <c r="K42" s="630" t="str">
        <f>IF(Tbl_BCROutputs_Gas[[#This Row],[Keep Existing Heating Equipment?]]="Yes","Partial Displacement","Full Replacement")</f>
        <v>Full Replacement</v>
      </c>
      <c r="L42" s="647">
        <f>IF(Tbl_BCROutputs_Gas[[#This Row],[Replacement Type]]="Partial Displacement",
        INDEX(Tbl_EquipmentDefinitions[New Unit Equipment Life (years)],
                       MATCH(INDEX(Tbl_MeasureList[[Measure ID]:[Current ER (EE) High Measure Gas Fuel Savings (1,000 cu.ft. gas/year)]],
                                                      MATCH(Tbl_BCROutputs_Gas[[#This Row],[Measure ID]:[Measure ID]],Tbl_MeasureList[Measure ID],0),
                                                      MATCH(L$45,Tbl_MeasureList[#Headers],0)),
                                        Tbl_EquipmentDefinitions[Equipment ID],
                                        0)),
        IF(Tbl_BCROutputs_Gas[[#This Row],[Savings Stream]]="Retire",
             INDEX(Tbl_MeasureList[],MATCH(Tbl_BCROutputs_Gas[[#This Row],[Measure ID]],Tbl_MeasureList[[Measure ID]:[Measure ID]],0),MATCH($L$47,Tbl_MeasureList[#Headers],0)),
             INDEX(Tbl_MeasureList[],MATCH(Tbl_BCROutputs_Gas[[#This Row],[Measure ID]],Tbl_MeasureList[[Measure ID]:[Measure ID]],0),MATCH($L$46,Tbl_MeasureList[#Headers],0)))
        )</f>
        <v>19</v>
      </c>
      <c r="M42" s="648">
        <f>IF(Tbl_BCROutputs_Gas[[#This Row],[Savings Stream]]="Retire",0,
          INDEX(Tbl_MeasureList[[Measure ID]:[Current ER (EE) High Measure Gas Fuel Savings (1,000 cu.ft. gas/year)]],
                 MATCH(Tbl_BCROutputs_Gas[[#This Row],[Measure ID]:[Measure ID]],Tbl_MeasureList[[Measure ID]:[Measure ID]],0),
                 MATCH(M$45,Tbl_MeasureList[#Headers],0)))</f>
        <v>4498.9953369271116</v>
      </c>
      <c r="N42" s="633">
        <f>IF(INPUT_INCLUDEGASLINE="Yes",
        IF(OR(INDEX(Tbl_MeasureList[[Measure ID]:[Current ER (EE) High Measure Gas Fuel Savings (1,000 cu.ft. gas/year)]],
                                   MATCH(Tbl_BCROutputs_Gas[[#This Row],[Measure ID]:[Measure ID]],Tbl_MeasureList[Measure ID],0),
                                   MATCH(N$46,Tbl_MeasureList[#Headers],0))="Natural Gas",
                    INDEX(Tbl_MeasureList[[Measure ID]:[Current ER (EE) High Measure Gas Fuel Savings (1,000 cu.ft. gas/year)]],
                                   MATCH(Tbl_BCROutputs_Gas[[#This Row],[Measure ID]:[Measure ID]],Tbl_MeasureList[Measure ID],0),
                                   MATCH(N$45,Tbl_MeasureList[#Headers],0))="Natural Gas"),
             IF(Tbl_BCROutputs_Gas[[#This Row],[Savings Stream]]="EE",
                   INPUT_GASLINECOST,
                   0),
             "n/a"),
         "Off (see Inputs tab)")</f>
        <v>5600</v>
      </c>
      <c r="O42" s="634">
        <f>IF(Tbl_BCROutputs_Gas[[#This Row],[Savings Stream]]="EE",
        IF(_xlfn.XOR(ISNUMBER(SEARCH("Boiler",Tbl_BCROutputs_Gas[[#This Row],[Baseline Name]])),ISNUMBER(SEARCH("Boiler",Tbl_BCROutputs_Gas[[#This Row],[Replacement Name]]))),INPUT_EQUIPMENTDISPOSALCOST,0),
        0)</f>
        <v>0</v>
      </c>
      <c r="P42" s="649">
        <f ca="1">IF(OR(Tbl_BCROutputs_Gas[[#This Row],[Replacement Type]]="Partial Displacement",Tbl_BCROutputs_Gas[[#This Row],[Savings Stream]]="EE"),
        INDEX(Tbl_MeasureList[[Measure ID]:[Current ER (EE) High Measure Gas Fuel Savings (1,000 cu.ft. gas/year)]],
                      MATCH(Tbl_BCROutputs_Gas[[#This Row],[Measure ID]],Tbl_MeasureList[[Measure ID]:[Measure ID]],0),
                      MATCH(P$45,Tbl_MeasureList[#Headers],0)),
        IF(Tbl_BCROutputs_Gas[[#This Row],[Savings Stream]]="Retire",
              0,
              0
            )
       )</f>
        <v>16130</v>
      </c>
      <c r="Q42" s="650">
        <f ca="1">IF(Tbl_BCROutputs_Gas[[#This Row],[Total Cost New Equipment, not including deferred replacement (USD)]]="-","-",Tbl_BCROutputs_Gas[[#This Row],[Total Cost New Equipment, not including deferred replacement (USD)]]-Tbl_BCROutputs_Gas[[#This Row],[Deferred Replacement Credit (USD)]])</f>
        <v>11631.004663072888</v>
      </c>
      <c r="R42" s="651">
        <f ca="1">IF(Tbl_BCROutputs_Gas[[#This Row],[Replacement Type]]="Partial Replacement",
        -1*INDEX(Tbl_MeasureList[[Measure ID]:[Current ER (EE) High Measure Gas Fuel Savings (1,000 cu.ft. gas/year)]],
                             MATCH(Tbl_BCROutputs_Gas[[#This Row],[Measure ID]:[Measure ID]],Tbl_MeasureList[[Measure ID]:[Measure ID]],0),
                             MATCH(R$45,Tbl_MeasureList[#Headers],0))/10,
       IF(Tbl_BCROutputs_Gas[[#This Row],[Savings Stream]]="Retire",
                             -1*INDEX(Tbl_MeasureList[],MATCH(Tbl_BCROutputs_Gas[[#This Row],[Measure ID]:[Measure ID]],Tbl_MeasureList[[Measure ID]:[Measure ID]],0),MATCH(R$47,Tbl_MeasureList[#Headers],0))/10,
                             -1*INDEX(Tbl_MeasureList[],MATCH(Tbl_BCROutputs_Gas[[#This Row],[Measure ID]:[Measure ID]],Tbl_MeasureList[[Measure ID]:[Measure ID]],0),MATCH(R$46,Tbl_MeasureList[#Headers],0))/10
            ))</f>
        <v>95.368421052631589</v>
      </c>
      <c r="S42" s="652">
        <f ca="1">IF(Tbl_BCROutputs_Gas[[#This Row],[Replacement Type]]="Partial Displacement",
        INDEX(Tbl_MeasureList[[Measure ID]:[Current ER (EE) High Measure Gas Fuel Savings (1,000 cu.ft. gas/year)]],
                      MATCH(Tbl_BCROutputs_Gas[[#This Row],[Measure ID]:[Measure ID]],Tbl_MeasureList[[Measure ID]:[Measure ID]],0),
                      MATCH(S$47,Tbl_MeasureList[#Headers],0)),
       IF(Tbl_BCROutputs_Gas[[#This Row],[Savings Stream]]="Retire",
             INDEX(Tbl_MeasureList[],MATCH(Tbl_BCROutputs_Gas[[#This Row],[Measure ID]:[Measure ID]],Tbl_MeasureList[[Measure ID]:[Measure ID]],0),MATCH(S$46,Tbl_MeasureList[#Headers],0)),
             INDEX(Tbl_MeasureList[],MATCH(Tbl_BCROutputs_Gas[[#This Row],[Measure ID]:[Measure ID]],Tbl_MeasureList[[Measure ID]:[Measure ID]],0),MATCH(S$45,Tbl_MeasureList[#Headers],0))))</f>
        <v>14.346794947368437</v>
      </c>
      <c r="T42" s="517">
        <f ca="1">IF(Tbl_BCROutputs_Gas[[#This Row],[Replacement Type]]="Partial Displacement",
        INDEX(Tbl_MeasureList[[Measure ID]:[Current ER (EE) High Measure Gas Fuel Savings (1,000 cu.ft. gas/year)]],
                      MATCH(Tbl_BCROutputs_Gas[[#This Row],[Measure ID]:[Measure ID]],Tbl_MeasureList[[Measure ID]:[Measure ID]],0),
                      MATCH(T$47,Tbl_MeasureList[#Headers],0)),
       IF(Tbl_BCROutputs_Gas[[#This Row],[Savings Stream]]="Retire",
             INDEX(Tbl_MeasureList[],MATCH(Tbl_BCROutputs_Gas[[#This Row],[Measure ID]:[Measure ID]],Tbl_MeasureList[[Measure ID]:[Measure ID]],0),MATCH(T$46,Tbl_MeasureList[#Headers],0)),
             INDEX(Tbl_MeasureList[],MATCH(Tbl_BCROutputs_Gas[[#This Row],[Measure ID]:[Measure ID]],Tbl_MeasureList[[Measure ID]:[Measure ID]],0),MATCH(T$45,Tbl_MeasureList[#Headers],0))))</f>
        <v>0</v>
      </c>
      <c r="U42" s="397">
        <f ca="1">IF(Tbl_BCROutputs_Gas[[#This Row],[Replacement Type]]="Partial Displacement",
        INDEX(Tbl_MeasureList[[Measure ID]:[Current ER (EE) High Measure Gas Fuel Savings (1,000 cu.ft. gas/year)]],
                      MATCH(Tbl_BCROutputs_Gas[[#This Row],[Measure ID]:[Measure ID]],Tbl_MeasureList[[Measure ID]:[Measure ID]],0),
                      MATCH(U$47,Tbl_MeasureList[#Headers],0)),
       IF(Tbl_BCROutputs_Gas[[#This Row],[Savings Stream]]="Retire",
             INDEX(Tbl_MeasureList[],MATCH(Tbl_BCROutputs_Gas[[#This Row],[Measure ID]:[Measure ID]],Tbl_MeasureList[[Measure ID]:[Measure ID]],0),MATCH(U$46,Tbl_MeasureList[#Headers],0)),
             INDEX(Tbl_MeasureList[],MATCH(Tbl_BCROutputs_Gas[[#This Row],[Measure ID]:[Measure ID]],Tbl_MeasureList[[Measure ID]:[Measure ID]],0),MATCH(U$45,Tbl_MeasureList[#Headers],0))))</f>
        <v>109.99500000000002</v>
      </c>
      <c r="V42" s="639">
        <f ca="1">IF(OR(Tbl_BCROutputs_Gas[[#This Row],[Replacement Type]]="Partial Displacement",Tbl_BCROutputs_Gas[[#This Row],[Savings Stream]]="EE"),
        INDEX(Tbl_MeasureList[[Measure ID]:[Current ER (EE) High Measure Gas Fuel Savings (1,000 cu.ft. gas/year)]],
                      MATCH(Tbl_BCROutputs_Gas[[#This Row],[Measure ID]:[Measure ID]],Tbl_MeasureList[[Measure ID]:[Measure ID]],0),
                      MATCH(Tbl_BCROutputs_Gas[[#Headers],[Fuel Switch Propane Annual Consumption Savings (MMBtu/yr)]],Tbl_MeasureList[#Headers],0)),
      0)</f>
        <v>0</v>
      </c>
      <c r="W42" s="639">
        <f ca="1">IF(OR(Tbl_BCROutputs_Gas[[#This Row],[Replacement Type]]="Partial Displacement",Tbl_BCROutputs_Gas[[#This Row],[Savings Stream]]="EE"),
        INDEX(Tbl_MeasureList[[Measure ID]:[Current ER (EE) High Measure Gas Fuel Savings (1,000 cu.ft. gas/year)]],
                      MATCH(Tbl_BCROutputs_Gas[[#This Row],[Measure ID]:[Measure ID]],Tbl_MeasureList[[Measure ID]:[Measure ID]],0),
                      MATCH(Tbl_BCROutputs_Gas[[#Headers],[Fuel Switch Oil Annual Consumption Savings (MMBtu/yr)]],Tbl_MeasureList[#Headers],0)),
       0)</f>
        <v>109.99500000000002</v>
      </c>
      <c r="Y42" s="653"/>
    </row>
    <row r="43" spans="2:25" s="581" customFormat="1" x14ac:dyDescent="0.2">
      <c r="B43" s="582"/>
      <c r="C43" s="583" t="s">
        <v>1317</v>
      </c>
      <c r="D43" s="583" t="s">
        <v>1218</v>
      </c>
      <c r="E43" s="83" t="str">
        <f>INDEX(Tbl_MeasureList[],MATCH(Tbl_BCROutputs_Gas[[#This Row],[Measure ID]],Tbl_MeasureList[[Measure ID]:[Measure ID]],0),MATCH(Tbl_BCROutputs_Gas[[#Headers],[Replacement ID]],Tbl_MeasureList[#Headers],0))</f>
        <v>EQUI022</v>
      </c>
      <c r="F43" s="83" t="str">
        <f>INDEX(Tbl_MeasureList[[Measure ID]:[Current ER (EE) High Measure Gas Fuel Savings (1,000 cu.ft. gas/year)]],
               MATCH(Tbl_BCROutputs_Gas[[#This Row],[Measure ID]:[Measure ID]],Tbl_MeasureList[[Measure ID]:[Measure ID]],0),
               MATCH(F$31,Tbl_MeasureList[#Headers],0))</f>
        <v>Oil Boiler+Indirect WH</v>
      </c>
      <c r="G43" s="83" t="str">
        <f>INDEX(Tbl_MeasureList[[Measure ID]:[Current ER (EE) High Measure Gas Fuel Savings (1,000 cu.ft. gas/year)]],
               MATCH(Tbl_BCROutputs_Gas[[#This Row],[Measure ID]:[Measure ID]],Tbl_MeasureList[[Measure ID]:[Measure ID]],0),
               MATCH(G$31,Tbl_MeasureList[#Headers],0))</f>
        <v>Gas Combination Boiler</v>
      </c>
      <c r="H43" s="83" t="str">
        <f>INDEX(Tbl_MeasureList[Replacement Fuel 1],MATCH(Tbl_BCROutputs_Gas[[#This Row],[Measure ID]],Tbl_MeasureList[Measure ID],0))&amp;
  IF(INDEX(Tbl_MeasureList[Replacement Fuel 2],MATCH(Tbl_BCROutputs_Gas[[#This Row],[Measure ID]],Tbl_MeasureList[Measure ID],0))&lt;&gt;"-",
       "+"&amp;INDEX(Tbl_MeasureList[Replacement Fuel 2],MATCH(Tbl_BCROutputs_Gas[[#This Row],[Measure ID]],Tbl_MeasureList[Measure ID],0)),"")</f>
        <v>Natural Gas</v>
      </c>
      <c r="I43" s="629" t="str">
        <f>IF(Tbl_BCROutputs_Gas[[#This Row],[Replacement Fuel]]="Natural Gas",INDEX(Tbl_EquipmentDefinitions[Natural Gas High Measure Efficiency],MATCH(Tbl_BCROutputs_Gas[[#This Row],[Replacement ID]],Tbl_EquipmentDefinitions[Equipment ID],0)),
  IF(Tbl_BCROutputs_Gas[[#This Row],[Replacement Fuel]]="Electric",INDEX(Tbl_EquipmentDefinitions[Electricity High Measure Efficiency],MATCH(Tbl_BCROutputs_Gas[[#This Row],[Replacement ID]],Tbl_EquipmentDefinitions[Equipment ID],0)),
  IF(Tbl_BCROutputs_Gas[[#This Row],[Replacement Fuel]]="Electric+Oil",
        INDEX(Tbl_EquipmentDefinitions[Electricity High Measure Efficiency],MATCH(Tbl_BCROutputs_Gas[[#This Row],[Replacement ID]],Tbl_EquipmentDefinitions[Equipment ID],0))&amp;CHAR(10)&amp;
        INDEX(Tbl_EquipmentDefinitions[Oil Baseline Efficiency],MATCH(Tbl_BCROutputs_Gas[[#This Row],[Replacement ID]],Tbl_EquipmentDefinitions[Equipment ID],0)),
  IF(Tbl_BCROutputs_Gas[[#This Row],[Replacement Fuel]]="Electric+Propane",
        INDEX(Tbl_EquipmentDefinitions[Electricity High Measure Efficiency],MATCH(Tbl_BCROutputs_Gas[[#This Row],[Replacement ID]],Tbl_EquipmentDefinitions[Equipment ID],0))&amp;CHAR(10)&amp;
        INDEX(Tbl_EquipmentDefinitions[Propane Baseline Efficiency],MATCH(Tbl_BCROutputs_Gas[[#This Row],[Replacement ID]],Tbl_EquipmentDefinitions[Equipment ID],0)),
  IF(Tbl_BCROutputs_Gas[[#This Row],[Replacement Fuel]]="Electric+Electric",INDEX(Tbl_EquipmentDefinitions[Electricity High Measure Efficiency],MATCH(Tbl_BCROutputs_Gas[[#This Row],[Replacement ID]],Tbl_EquipmentDefinitions[Equipment ID],0)),
)))))</f>
        <v>95% AFUE</v>
      </c>
      <c r="J43" s="83" t="str">
        <f>INDEX(Tbl_MeasureList[[Measure ID]:[Current ER (EE) High Measure Gas Fuel Savings (1,000 cu.ft. gas/year)]],
               MATCH(Tbl_BCROutputs_Gas[[#This Row],[Measure ID]:[Measure ID]],Tbl_MeasureList[[Measure ID]:[Measure ID]],0),
               MATCH(J$31,Tbl_MeasureList[#Headers],0))</f>
        <v>No</v>
      </c>
      <c r="K43" s="630" t="str">
        <f>IF(Tbl_BCROutputs_Gas[[#This Row],[Keep Existing Heating Equipment?]]="Yes","Partial Displacement","Full Replacement")</f>
        <v>Full Replacement</v>
      </c>
      <c r="L43" s="647">
        <f>IF(Tbl_BCROutputs_Gas[[#This Row],[Replacement Type]]="Partial Displacement",
        INDEX(Tbl_EquipmentDefinitions[New Unit Equipment Life (years)],
                       MATCH(INDEX(Tbl_MeasureList[[Measure ID]:[Current ER (EE) High Measure Gas Fuel Savings (1,000 cu.ft. gas/year)]],
                                                      MATCH(Tbl_BCROutputs_Gas[[#This Row],[Measure ID]:[Measure ID]],Tbl_MeasureList[Measure ID],0),
                                                      MATCH(L$45,Tbl_MeasureList[#Headers],0)),
                                        Tbl_EquipmentDefinitions[Equipment ID],
                                        0)),
        IF(Tbl_BCROutputs_Gas[[#This Row],[Savings Stream]]="Retire",
             INDEX(Tbl_MeasureList[],MATCH(Tbl_BCROutputs_Gas[[#This Row],[Measure ID]],Tbl_MeasureList[[Measure ID]:[Measure ID]],0),MATCH($L$47,Tbl_MeasureList[#Headers],0)),
             INDEX(Tbl_MeasureList[],MATCH(Tbl_BCROutputs_Gas[[#This Row],[Measure ID]],Tbl_MeasureList[[Measure ID]:[Measure ID]],0),MATCH($L$46,Tbl_MeasureList[#Headers],0)))
        )</f>
        <v>10</v>
      </c>
      <c r="M43" s="648">
        <f>IF(Tbl_BCROutputs_Gas[[#This Row],[Savings Stream]]="Retire",0,
          INDEX(Tbl_MeasureList[[Measure ID]:[Current ER (EE) High Measure Gas Fuel Savings (1,000 cu.ft. gas/year)]],
                 MATCH(Tbl_BCROutputs_Gas[[#This Row],[Measure ID]:[Measure ID]],Tbl_MeasureList[[Measure ID]:[Measure ID]],0),
                 MATCH(M$45,Tbl_MeasureList[#Headers],0)))</f>
        <v>0</v>
      </c>
      <c r="N43" s="633">
        <f>IF(INPUT_INCLUDEGASLINE="Yes",
        IF(OR(INDEX(Tbl_MeasureList[[Measure ID]:[Current ER (EE) High Measure Gas Fuel Savings (1,000 cu.ft. gas/year)]],
                                   MATCH(Tbl_BCROutputs_Gas[[#This Row],[Measure ID]:[Measure ID]],Tbl_MeasureList[Measure ID],0),
                                   MATCH(N$46,Tbl_MeasureList[#Headers],0))="Natural Gas",
                    INDEX(Tbl_MeasureList[[Measure ID]:[Current ER (EE) High Measure Gas Fuel Savings (1,000 cu.ft. gas/year)]],
                                   MATCH(Tbl_BCROutputs_Gas[[#This Row],[Measure ID]:[Measure ID]],Tbl_MeasureList[Measure ID],0),
                                   MATCH(N$45,Tbl_MeasureList[#Headers],0))="Natural Gas"),
             IF(Tbl_BCROutputs_Gas[[#This Row],[Savings Stream]]="EE",
                   INPUT_GASLINECOST,
                   0),
             "n/a"),
         "Off (see Inputs tab)")</f>
        <v>0</v>
      </c>
      <c r="O43" s="634">
        <f>IF(Tbl_BCROutputs_Gas[[#This Row],[Savings Stream]]="EE",
        IF(_xlfn.XOR(ISNUMBER(SEARCH("Boiler",Tbl_BCROutputs_Gas[[#This Row],[Baseline Name]])),ISNUMBER(SEARCH("Boiler",Tbl_BCROutputs_Gas[[#This Row],[Replacement Name]]))),INPUT_EQUIPMENTDISPOSALCOST,0),
        0)</f>
        <v>0</v>
      </c>
      <c r="P43" s="649">
        <f>IF(OR(Tbl_BCROutputs_Gas[[#This Row],[Replacement Type]]="Partial Displacement",Tbl_BCROutputs_Gas[[#This Row],[Savings Stream]]="EE"),
        INDEX(Tbl_MeasureList[[Measure ID]:[Current ER (EE) High Measure Gas Fuel Savings (1,000 cu.ft. gas/year)]],
                      MATCH(Tbl_BCROutputs_Gas[[#This Row],[Measure ID]],Tbl_MeasureList[[Measure ID]:[Measure ID]],0),
                      MATCH(P$45,Tbl_MeasureList[#Headers],0)),
        IF(Tbl_BCROutputs_Gas[[#This Row],[Savings Stream]]="Retire",
              0,
              0
            )
       )</f>
        <v>0</v>
      </c>
      <c r="Q43" s="650">
        <f>IF(Tbl_BCROutputs_Gas[[#This Row],[Total Cost New Equipment, not including deferred replacement (USD)]]="-","-",Tbl_BCROutputs_Gas[[#This Row],[Total Cost New Equipment, not including deferred replacement (USD)]]-Tbl_BCROutputs_Gas[[#This Row],[Deferred Replacement Credit (USD)]])</f>
        <v>0</v>
      </c>
      <c r="R43" s="651">
        <f>IF(Tbl_BCROutputs_Gas[[#This Row],[Replacement Type]]="Partial Replacement",
        -1*INDEX(Tbl_MeasureList[[Measure ID]:[Current ER (EE) High Measure Gas Fuel Savings (1,000 cu.ft. gas/year)]],
                             MATCH(Tbl_BCROutputs_Gas[[#This Row],[Measure ID]:[Measure ID]],Tbl_MeasureList[[Measure ID]:[Measure ID]],0),
                             MATCH(R$45,Tbl_MeasureList[#Headers],0))/10,
       IF(Tbl_BCROutputs_Gas[[#This Row],[Savings Stream]]="Retire",
                             -1*INDEX(Tbl_MeasureList[],MATCH(Tbl_BCROutputs_Gas[[#This Row],[Measure ID]:[Measure ID]],Tbl_MeasureList[[Measure ID]:[Measure ID]],0),MATCH(R$47,Tbl_MeasureList[#Headers],0))/10,
                             -1*INDEX(Tbl_MeasureList[],MATCH(Tbl_BCROutputs_Gas[[#This Row],[Measure ID]:[Measure ID]],Tbl_MeasureList[[Measure ID]:[Measure ID]],0),MATCH(R$46,Tbl_MeasureList[#Headers],0))/10
            ))</f>
        <v>0</v>
      </c>
      <c r="S43" s="652">
        <f>IF(Tbl_BCROutputs_Gas[[#This Row],[Replacement Type]]="Partial Displacement",
        INDEX(Tbl_MeasureList[[Measure ID]:[Current ER (EE) High Measure Gas Fuel Savings (1,000 cu.ft. gas/year)]],
                      MATCH(Tbl_BCROutputs_Gas[[#This Row],[Measure ID]:[Measure ID]],Tbl_MeasureList[[Measure ID]:[Measure ID]],0),
                      MATCH(S$47,Tbl_MeasureList[#Headers],0)),
       IF(Tbl_BCROutputs_Gas[[#This Row],[Savings Stream]]="Retire",
             INDEX(Tbl_MeasureList[],MATCH(Tbl_BCROutputs_Gas[[#This Row],[Measure ID]:[Measure ID]],Tbl_MeasureList[[Measure ID]:[Measure ID]],0),MATCH(S$46,Tbl_MeasureList[#Headers],0)),
             INDEX(Tbl_MeasureList[],MATCH(Tbl_BCROutputs_Gas[[#This Row],[Measure ID]:[Measure ID]],Tbl_MeasureList[[Measure ID]:[Measure ID]],0),MATCH(S$45,Tbl_MeasureList[#Headers],0))))</f>
        <v>13.199399999999997</v>
      </c>
      <c r="T43" s="517">
        <f>IF(Tbl_BCROutputs_Gas[[#This Row],[Replacement Type]]="Partial Displacement",
        INDEX(Tbl_MeasureList[[Measure ID]:[Current ER (EE) High Measure Gas Fuel Savings (1,000 cu.ft. gas/year)]],
                      MATCH(Tbl_BCROutputs_Gas[[#This Row],[Measure ID]:[Measure ID]],Tbl_MeasureList[[Measure ID]:[Measure ID]],0),
                      MATCH(T$47,Tbl_MeasureList[#Headers],0)),
       IF(Tbl_BCROutputs_Gas[[#This Row],[Savings Stream]]="Retire",
             INDEX(Tbl_MeasureList[],MATCH(Tbl_BCROutputs_Gas[[#This Row],[Measure ID]:[Measure ID]],Tbl_MeasureList[[Measure ID]:[Measure ID]],0),MATCH(T$46,Tbl_MeasureList[#Headers],0)),
             INDEX(Tbl_MeasureList[],MATCH(Tbl_BCROutputs_Gas[[#This Row],[Measure ID]:[Measure ID]],Tbl_MeasureList[[Measure ID]:[Measure ID]],0),MATCH(T$45,Tbl_MeasureList[#Headers],0))))</f>
        <v>0</v>
      </c>
      <c r="U43" s="397">
        <f>IF(Tbl_BCROutputs_Gas[[#This Row],[Replacement Type]]="Partial Displacement",
        INDEX(Tbl_MeasureList[[Measure ID]:[Current ER (EE) High Measure Gas Fuel Savings (1,000 cu.ft. gas/year)]],
                      MATCH(Tbl_BCROutputs_Gas[[#This Row],[Measure ID]:[Measure ID]],Tbl_MeasureList[[Measure ID]:[Measure ID]],0),
                      MATCH(U$47,Tbl_MeasureList[#Headers],0)),
       IF(Tbl_BCROutputs_Gas[[#This Row],[Savings Stream]]="Retire",
             INDEX(Tbl_MeasureList[],MATCH(Tbl_BCROutputs_Gas[[#This Row],[Measure ID]:[Measure ID]],Tbl_MeasureList[[Measure ID]:[Measure ID]],0),MATCH(U$46,Tbl_MeasureList[#Headers],0)),
             INDEX(Tbl_MeasureList[],MATCH(Tbl_BCROutputs_Gas[[#This Row],[Measure ID]:[Measure ID]],Tbl_MeasureList[[Measure ID]:[Measure ID]],0),MATCH(U$45,Tbl_MeasureList[#Headers],0))))</f>
        <v>13.199399999999997</v>
      </c>
      <c r="V43" s="639">
        <f>IF(OR(Tbl_BCROutputs_Gas[[#This Row],[Replacement Type]]="Partial Displacement",Tbl_BCROutputs_Gas[[#This Row],[Savings Stream]]="EE"),
        INDEX(Tbl_MeasureList[[Measure ID]:[Current ER (EE) High Measure Gas Fuel Savings (1,000 cu.ft. gas/year)]],
                      MATCH(Tbl_BCROutputs_Gas[[#This Row],[Measure ID]:[Measure ID]],Tbl_MeasureList[[Measure ID]:[Measure ID]],0),
                      MATCH(Tbl_BCROutputs_Gas[[#Headers],[Fuel Switch Propane Annual Consumption Savings (MMBtu/yr)]],Tbl_MeasureList[#Headers],0)),
      0)</f>
        <v>0</v>
      </c>
      <c r="W43" s="639">
        <f>IF(OR(Tbl_BCROutputs_Gas[[#This Row],[Replacement Type]]="Partial Displacement",Tbl_BCROutputs_Gas[[#This Row],[Savings Stream]]="EE"),
        INDEX(Tbl_MeasureList[[Measure ID]:[Current ER (EE) High Measure Gas Fuel Savings (1,000 cu.ft. gas/year)]],
                      MATCH(Tbl_BCROutputs_Gas[[#This Row],[Measure ID]:[Measure ID]],Tbl_MeasureList[[Measure ID]:[Measure ID]],0),
                      MATCH(Tbl_BCROutputs_Gas[[#Headers],[Fuel Switch Oil Annual Consumption Savings (MMBtu/yr)]],Tbl_MeasureList[#Headers],0)),
       0)</f>
        <v>0</v>
      </c>
      <c r="Y43" s="653"/>
    </row>
    <row r="44" spans="2:25" s="581" customFormat="1" x14ac:dyDescent="0.2">
      <c r="B44" s="582"/>
    </row>
    <row r="45" spans="2:25" x14ac:dyDescent="0.2">
      <c r="C45" s="577" t="s">
        <v>1454</v>
      </c>
      <c r="D45" s="577"/>
      <c r="E45" s="577"/>
      <c r="F45" s="578"/>
      <c r="G45" s="578"/>
      <c r="H45" s="578"/>
      <c r="I45" s="578"/>
      <c r="J45" s="578"/>
      <c r="K45" s="578"/>
      <c r="L45" s="600" t="s">
        <v>80</v>
      </c>
      <c r="M45" s="600" t="s">
        <v>703</v>
      </c>
      <c r="N45" s="600" t="s">
        <v>123</v>
      </c>
      <c r="O45" s="578"/>
      <c r="P45" s="600" t="s">
        <v>1445</v>
      </c>
      <c r="Q45" s="578"/>
      <c r="R45" s="600" t="s">
        <v>1234</v>
      </c>
      <c r="S45" s="600" t="s">
        <v>1274</v>
      </c>
      <c r="T45" s="600" t="s">
        <v>1272</v>
      </c>
      <c r="U45" s="600" t="s">
        <v>1273</v>
      </c>
      <c r="V45" s="578"/>
      <c r="W45" s="578"/>
    </row>
    <row r="46" spans="2:25" x14ac:dyDescent="0.2">
      <c r="L46" s="600" t="s">
        <v>1280</v>
      </c>
      <c r="N46" s="600" t="s">
        <v>124</v>
      </c>
      <c r="P46" s="600"/>
      <c r="R46" s="600" t="s">
        <v>1271</v>
      </c>
      <c r="S46" s="600" t="s">
        <v>1249</v>
      </c>
      <c r="T46" s="600" t="s">
        <v>1247</v>
      </c>
      <c r="U46" s="600" t="s">
        <v>1248</v>
      </c>
    </row>
    <row r="47" spans="2:25" x14ac:dyDescent="0.2">
      <c r="L47" s="600" t="s">
        <v>910</v>
      </c>
      <c r="M47" s="164"/>
      <c r="R47" s="600" t="s">
        <v>1246</v>
      </c>
      <c r="S47" s="600" t="s">
        <v>1518</v>
      </c>
      <c r="T47" s="600" t="s">
        <v>1516</v>
      </c>
      <c r="U47" s="600" t="s">
        <v>1517</v>
      </c>
    </row>
  </sheetData>
  <dataValidations count="1">
    <dataValidation type="list" allowBlank="1" showInputMessage="1" showErrorMessage="1" sqref="D11:D22 D32:D43">
      <formula1>"Retire,EE,Partial Replacement"</formula1>
    </dataValidation>
  </dataValidations>
  <pageMargins left="0.7" right="0.7" top="0.75" bottom="0.75" header="0.3" footer="0.3"/>
  <pageSetup orientation="portrait" r:id="rId1"/>
  <tableParts count="2">
    <tablePart r:id="rId2"/>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152</vt:i4>
      </vt:variant>
    </vt:vector>
  </HeadingPairs>
  <TitlesOfParts>
    <vt:vector size="195" baseType="lpstr">
      <vt:lpstr>Introduction</vt:lpstr>
      <vt:lpstr>Inputs</vt:lpstr>
      <vt:lpstr>Equipment Definitions</vt:lpstr>
      <vt:lpstr>Baseline Calculations</vt:lpstr>
      <vt:lpstr>Measure List</vt:lpstr>
      <vt:lpstr>Full-Early Replacement</vt:lpstr>
      <vt:lpstr>Partial Displacement</vt:lpstr>
      <vt:lpstr>Replace on Failure</vt:lpstr>
      <vt:lpstr>BCR Outputs</vt:lpstr>
      <vt:lpstr>Heat Pump Analysis</vt:lpstr>
      <vt:lpstr>MEAS01</vt:lpstr>
      <vt:lpstr>MEAS02</vt:lpstr>
      <vt:lpstr>MEAS03</vt:lpstr>
      <vt:lpstr>MEAS04</vt:lpstr>
      <vt:lpstr>MEAS05</vt:lpstr>
      <vt:lpstr>MEAS06</vt:lpstr>
      <vt:lpstr>MEAS07</vt:lpstr>
      <vt:lpstr>MEAS08</vt:lpstr>
      <vt:lpstr>MEAS09</vt:lpstr>
      <vt:lpstr>MEAS10</vt:lpstr>
      <vt:lpstr>MEAS11</vt:lpstr>
      <vt:lpstr>MEAS12</vt:lpstr>
      <vt:lpstr>MEAS13</vt:lpstr>
      <vt:lpstr>MEAS14</vt:lpstr>
      <vt:lpstr>MEAS15</vt:lpstr>
      <vt:lpstr>MEAS16</vt:lpstr>
      <vt:lpstr>MEAS17</vt:lpstr>
      <vt:lpstr>MEAS18</vt:lpstr>
      <vt:lpstr>MEAS19</vt:lpstr>
      <vt:lpstr>MEAS20</vt:lpstr>
      <vt:lpstr>MEAS21</vt:lpstr>
      <vt:lpstr>MEAS22</vt:lpstr>
      <vt:lpstr>MEAS23</vt:lpstr>
      <vt:lpstr>MEAS24</vt:lpstr>
      <vt:lpstr>MEAS25</vt:lpstr>
      <vt:lpstr>MEAS26</vt:lpstr>
      <vt:lpstr>MEAS27</vt:lpstr>
      <vt:lpstr>MEAS28</vt:lpstr>
      <vt:lpstr>MEAS29</vt:lpstr>
      <vt:lpstr>MEAS30</vt:lpstr>
      <vt:lpstr>MEAS31</vt:lpstr>
      <vt:lpstr>MEAS32</vt:lpstr>
      <vt:lpstr>MEAS33</vt:lpstr>
      <vt:lpstr>ACBASE_CAC_BASE_KW_DEMAND</vt:lpstr>
      <vt:lpstr>ACBASE_CAC_BASE_KWH</vt:lpstr>
      <vt:lpstr>ACBASE_CAC_BASE_OP_COST</vt:lpstr>
      <vt:lpstr>ACBASE_CAC_CODE_KW_DEMAND</vt:lpstr>
      <vt:lpstr>ACBASE_CAC_CODE_KWH</vt:lpstr>
      <vt:lpstr>ACBASE_CAC_CODE_OP_COST</vt:lpstr>
      <vt:lpstr>ACBASE_CAC_INSTALL_COST</vt:lpstr>
      <vt:lpstr>ACBASE2_BASE_KW_DEMAND</vt:lpstr>
      <vt:lpstr>ACBASE2_BASE_KWH</vt:lpstr>
      <vt:lpstr>ACBASE2_BASE_OP_COST</vt:lpstr>
      <vt:lpstr>ACBASE2_CODE_KW_DEMAND</vt:lpstr>
      <vt:lpstr>ACBASE2_CODE_KWH</vt:lpstr>
      <vt:lpstr>ACBASE2_CODE_OP_COST</vt:lpstr>
      <vt:lpstr>ACBASE2_EQUIPMENT_LIFE</vt:lpstr>
      <vt:lpstr>ACBASE2_INSTALL_COST</vt:lpstr>
      <vt:lpstr>ACBASE2_RUL</vt:lpstr>
      <vt:lpstr>ACBASE3_BASE_KW_DEMAND</vt:lpstr>
      <vt:lpstr>ACBASE3_BASE_KWH</vt:lpstr>
      <vt:lpstr>ACBASE3_BASE_OP_COST</vt:lpstr>
      <vt:lpstr>ACBASE3_CODE_KW_DEMAND</vt:lpstr>
      <vt:lpstr>ACBASE3_CODE_KWH</vt:lpstr>
      <vt:lpstr>ACBASE3_CODE_OP_COST</vt:lpstr>
      <vt:lpstr>ACBASE3_EQUIPMENT_LIFE</vt:lpstr>
      <vt:lpstr>ACBASE3_INSTALL_COST</vt:lpstr>
      <vt:lpstr>ACBASE3_RUL</vt:lpstr>
      <vt:lpstr>BASEBOARD_THRESHOLD</vt:lpstr>
      <vt:lpstr>BOILER_TOTAL_HEATING_LOAD</vt:lpstr>
      <vt:lpstr>Btu_per_kWh</vt:lpstr>
      <vt:lpstr>Btu_per_MMBtu</vt:lpstr>
      <vt:lpstr>COAL_BTU_PER_LB</vt:lpstr>
      <vt:lpstr>COAL_BTU_PER_LB_CES</vt:lpstr>
      <vt:lpstr>COAL_BTU_PER_SITE_KWH</vt:lpstr>
      <vt:lpstr>COAL_BTU_PER_SITE_KWH_CES</vt:lpstr>
      <vt:lpstr>COAL_LBS_PER_SITE_KWH</vt:lpstr>
      <vt:lpstr>COAL_LBS_PER_SITE_KWH_CES</vt:lpstr>
      <vt:lpstr>COMBO_BOILER_HEATING_LOAD</vt:lpstr>
      <vt:lpstr>COST_AC_NEW_INSTALL</vt:lpstr>
      <vt:lpstr>COST_AC_REPLACEMENT</vt:lpstr>
      <vt:lpstr>COST_HP_16SEER_NEW</vt:lpstr>
      <vt:lpstr>COST_HP_16SEER_REPLACE</vt:lpstr>
      <vt:lpstr>COST_HP_18SEER_NEW</vt:lpstr>
      <vt:lpstr>COST_HP_18SEER_REPLACE</vt:lpstr>
      <vt:lpstr>DEFINED_EQUIPMENT</vt:lpstr>
      <vt:lpstr>'Measure List'!DEFINED_MEASURES</vt:lpstr>
      <vt:lpstr>DiscountRate</vt:lpstr>
      <vt:lpstr>ELECTRIC_WATER_HEATING_LOAD</vt:lpstr>
      <vt:lpstr>FURNACE_TOTAL_HEATING_LOAD</vt:lpstr>
      <vt:lpstr>GAS_BTU_PER_CUFT</vt:lpstr>
      <vt:lpstr>GAS_BTU_PER_CUFT_CES</vt:lpstr>
      <vt:lpstr>GAS_BTU_PER_SITE_KWH</vt:lpstr>
      <vt:lpstr>GAS_BTU_PER_SITE_KWH_CES</vt:lpstr>
      <vt:lpstr>GAS_CUFT_PER_SITE_KWH</vt:lpstr>
      <vt:lpstr>GAS_CUFT_PER_SITE_KWH_CES</vt:lpstr>
      <vt:lpstr>GAS_OIL_WATER_HEATING_LOAD</vt:lpstr>
      <vt:lpstr>GAS_THRESHOLD</vt:lpstr>
      <vt:lpstr>HPBASEBOARDCALC_CHP_BASEBOARDCONSUMPTION</vt:lpstr>
      <vt:lpstr>HPBASEBOARDCALC_CHP_CHPRESISTANCECONSUMPTION</vt:lpstr>
      <vt:lpstr>HPBASEBOARDCALC_CHP_HPCONSUMPTION</vt:lpstr>
      <vt:lpstr>HPBASEBOARDCALC_DMSHP_BASEBOARDCONSUMPTION</vt:lpstr>
      <vt:lpstr>HPBASEBOARDCALC_DMSHP_DMSHPRESISTANCECONSUMPTION</vt:lpstr>
      <vt:lpstr>HPBASEBOARDCALC_DMSHP_HPCONSUMPTION</vt:lpstr>
      <vt:lpstr>HPFUELCALC_REF_AFUE</vt:lpstr>
      <vt:lpstr>HPFUELCALC_REF_CHP_HSPF</vt:lpstr>
      <vt:lpstr>HPFUELCALC_REF_DMSHP_HSPF</vt:lpstr>
      <vt:lpstr>HPFUELCALC_REF_DMSHPFAN</vt:lpstr>
      <vt:lpstr>HPFUELCALC_REF_DMSHPFAN_CF</vt:lpstr>
      <vt:lpstr>HPFUELCALC_REF_FUELEQUIPKWH</vt:lpstr>
      <vt:lpstr>HPFUELCALC_REF_FUELPOWER_CF</vt:lpstr>
      <vt:lpstr>HPFUELCALC_REF_FUELPOWER_KW</vt:lpstr>
      <vt:lpstr>HPFUELCALC_REF_HEATINGLOAD</vt:lpstr>
      <vt:lpstr>HPGASCALC_CHP_CHPRESISTANCECONSUMPTION</vt:lpstr>
      <vt:lpstr>HPGASCALC_CHP_FURNACEFANCONSUMPTION</vt:lpstr>
      <vt:lpstr>HPGASCALC_CHP_FURNACEGASCONSUMPTION</vt:lpstr>
      <vt:lpstr>HPGASCALC_CHP_HPCONSUMPTION</vt:lpstr>
      <vt:lpstr>HPGASCALC_DMSHP_DMSHPRESISTANCECONSUMPTION</vt:lpstr>
      <vt:lpstr>HPGASCALC_DMSHP_FURNACEFANCONSUMPTION</vt:lpstr>
      <vt:lpstr>HPGASCALC_DMSHP_FURNACEGASCONSUMPTION</vt:lpstr>
      <vt:lpstr>HPGASCALC_DMSHP_HPCONSUMPTION</vt:lpstr>
      <vt:lpstr>HPOILCALC_CHP_CHPRESISTANCECONSUMPTION</vt:lpstr>
      <vt:lpstr>HPOILCALC_CHP_FURNACEFANCONSUMPTION</vt:lpstr>
      <vt:lpstr>HPOILCALC_CHP_FURNACEOILCONSUMPTION</vt:lpstr>
      <vt:lpstr>HPOILCALC_CHP_HPCONSUMPTION</vt:lpstr>
      <vt:lpstr>HPOILCALC_DMSHP_DMSHPRESISTANCECONSUMPTION</vt:lpstr>
      <vt:lpstr>HPOILCALC_DMSHP_FURNACEFANCONSUMPTION</vt:lpstr>
      <vt:lpstr>HPOILCALC_DMSHP_FURNACEOILCONSUMPTION</vt:lpstr>
      <vt:lpstr>HPOILCALC_DMSHP_HPCONSUMPTION</vt:lpstr>
      <vt:lpstr>HPONLYCALC_CHP_CHPRESISTANCECONSUMPTION</vt:lpstr>
      <vt:lpstr>HPONLYCALC_CHP_HPCONSUMPTION</vt:lpstr>
      <vt:lpstr>HPONLYCALC_DMSHP_DMSHPRESISTANCECONSUMPTION</vt:lpstr>
      <vt:lpstr>HPONLYCALC_DMSHP_HPCONSUMPTION</vt:lpstr>
      <vt:lpstr>HPPROPANECALC_CHP_CHPRESISTANCECONSUMPTION</vt:lpstr>
      <vt:lpstr>HPPROPANECALC_CHP_FURNACEFANCONSUMPTION</vt:lpstr>
      <vt:lpstr>HPPROPANECALC_CHP_FURNACEPROPANECONSUMPTION</vt:lpstr>
      <vt:lpstr>HPPROPANECALC_CHP_HPCONSUMPTION</vt:lpstr>
      <vt:lpstr>HPPROPANECALC_DMSHP_DMSHPRESISTANCECONSUMPTION</vt:lpstr>
      <vt:lpstr>HPPROPANECALC_DMSHP_FURNACEFANCONSUMPTION</vt:lpstr>
      <vt:lpstr>HPPROPANECALC_DMSHP_FURNACEPROPANECONSUMPTION</vt:lpstr>
      <vt:lpstr>HPPROPANECALC_DMSHP_HPCONSUMPTION</vt:lpstr>
      <vt:lpstr>INPUT_BASEBOARDHEATSWITCHOVER</vt:lpstr>
      <vt:lpstr>INPUT_CAC_SATURATION</vt:lpstr>
      <vt:lpstr>INPUT_CAC_SIZE_TONS</vt:lpstr>
      <vt:lpstr>INPUT_CHP_COOLCAP_NOOTHERHEAT</vt:lpstr>
      <vt:lpstr>INPUT_CHP_COOLCAP_SUPPLEMENTED</vt:lpstr>
      <vt:lpstr>INPUT_CHP_HEATCAP_NOOTHERHEAT</vt:lpstr>
      <vt:lpstr>INPUT_CHP_HEATCAP_SUPPLEMENTED</vt:lpstr>
      <vt:lpstr>INPUT_CORRECTIONFACTOR_CHP</vt:lpstr>
      <vt:lpstr>INPUT_CORRECTIONFACTOR_DMSHP</vt:lpstr>
      <vt:lpstr>INPUT_DMSHP_COOLCAP_NOOTHERHEAT</vt:lpstr>
      <vt:lpstr>INPUT_DMSHP_COOLCAP_SUPPLEMENTED</vt:lpstr>
      <vt:lpstr>INPUT_DMSHP_HEATCAP_NOOTHERHEAT</vt:lpstr>
      <vt:lpstr>INPUT_DMSHP_HEATCAP_SUPPLEMENTED</vt:lpstr>
      <vt:lpstr>INPUT_ELECTRICALSYSTEMUPGRADECOST</vt:lpstr>
      <vt:lpstr>INPUT_EQUIPMENTDISPOSALCOST</vt:lpstr>
      <vt:lpstr>INPUT_GASHEATSWITCHOVER</vt:lpstr>
      <vt:lpstr>INPUT_GASLINECOST</vt:lpstr>
      <vt:lpstr>INPUT_HEATPUMP_EFFICIENCY_FACTOR</vt:lpstr>
      <vt:lpstr>INPUT_INCLUDEGASLINE</vt:lpstr>
      <vt:lpstr>INPUT_NO_AC_SATURATION</vt:lpstr>
      <vt:lpstr>INPUT_OILHEATSWITCHOVER</vt:lpstr>
      <vt:lpstr>INPUT_PROPANEHEATSWITCHOVER</vt:lpstr>
      <vt:lpstr>INPUT_RAC_COSTPERUNIT</vt:lpstr>
      <vt:lpstr>INPUT_RAC_EFLH</vt:lpstr>
      <vt:lpstr>INPUT_RAC_NUMBER</vt:lpstr>
      <vt:lpstr>INPUT_RAC_SIZE</vt:lpstr>
      <vt:lpstr>INPUT_RESISTANCEHEAT_SWITCHOVER</vt:lpstr>
      <vt:lpstr>INPUT_ROOM_AC_SATURATION</vt:lpstr>
      <vt:lpstr>INPUT_SYSTEMINTEGRATIONCOST</vt:lpstr>
      <vt:lpstr>KWH_PER_BTU</vt:lpstr>
      <vt:lpstr>kWh_per_MWh</vt:lpstr>
      <vt:lpstr>lbCO2_per_MMBtu_Oil</vt:lpstr>
      <vt:lpstr>lbCO2_per_MMBtu_Prop</vt:lpstr>
      <vt:lpstr>lbCO2_per_MWh_Elec</vt:lpstr>
      <vt:lpstr>lbCO2_per_Therm_Gas</vt:lpstr>
      <vt:lpstr>Lbs_per_ShortTon</vt:lpstr>
      <vt:lpstr>List_BaselineID</vt:lpstr>
      <vt:lpstr>List_EquipmentID</vt:lpstr>
      <vt:lpstr>OIL_BTU_PER_GAL</vt:lpstr>
      <vt:lpstr>OIL_BTU_PER_GAL_CES</vt:lpstr>
      <vt:lpstr>OIL_BTU_PER_SITE_KWH</vt:lpstr>
      <vt:lpstr>OIL_BTU_PER_SITE_KWH_CES</vt:lpstr>
      <vt:lpstr>OIL_GAL_PER_SITE_KWH</vt:lpstr>
      <vt:lpstr>OIL_GAL_PER_SITE_KWH_CES</vt:lpstr>
      <vt:lpstr>OIL_THRESHOLD</vt:lpstr>
      <vt:lpstr>PRICE_PER_KWH_2018_ELECTRICITY</vt:lpstr>
      <vt:lpstr>PRICE_PER_MMBTU_2018_OIL</vt:lpstr>
      <vt:lpstr>PRICE_PER_MMBTU_2018_PROPANE</vt:lpstr>
      <vt:lpstr>PRICE_PER_THERM_2018_NATURALGAS</vt:lpstr>
      <vt:lpstr>PROPANE_THRESHOLD</vt:lpstr>
      <vt:lpstr>PROPANE_WATER_HEATING_LOAD</vt:lpstr>
      <vt:lpstr>RESISTANCE_HEAT_THRESHOLD</vt:lpstr>
      <vt:lpstr>Therm_per_MMBtu</vt:lpstr>
      <vt:lpstr>TOTAL_COOLING_LOAD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Theo Kassuga</dc:creator>
  <cp:lastModifiedBy>Nixon, Elizabeth</cp:lastModifiedBy>
  <dcterms:created xsi:type="dcterms:W3CDTF">2017-12-03T15:20:45Z</dcterms:created>
  <dcterms:modified xsi:type="dcterms:W3CDTF">2019-11-26T13:57:14Z</dcterms:modified>
</cp:coreProperties>
</file>